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hdisegutl.sharepoint.com/sites/LIS-GENERAL-SecuritiesResearch/Shared Documents/Securities Research/One Pagers/24-25/4th cycle/Team 2 (Rosario La Spina)/ANSYS/"/>
    </mc:Choice>
  </mc:AlternateContent>
  <xr:revisionPtr revIDLastSave="1947" documentId="11_ACEC97DE5A4321A612194BFFC2F50950DC1BDF3B" xr6:coauthVersionLast="47" xr6:coauthVersionMax="47" xr10:uidLastSave="{25D06F0A-2153-436A-BD21-40C3293F4D61}"/>
  <bookViews>
    <workbookView xWindow="-98" yWindow="-98" windowWidth="24196" windowHeight="14476" tabRatio="644" xr2:uid="{00000000-000D-0000-FFFF-FFFF00000000}"/>
  </bookViews>
  <sheets>
    <sheet name="OP" sheetId="1" r:id="rId1"/>
    <sheet name="COVID-19 impact" sheetId="12" state="hidden" r:id="rId2"/>
    <sheet name="Cifras_en_Millones" sheetId="17" r:id="rId3"/>
    <sheet name="Segments" sheetId="3" r:id="rId4"/>
    <sheet name="Peers" sheetId="10" r:id="rId5"/>
    <sheet name="Acuerdo" sheetId="11" state="hidden" r:id="rId6"/>
    <sheet name="ESG" sheetId="7" r:id="rId7"/>
    <sheet name="DCF" sheetId="4" state="hidden" r:id="rId8"/>
    <sheet name="DCFF" sheetId="16" r:id="rId9"/>
    <sheet name="Cifras_Originales" sheetId="18" r:id="rId10"/>
    <sheet name="Q" sheetId="19" r:id="rId11"/>
  </sheets>
  <externalReferences>
    <externalReference r:id="rId12"/>
  </externalReferences>
  <definedNames>
    <definedName name="_xlnm._FilterDatabase" localSheetId="9" hidden="1">Cifras_Originales!$B$3:$D$3</definedName>
    <definedName name="Benchmark">[1]ControlsH!$B$3</definedName>
    <definedName name="BestConsOv">#REF!</definedName>
    <definedName name="Broker_Name">OFFSET(#REF!,0,0,[1]ControlsH!$E$5, 1)</definedName>
    <definedName name="calCODE">[1]ControlsH!$C$4</definedName>
    <definedName name="Chart_Benchmark_100_Size">OFFSET(#REF!, 0, 0, [1]ControlsH!$E$3, 1)</definedName>
    <definedName name="Chart_Date_Size">OFFSET(#REF!, 0, 0, [1]ControlsH!$E$3, 1)</definedName>
    <definedName name="Chart_Date_VAL1_Size">OFFSET(#REF!, 0, 0, [1]ControlsH!$I$3, 1)</definedName>
    <definedName name="Chart_Date_VAL2_Size">OFFSET(#REF!, 0, 0, [1]ControlsH!$I$5, 1)</definedName>
    <definedName name="Chart_Peer_100_Size">OFFSET(#REF!, 0, 0, [1]ControlsH!$E$3, 1)</definedName>
    <definedName name="Chart_Price_100_Size">OFFSET(#REF!, 0, 0, [1]ControlsH!$E$3, 1)</definedName>
    <definedName name="Chart_Price_Size">OFFSET(#REF!, 0, 0, [1]ControlsH!$E$3, 1)</definedName>
    <definedName name="Chart_VAL1_FY1_Size">OFFSET(#REF!, 0, 0, [1]ControlsH!$F$3, 1)</definedName>
    <definedName name="Chart_VAL1_FY2_Size">OFFSET(#REF!, 0, 0, [1]ControlsH!$G$3, 1)</definedName>
    <definedName name="Chart_VAL1_FY3_Size">OFFSET(#REF!, 0, 0, [1]ControlsH!$H$3, 1)</definedName>
    <definedName name="Chart_VAL2_FY1_Size">OFFSET(#REF!, 0, 0, [1]ControlsH!$F$5, 1)</definedName>
    <definedName name="Chart_VAL2_FY2_Size">OFFSET(#REF!, 0, 0, [1]ControlsH!$G$5, 1)</definedName>
    <definedName name="Chart_VAL2_FY3_Size">OFFSET(#REF!, 0, 0, [1]ControlsH!$H$5, 1)</definedName>
    <definedName name="Chart_Volume_Size">OFFSET(#REF!, 0, 0, [1]ControlsH!$E$3, 1)</definedName>
    <definedName name="compNAME">[1]ControlsH!$B$6</definedName>
    <definedName name="CURRENCY">[1]ControlsH!$B$9</definedName>
    <definedName name="currPRICE">[1]Overview!$E$19</definedName>
    <definedName name="custBenchmark">[1]Overview!$C$9</definedName>
    <definedName name="custED">#REF!</definedName>
    <definedName name="custSD">#REF!</definedName>
    <definedName name="dayCODE">[1]ControlsH!$C$5</definedName>
    <definedName name="ED">[1]ControlsH!$B$5</definedName>
    <definedName name="ESTBrokersItem">#REF!</definedName>
    <definedName name="ESTBrokersPeriod">#REF!</definedName>
    <definedName name="ESTDetailBroker">#REF!</definedName>
    <definedName name="ESTDetailBroker2">#REF!</definedName>
    <definedName name="ESTDetailPeriod">#REF!</definedName>
    <definedName name="EstDetPerO">#REF!</definedName>
    <definedName name="EstDetPerT">#REF!</definedName>
    <definedName name="FinancialsPeriod">#REF!</definedName>
    <definedName name="fundTICKER">[1]ControlsH!$B$15</definedName>
    <definedName name="GraphValRatio1">#REF!</definedName>
    <definedName name="GraphValRatio2">#REF!</definedName>
    <definedName name="Index1">#REF!</definedName>
    <definedName name="Lang">[1]Overview!$D$11</definedName>
    <definedName name="newCrncy">[1]ControlsH!$B$21:$B$199</definedName>
    <definedName name="newEstBrokerPeriod">#REF!</definedName>
    <definedName name="newEstBrokersItem">#REF!</definedName>
    <definedName name="newEstDetailBroker">#REF!</definedName>
    <definedName name="newEstDetailBroker2">#REF!</definedName>
    <definedName name="newEstDetailPeriod">#REF!</definedName>
    <definedName name="newFinancialsPeriod">#REF!</definedName>
    <definedName name="newOverviewCon">#REF!</definedName>
    <definedName name="newOverviewYear">#REF!</definedName>
    <definedName name="newOwners">#REF!</definedName>
    <definedName name="newPeersRatio">#REF!</definedName>
    <definedName name="newPeriod">#REF!</definedName>
    <definedName name="newValRatio1">#REF!</definedName>
    <definedName name="newValRatio2">#REF!</definedName>
    <definedName name="OverviewValRatioPeriod">[1]Overview!$D$30</definedName>
    <definedName name="PeerDate1">[1]Peers!$S$11</definedName>
    <definedName name="peerHist1">#REF!</definedName>
    <definedName name="PeerIndex">[1]ControlsH!$F$35:$F$36</definedName>
    <definedName name="Peers">OFFSET([1]Peers!$C$18,0,0,MAX(COUNTA([1]Peers!$C$18:$C$47),1),1)</definedName>
    <definedName name="peersWEIGHT">[1]ControlsH!$B$13</definedName>
    <definedName name="PERIODICITY">[1]ControlsH!$C$3</definedName>
    <definedName name="_xlnm.Print_Area" localSheetId="2">Cifras_en_Millones!$A$1:$L$88</definedName>
    <definedName name="_xlnm.Print_Area" localSheetId="0">OP!$A$1:$M$51</definedName>
    <definedName name="_xlnm.Print_Area" localSheetId="3">Segments!#REF!</definedName>
    <definedName name="salesGEOG">OFFSET([1]Overview!$W$16, 0, 0,#REF!, 1)</definedName>
    <definedName name="salesPROD">OFFSET([1]Overview!$Q$16, 0, 0,#REF!, 1)</definedName>
    <definedName name="SD">[1]ControlsH!$B$4</definedName>
    <definedName name="shBroker1">#REF!</definedName>
    <definedName name="shBrokerRange">#REF!</definedName>
    <definedName name="shOverviewYear">#REF!</definedName>
    <definedName name="shPeer1">#REF!</definedName>
    <definedName name="shPeerRange">#REF!</definedName>
    <definedName name="shPeersDate1">#REF!</definedName>
    <definedName name="startingDate">#REF!</definedName>
    <definedName name="Target_Price">OFFSET(#REF!,0,0,[1]ControlsH!$E$5, 1)</definedName>
    <definedName name="TICKER">[1]Overview!$D$8</definedName>
    <definedName name="Top20OwnerType">[1]Owners!$E$24</definedName>
    <definedName name="ViewConsolidatedOrParent">[1]Overview!$O$13</definedName>
    <definedName name="ViewYear">[1]Overview!$U$13</definedName>
    <definedName name="YTDdt">[1]ControlsH!$G$34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6" l="1"/>
  <c r="D16" i="16"/>
  <c r="G50" i="16"/>
  <c r="G51" i="16"/>
  <c r="J101" i="16"/>
  <c r="B35" i="17"/>
  <c r="E55" i="16"/>
  <c r="B22" i="17"/>
  <c r="C22" i="17"/>
  <c r="AC10" i="16"/>
  <c r="AB10" i="16"/>
  <c r="AA10" i="16"/>
  <c r="Z10" i="16"/>
  <c r="Y10" i="16"/>
  <c r="X10" i="16"/>
  <c r="V10" i="16"/>
  <c r="U10" i="16"/>
  <c r="T10" i="16"/>
  <c r="S10" i="16"/>
  <c r="R10" i="16"/>
  <c r="Q10" i="16"/>
  <c r="P10" i="16"/>
  <c r="O10" i="16"/>
  <c r="N10" i="16"/>
  <c r="J10" i="16"/>
  <c r="I10" i="16"/>
  <c r="K10" i="16"/>
  <c r="L10" i="16"/>
  <c r="M10" i="16"/>
  <c r="D51" i="16"/>
  <c r="AF10" i="16" s="1"/>
  <c r="H71" i="16"/>
  <c r="D55" i="16"/>
  <c r="H78" i="16"/>
  <c r="P6" i="16"/>
  <c r="Q6" i="16"/>
  <c r="R6" i="16" s="1"/>
  <c r="S6" i="16" s="1"/>
  <c r="T6" i="16" s="1"/>
  <c r="U6" i="16" s="1"/>
  <c r="V6" i="16" s="1"/>
  <c r="W6" i="16" s="1"/>
  <c r="X6" i="16" s="1"/>
  <c r="Y6" i="16" s="1"/>
  <c r="Z6" i="16" s="1"/>
  <c r="AA6" i="16" s="1"/>
  <c r="AB6" i="16" s="1"/>
  <c r="AC6" i="16" s="1"/>
  <c r="AD6" i="16" s="1"/>
  <c r="AE6" i="16" s="1"/>
  <c r="AF6" i="16" s="1"/>
  <c r="O6" i="16"/>
  <c r="B23" i="17"/>
  <c r="H72" i="16"/>
  <c r="H73" i="16"/>
  <c r="H75" i="16"/>
  <c r="B18" i="17"/>
  <c r="B17" i="17"/>
  <c r="B15" i="17"/>
  <c r="B14" i="17"/>
  <c r="B11" i="17"/>
  <c r="B7" i="17"/>
  <c r="B5" i="17"/>
  <c r="AD10" i="16" l="1"/>
  <c r="H10" i="16"/>
  <c r="W10" i="16"/>
  <c r="AE10" i="16"/>
  <c r="N21" i="18"/>
  <c r="N22" i="18" s="1"/>
  <c r="E56" i="16" l="1"/>
  <c r="D56" i="16"/>
  <c r="Y97" i="16"/>
  <c r="V97" i="16"/>
  <c r="W97" i="16"/>
  <c r="X97" i="16"/>
  <c r="U97" i="16"/>
  <c r="V96" i="16"/>
  <c r="W96" i="16"/>
  <c r="X96" i="16"/>
  <c r="U96" i="16"/>
  <c r="Y94" i="16"/>
  <c r="E20" i="16"/>
  <c r="F20" i="16"/>
  <c r="G20" i="16"/>
  <c r="D20" i="16"/>
  <c r="P94" i="16"/>
  <c r="Q94" i="16"/>
  <c r="R94" i="16"/>
  <c r="S94" i="16"/>
  <c r="T94" i="16"/>
  <c r="U94" i="16"/>
  <c r="V94" i="16"/>
  <c r="W94" i="16"/>
  <c r="X94" i="16"/>
  <c r="O94" i="16"/>
  <c r="D57" i="16"/>
  <c r="E75" i="16"/>
  <c r="F75" i="16"/>
  <c r="G75" i="16"/>
  <c r="D75" i="16"/>
  <c r="E57" i="16"/>
  <c r="K111" i="16"/>
  <c r="G21" i="10"/>
  <c r="G5" i="10"/>
  <c r="G20" i="10"/>
  <c r="G19" i="10"/>
  <c r="G18" i="10"/>
  <c r="G17" i="10"/>
  <c r="G16" i="10"/>
  <c r="G15" i="10"/>
  <c r="G14" i="10"/>
  <c r="G13" i="10"/>
  <c r="G12" i="10"/>
  <c r="G10" i="10"/>
  <c r="G9" i="10"/>
  <c r="G8" i="10"/>
  <c r="G7" i="10"/>
  <c r="G6" i="10"/>
  <c r="B4" i="10"/>
  <c r="Q57" i="17"/>
  <c r="Q58" i="17" s="1"/>
  <c r="Q59" i="17" s="1"/>
  <c r="Q60" i="17" s="1"/>
  <c r="Q61" i="17" s="1"/>
  <c r="Q62" i="17" s="1"/>
  <c r="Q63" i="17" s="1"/>
  <c r="Q64" i="17" s="1"/>
  <c r="Q65" i="17" s="1"/>
  <c r="Q66" i="17" s="1"/>
  <c r="Q56" i="17"/>
  <c r="R49" i="17"/>
  <c r="S49" i="17" s="1"/>
  <c r="T49" i="17" s="1"/>
  <c r="U49" i="17" s="1"/>
  <c r="V49" i="17" s="1"/>
  <c r="W49" i="17" s="1"/>
  <c r="X49" i="17" s="1"/>
  <c r="Y49" i="17" s="1"/>
  <c r="Z49" i="17" s="1"/>
  <c r="AA49" i="17" s="1"/>
  <c r="Q49" i="17"/>
  <c r="P55" i="17" a="1"/>
  <c r="P55" i="17" s="1"/>
  <c r="P50" i="17" a="1"/>
  <c r="P50" i="17" s="1"/>
  <c r="AA47" i="17"/>
  <c r="Z47" i="17"/>
  <c r="Y47" i="17"/>
  <c r="X47" i="17"/>
  <c r="W47" i="17"/>
  <c r="V47" i="17"/>
  <c r="U47" i="17"/>
  <c r="T47" i="17"/>
  <c r="S47" i="17"/>
  <c r="R47" i="17"/>
  <c r="Q47" i="17"/>
  <c r="P47" i="17"/>
  <c r="R43" i="17"/>
  <c r="S43" i="17" s="1"/>
  <c r="T43" i="17" s="1"/>
  <c r="U43" i="17" s="1"/>
  <c r="V43" i="17" s="1"/>
  <c r="W43" i="17" s="1"/>
  <c r="X43" i="17" s="1"/>
  <c r="Y43" i="17" s="1"/>
  <c r="Z43" i="17" s="1"/>
  <c r="AA43" i="17" s="1"/>
  <c r="Q43" i="17"/>
  <c r="L7" i="1"/>
  <c r="C9" i="1"/>
  <c r="J10" i="1"/>
  <c r="J12" i="1"/>
  <c r="C11" i="1"/>
  <c r="E8" i="1"/>
  <c r="E7" i="1"/>
  <c r="B35" i="1"/>
  <c r="B34" i="1"/>
  <c r="B33" i="1"/>
  <c r="B32" i="1"/>
  <c r="B31" i="1" s="1"/>
  <c r="B30" i="1" s="1"/>
  <c r="B29" i="1" s="1"/>
  <c r="B28" i="1" s="1"/>
  <c r="B27" i="1" s="1"/>
  <c r="B26" i="1" s="1"/>
  <c r="B36" i="1"/>
  <c r="V4" i="3"/>
  <c r="V5" i="3"/>
  <c r="V6" i="3"/>
  <c r="V7" i="3"/>
  <c r="V8" i="3"/>
  <c r="B2" i="18" a="1"/>
  <c r="B2" i="18" s="1"/>
  <c r="H10" i="3"/>
  <c r="H9" i="3"/>
  <c r="H8" i="3"/>
  <c r="H7" i="3"/>
  <c r="H6" i="3"/>
  <c r="H5" i="3"/>
  <c r="H4" i="3"/>
  <c r="B11" i="10"/>
  <c r="G11" i="10" s="1"/>
  <c r="D13" i="10"/>
  <c r="I27" i="16"/>
  <c r="J27" i="16" s="1"/>
  <c r="H27" i="16"/>
  <c r="K6" i="16"/>
  <c r="L6" i="16"/>
  <c r="M6" i="16" s="1"/>
  <c r="N6" i="16" s="1"/>
  <c r="J6" i="16"/>
  <c r="I25" i="16"/>
  <c r="J25" i="16"/>
  <c r="K25" i="16"/>
  <c r="O25" i="16" s="1"/>
  <c r="L25" i="16"/>
  <c r="P25" i="16" s="1"/>
  <c r="M25" i="16"/>
  <c r="N25" i="16"/>
  <c r="H25" i="16"/>
  <c r="N81" i="16"/>
  <c r="K81" i="16"/>
  <c r="L81" i="16"/>
  <c r="M81" i="16"/>
  <c r="J81" i="16"/>
  <c r="J111" i="16"/>
  <c r="E59" i="16"/>
  <c r="M7" i="16"/>
  <c r="N7" i="16" s="1"/>
  <c r="O7" i="16" s="1"/>
  <c r="P7" i="16" s="1"/>
  <c r="Q7" i="16" s="1"/>
  <c r="R7" i="16" s="1"/>
  <c r="S7" i="16" s="1"/>
  <c r="T7" i="16" s="1"/>
  <c r="U7" i="16" s="1"/>
  <c r="V7" i="16" s="1"/>
  <c r="W7" i="16" s="1"/>
  <c r="X7" i="16" s="1"/>
  <c r="Y7" i="16" s="1"/>
  <c r="Z7" i="16" s="1"/>
  <c r="AA7" i="16" s="1"/>
  <c r="AB7" i="16" s="1"/>
  <c r="AC7" i="16" s="1"/>
  <c r="AD7" i="16" s="1"/>
  <c r="AE7" i="16" s="1"/>
  <c r="AF7" i="16" s="1"/>
  <c r="H9" i="16" a="1"/>
  <c r="H9" i="16" s="1"/>
  <c r="G15" i="16"/>
  <c r="F15" i="16"/>
  <c r="E15" i="16"/>
  <c r="D15" i="16"/>
  <c r="E52" i="16"/>
  <c r="E110" i="16"/>
  <c r="F110" i="16"/>
  <c r="I110" i="16"/>
  <c r="D110" i="16"/>
  <c r="E109" i="16"/>
  <c r="E111" i="16" s="1"/>
  <c r="F109" i="16"/>
  <c r="F111" i="16" s="1"/>
  <c r="H109" i="16"/>
  <c r="I109" i="16"/>
  <c r="I111" i="16" s="1"/>
  <c r="D109" i="16"/>
  <c r="D111" i="16" s="1"/>
  <c r="D108" i="16"/>
  <c r="E108" i="16"/>
  <c r="G108" i="16"/>
  <c r="G110" i="16" s="1"/>
  <c r="H108" i="16"/>
  <c r="H110" i="16" s="1"/>
  <c r="I108" i="16"/>
  <c r="F108" i="16"/>
  <c r="G106" i="16"/>
  <c r="H106" i="16"/>
  <c r="I106" i="16"/>
  <c r="E106" i="16"/>
  <c r="F106" i="16"/>
  <c r="D106" i="16"/>
  <c r="E102" i="16"/>
  <c r="F102" i="16"/>
  <c r="G102" i="16"/>
  <c r="H102" i="16"/>
  <c r="I102" i="16"/>
  <c r="D102" i="16"/>
  <c r="E101" i="16"/>
  <c r="F101" i="16"/>
  <c r="G101" i="16"/>
  <c r="H101" i="16"/>
  <c r="I101" i="16"/>
  <c r="H95" i="16"/>
  <c r="I95" i="16"/>
  <c r="E10" i="10"/>
  <c r="D10" i="10"/>
  <c r="C10" i="10"/>
  <c r="B10" i="10"/>
  <c r="G11" i="16"/>
  <c r="E9" i="10"/>
  <c r="D9" i="10"/>
  <c r="C9" i="10"/>
  <c r="D99" i="16"/>
  <c r="E99" i="16"/>
  <c r="F99" i="16"/>
  <c r="G99" i="16"/>
  <c r="H99" i="16"/>
  <c r="I99" i="16"/>
  <c r="D95" i="16"/>
  <c r="E95" i="16"/>
  <c r="F95" i="16"/>
  <c r="G95" i="16"/>
  <c r="E92" i="16"/>
  <c r="F92" i="16"/>
  <c r="G92" i="16" s="1"/>
  <c r="H92" i="16" s="1"/>
  <c r="I92" i="16" s="1"/>
  <c r="I7" i="16"/>
  <c r="J5" i="16"/>
  <c r="D7" i="16"/>
  <c r="E7" i="16"/>
  <c r="F7" i="16"/>
  <c r="G7" i="16"/>
  <c r="H7" i="16"/>
  <c r="N85" i="16"/>
  <c r="N88" i="16"/>
  <c r="N86" i="16"/>
  <c r="N83" i="16"/>
  <c r="N84" i="16"/>
  <c r="E54" i="16"/>
  <c r="N82" i="16"/>
  <c r="Q25" i="18"/>
  <c r="R25" i="18"/>
  <c r="S25" i="18"/>
  <c r="P25" i="18"/>
  <c r="G74" i="16"/>
  <c r="F74" i="16"/>
  <c r="E74" i="16"/>
  <c r="D74" i="16"/>
  <c r="E76" i="16"/>
  <c r="F76" i="16"/>
  <c r="G76" i="16"/>
  <c r="D76" i="16"/>
  <c r="E71" i="16"/>
  <c r="F71" i="16"/>
  <c r="G71" i="16"/>
  <c r="D71" i="16"/>
  <c r="I19" i="16" s="1"/>
  <c r="D28" i="16"/>
  <c r="D33" i="16" s="1"/>
  <c r="E28" i="16"/>
  <c r="E33" i="16" s="1"/>
  <c r="F28" i="16"/>
  <c r="F33" i="16" s="1"/>
  <c r="G28" i="16"/>
  <c r="G33" i="16" s="1"/>
  <c r="F13" i="16"/>
  <c r="D13" i="16"/>
  <c r="E13" i="16"/>
  <c r="G13" i="16"/>
  <c r="G12" i="16"/>
  <c r="F12" i="16"/>
  <c r="E12" i="16"/>
  <c r="D12" i="16"/>
  <c r="B40" i="18"/>
  <c r="C40" i="18"/>
  <c r="D40" i="18"/>
  <c r="E40" i="18"/>
  <c r="F40" i="18"/>
  <c r="G40" i="18"/>
  <c r="H40" i="18"/>
  <c r="I40" i="18"/>
  <c r="J40" i="18"/>
  <c r="K40" i="18"/>
  <c r="L40" i="18"/>
  <c r="M40" i="18"/>
  <c r="B41" i="18"/>
  <c r="B46" i="18" s="1"/>
  <c r="C41" i="18"/>
  <c r="C46" i="18" s="1"/>
  <c r="D41" i="18"/>
  <c r="D46" i="18" s="1"/>
  <c r="E41" i="18"/>
  <c r="E46" i="18" s="1"/>
  <c r="F41" i="18"/>
  <c r="F46" i="18" s="1"/>
  <c r="G41" i="18"/>
  <c r="G46" i="18" s="1"/>
  <c r="H41" i="18"/>
  <c r="H46" i="18" s="1"/>
  <c r="I41" i="18"/>
  <c r="I46" i="18" s="1"/>
  <c r="J41" i="18"/>
  <c r="J46" i="18" s="1"/>
  <c r="K41" i="18"/>
  <c r="K46" i="18" s="1"/>
  <c r="L41" i="18"/>
  <c r="L46" i="18" s="1"/>
  <c r="M41" i="18"/>
  <c r="B36" i="18"/>
  <c r="C36" i="18"/>
  <c r="D36" i="18"/>
  <c r="E36" i="18"/>
  <c r="F36" i="18"/>
  <c r="G36" i="18"/>
  <c r="H36" i="18"/>
  <c r="I36" i="18"/>
  <c r="J36" i="18"/>
  <c r="K36" i="18"/>
  <c r="L36" i="18"/>
  <c r="M36" i="18"/>
  <c r="B28" i="18"/>
  <c r="C28" i="18"/>
  <c r="D28" i="18"/>
  <c r="E28" i="18"/>
  <c r="F28" i="18"/>
  <c r="G28" i="18"/>
  <c r="H28" i="18"/>
  <c r="I28" i="18"/>
  <c r="J28" i="18"/>
  <c r="K28" i="18"/>
  <c r="L28" i="18"/>
  <c r="M28" i="18"/>
  <c r="B21" i="18"/>
  <c r="B22" i="18" s="1"/>
  <c r="C21" i="18"/>
  <c r="C22" i="18" s="1"/>
  <c r="D21" i="18"/>
  <c r="D22" i="18" s="1"/>
  <c r="E21" i="18"/>
  <c r="E22" i="18" s="1"/>
  <c r="F21" i="18"/>
  <c r="F22" i="18" s="1"/>
  <c r="G21" i="18"/>
  <c r="G22" i="18" s="1"/>
  <c r="H21" i="18"/>
  <c r="H22" i="18" s="1"/>
  <c r="I21" i="18"/>
  <c r="I22" i="18" s="1"/>
  <c r="J21" i="18"/>
  <c r="J22" i="18" s="1"/>
  <c r="K21" i="18"/>
  <c r="K22" i="18" s="1"/>
  <c r="L21" i="18"/>
  <c r="L22" i="18" s="1"/>
  <c r="M21" i="18"/>
  <c r="M22" i="18" s="1"/>
  <c r="D15" i="18"/>
  <c r="H74" i="16" l="1"/>
  <c r="D53" i="16" s="1"/>
  <c r="H76" i="16"/>
  <c r="D59" i="16" s="1"/>
  <c r="H19" i="16"/>
  <c r="J19" i="16"/>
  <c r="B9" i="10"/>
  <c r="N27" i="16"/>
  <c r="K27" i="16"/>
  <c r="L27" i="16"/>
  <c r="M27" i="16"/>
  <c r="M19" i="16"/>
  <c r="L19" i="16"/>
  <c r="N19" i="16"/>
  <c r="K19" i="16"/>
  <c r="Q25" i="16"/>
  <c r="M8" i="16"/>
  <c r="K5" i="16"/>
  <c r="H111" i="16"/>
  <c r="G109" i="16"/>
  <c r="G111" i="16" s="1"/>
  <c r="D101" i="16"/>
  <c r="J7" i="16"/>
  <c r="C7" i="18"/>
  <c r="C4" i="18"/>
  <c r="J11" i="3"/>
  <c r="J12" i="3"/>
  <c r="J13" i="3"/>
  <c r="J18" i="1"/>
  <c r="J11" i="1"/>
  <c r="F8" i="1"/>
  <c r="F9" i="1"/>
  <c r="F10" i="1"/>
  <c r="F11" i="1"/>
  <c r="F12" i="1"/>
  <c r="O27" i="16" l="1"/>
  <c r="O19" i="16"/>
  <c r="R25" i="16"/>
  <c r="J22" i="16"/>
  <c r="J8" i="16"/>
  <c r="K20" i="16"/>
  <c r="J20" i="16"/>
  <c r="K7" i="16"/>
  <c r="L11" i="1"/>
  <c r="P27" i="16" l="1"/>
  <c r="Q27" i="16"/>
  <c r="P19" i="16"/>
  <c r="S25" i="16"/>
  <c r="L7" i="16"/>
  <c r="H5" i="16"/>
  <c r="I3" i="16"/>
  <c r="J3" i="16" s="1"/>
  <c r="K3" i="16" s="1"/>
  <c r="L3" i="16" s="1"/>
  <c r="M3" i="16" s="1"/>
  <c r="N3" i="16" s="1"/>
  <c r="O3" i="16" s="1"/>
  <c r="P3" i="16" s="1"/>
  <c r="Q3" i="16" s="1"/>
  <c r="R3" i="16" s="1"/>
  <c r="S3" i="16" s="1"/>
  <c r="T3" i="16" s="1"/>
  <c r="U3" i="16" s="1"/>
  <c r="V3" i="16" s="1"/>
  <c r="W3" i="16" s="1"/>
  <c r="X3" i="16" s="1"/>
  <c r="Y3" i="16" s="1"/>
  <c r="Z3" i="16" s="1"/>
  <c r="AA3" i="16" s="1"/>
  <c r="AB3" i="16" s="1"/>
  <c r="AC3" i="16" s="1"/>
  <c r="AD3" i="16" s="1"/>
  <c r="AE3" i="16" s="1"/>
  <c r="AF3" i="16" s="1"/>
  <c r="AC38" i="19"/>
  <c r="AB38" i="19"/>
  <c r="AA38" i="19"/>
  <c r="Z38" i="19"/>
  <c r="AC41" i="19"/>
  <c r="AB41" i="19"/>
  <c r="AA41" i="19"/>
  <c r="Z41" i="19"/>
  <c r="C25" i="19"/>
  <c r="C36" i="19" s="1"/>
  <c r="D25" i="19"/>
  <c r="D36" i="19" s="1"/>
  <c r="E25" i="19"/>
  <c r="E36" i="19" s="1"/>
  <c r="F25" i="19"/>
  <c r="F36" i="19" s="1"/>
  <c r="G25" i="19"/>
  <c r="G36" i="19" s="1"/>
  <c r="H25" i="19"/>
  <c r="H36" i="19" s="1"/>
  <c r="I25" i="19"/>
  <c r="I36" i="19" s="1"/>
  <c r="J25" i="19"/>
  <c r="J36" i="19" s="1"/>
  <c r="K25" i="19"/>
  <c r="K36" i="19" s="1"/>
  <c r="L25" i="19"/>
  <c r="L36" i="19" s="1"/>
  <c r="M25" i="19"/>
  <c r="M36" i="19" s="1"/>
  <c r="N25" i="19"/>
  <c r="N36" i="19" s="1"/>
  <c r="O25" i="19"/>
  <c r="O36" i="19" s="1"/>
  <c r="P25" i="19"/>
  <c r="P36" i="19" s="1"/>
  <c r="Q25" i="19"/>
  <c r="Q36" i="19" s="1"/>
  <c r="R25" i="19"/>
  <c r="R36" i="19" s="1"/>
  <c r="S25" i="19"/>
  <c r="S36" i="19" s="1"/>
  <c r="T25" i="19"/>
  <c r="T36" i="19" s="1"/>
  <c r="U25" i="19"/>
  <c r="U36" i="19" s="1"/>
  <c r="V25" i="19"/>
  <c r="V36" i="19" s="1"/>
  <c r="W25" i="19"/>
  <c r="X25" i="19"/>
  <c r="X36" i="19" s="1"/>
  <c r="AD34" i="19"/>
  <c r="AC34" i="19"/>
  <c r="AB34" i="19"/>
  <c r="AA34" i="19"/>
  <c r="Z34" i="19"/>
  <c r="AD33" i="19"/>
  <c r="AC33" i="19"/>
  <c r="AB33" i="19"/>
  <c r="AA33" i="19"/>
  <c r="Z33" i="19"/>
  <c r="AD31" i="19"/>
  <c r="AC31" i="19"/>
  <c r="AB31" i="19"/>
  <c r="AA31" i="19"/>
  <c r="Z31" i="19"/>
  <c r="AD30" i="19"/>
  <c r="AC30" i="19"/>
  <c r="AB30" i="19"/>
  <c r="AA30" i="19"/>
  <c r="Z30" i="19"/>
  <c r="AF5" i="19"/>
  <c r="AG5" i="19" s="1"/>
  <c r="AH5" i="19" s="1"/>
  <c r="AI5" i="19" s="1"/>
  <c r="AJ5" i="19" s="1"/>
  <c r="AK5" i="19" s="1"/>
  <c r="AL5" i="19" s="1"/>
  <c r="AM5" i="19" s="1"/>
  <c r="AN5" i="19" s="1"/>
  <c r="AO5" i="19" s="1"/>
  <c r="AP5" i="19" s="1"/>
  <c r="AQ5" i="19" s="1"/>
  <c r="AR5" i="19" s="1"/>
  <c r="AS5" i="19" s="1"/>
  <c r="AT5" i="19" s="1"/>
  <c r="AU5" i="19" s="1"/>
  <c r="AV5" i="19" s="1"/>
  <c r="AW5" i="19" s="1"/>
  <c r="AX5" i="19" s="1"/>
  <c r="AY5" i="19" s="1"/>
  <c r="AZ5" i="19" s="1"/>
  <c r="BA5" i="19" s="1"/>
  <c r="BB5" i="19" s="1"/>
  <c r="AF6" i="19"/>
  <c r="Z27" i="19"/>
  <c r="AA27" i="19"/>
  <c r="Z26" i="19"/>
  <c r="AA26" i="19"/>
  <c r="AB27" i="19"/>
  <c r="AB26" i="19"/>
  <c r="AB25" i="19" s="1"/>
  <c r="AC27" i="19"/>
  <c r="AC26" i="19"/>
  <c r="AD27" i="19"/>
  <c r="AE27" i="19" s="1"/>
  <c r="AD26" i="19"/>
  <c r="AE26" i="19" s="1"/>
  <c r="C40" i="19"/>
  <c r="C42" i="19" s="1"/>
  <c r="D40" i="19"/>
  <c r="D42" i="19" s="1"/>
  <c r="E53" i="19"/>
  <c r="E54" i="19"/>
  <c r="E55" i="19"/>
  <c r="E56" i="19"/>
  <c r="E57" i="19"/>
  <c r="E52" i="19"/>
  <c r="I53" i="19"/>
  <c r="I54" i="19"/>
  <c r="I55" i="19"/>
  <c r="I56" i="19"/>
  <c r="I57" i="19"/>
  <c r="I52" i="19"/>
  <c r="J57" i="19"/>
  <c r="F57" i="19"/>
  <c r="F56" i="19"/>
  <c r="F55" i="19"/>
  <c r="F54" i="19"/>
  <c r="F53" i="19"/>
  <c r="F52" i="19"/>
  <c r="G57" i="19"/>
  <c r="G56" i="19"/>
  <c r="G55" i="19"/>
  <c r="G54" i="19"/>
  <c r="G53" i="19"/>
  <c r="G52" i="19"/>
  <c r="H57" i="19"/>
  <c r="H56" i="19"/>
  <c r="H55" i="19"/>
  <c r="H54" i="19"/>
  <c r="H53" i="19"/>
  <c r="H52" i="19"/>
  <c r="J52" i="19"/>
  <c r="K52" i="19"/>
  <c r="J53" i="19"/>
  <c r="K53" i="19"/>
  <c r="J54" i="19"/>
  <c r="K54" i="19"/>
  <c r="J55" i="19"/>
  <c r="K55" i="19"/>
  <c r="J56" i="19"/>
  <c r="K56" i="19"/>
  <c r="K57" i="19"/>
  <c r="L53" i="19"/>
  <c r="L54" i="19"/>
  <c r="L55" i="19"/>
  <c r="L56" i="19"/>
  <c r="L57" i="19"/>
  <c r="L52" i="19"/>
  <c r="E40" i="19"/>
  <c r="E42" i="19" s="1"/>
  <c r="I40" i="19"/>
  <c r="I42" i="19" s="1"/>
  <c r="F40" i="19"/>
  <c r="F42" i="19" s="1"/>
  <c r="J40" i="19"/>
  <c r="J42" i="19" s="1"/>
  <c r="G40" i="19"/>
  <c r="G42" i="19" s="1"/>
  <c r="K40" i="19"/>
  <c r="K42" i="19" s="1"/>
  <c r="H40" i="19"/>
  <c r="H42" i="19" s="1"/>
  <c r="L40" i="19"/>
  <c r="L42" i="19" s="1"/>
  <c r="M53" i="19"/>
  <c r="N53" i="19"/>
  <c r="O53" i="19"/>
  <c r="P53" i="19"/>
  <c r="M54" i="19"/>
  <c r="N54" i="19"/>
  <c r="O54" i="19"/>
  <c r="P54" i="19"/>
  <c r="M55" i="19"/>
  <c r="N55" i="19"/>
  <c r="O55" i="19"/>
  <c r="P55" i="19"/>
  <c r="M56" i="19"/>
  <c r="N56" i="19"/>
  <c r="O56" i="19"/>
  <c r="P56" i="19"/>
  <c r="M57" i="19"/>
  <c r="N57" i="19"/>
  <c r="O57" i="19"/>
  <c r="P57" i="19"/>
  <c r="M52" i="19"/>
  <c r="N52" i="19"/>
  <c r="O52" i="19"/>
  <c r="P52" i="19"/>
  <c r="M40" i="19"/>
  <c r="M42" i="19" s="1"/>
  <c r="N40" i="19"/>
  <c r="N42" i="19" s="1"/>
  <c r="O40" i="19"/>
  <c r="O42" i="19" s="1"/>
  <c r="Q53" i="19"/>
  <c r="R53" i="19"/>
  <c r="S53" i="19"/>
  <c r="T53" i="19"/>
  <c r="U53" i="19"/>
  <c r="V53" i="19"/>
  <c r="W53" i="19"/>
  <c r="Q54" i="19"/>
  <c r="R54" i="19"/>
  <c r="S54" i="19"/>
  <c r="T54" i="19"/>
  <c r="U54" i="19"/>
  <c r="V54" i="19"/>
  <c r="W54" i="19"/>
  <c r="Q55" i="19"/>
  <c r="R55" i="19"/>
  <c r="S55" i="19"/>
  <c r="T55" i="19"/>
  <c r="U55" i="19"/>
  <c r="V55" i="19"/>
  <c r="W55" i="19"/>
  <c r="Q56" i="19"/>
  <c r="R56" i="19"/>
  <c r="S56" i="19"/>
  <c r="T56" i="19"/>
  <c r="U56" i="19"/>
  <c r="V56" i="19"/>
  <c r="W56" i="19"/>
  <c r="Q57" i="19"/>
  <c r="R57" i="19"/>
  <c r="S57" i="19"/>
  <c r="T57" i="19"/>
  <c r="U57" i="19"/>
  <c r="V57" i="19"/>
  <c r="W57" i="19"/>
  <c r="W52" i="19"/>
  <c r="V52" i="19"/>
  <c r="U52" i="19"/>
  <c r="T52" i="19"/>
  <c r="S52" i="19"/>
  <c r="R52" i="19"/>
  <c r="Q52" i="19"/>
  <c r="AC52" i="19" s="1"/>
  <c r="P40" i="19"/>
  <c r="P42" i="19" s="1"/>
  <c r="T40" i="19"/>
  <c r="T42" i="19" s="1"/>
  <c r="Q40" i="19"/>
  <c r="Q42" i="19" s="1"/>
  <c r="U40" i="19"/>
  <c r="U42" i="19" s="1"/>
  <c r="V40" i="19"/>
  <c r="V42" i="19" s="1"/>
  <c r="R40" i="19"/>
  <c r="R42" i="19" s="1"/>
  <c r="S40" i="19"/>
  <c r="S42" i="19" s="1"/>
  <c r="W40" i="19"/>
  <c r="W42" i="19" s="1"/>
  <c r="C39" i="1"/>
  <c r="R27" i="16" l="1"/>
  <c r="S27" i="16"/>
  <c r="Q19" i="16"/>
  <c r="T25" i="16"/>
  <c r="Z10" i="19"/>
  <c r="W36" i="19"/>
  <c r="U22" i="19"/>
  <c r="U21" i="19"/>
  <c r="AC54" i="19"/>
  <c r="AA57" i="19"/>
  <c r="Z55" i="19"/>
  <c r="Z22" i="19" s="1"/>
  <c r="AA55" i="19"/>
  <c r="AA22" i="19" s="1"/>
  <c r="AC12" i="19"/>
  <c r="AB56" i="19"/>
  <c r="AB54" i="19"/>
  <c r="AA54" i="19"/>
  <c r="AC25" i="19"/>
  <c r="AC19" i="19" s="1"/>
  <c r="AC56" i="19"/>
  <c r="AB55" i="19"/>
  <c r="AB22" i="19" s="1"/>
  <c r="AB53" i="19"/>
  <c r="Z52" i="19"/>
  <c r="Z53" i="19"/>
  <c r="AA52" i="19"/>
  <c r="AA19" i="19" s="1"/>
  <c r="AB52" i="19"/>
  <c r="AB19" i="19" s="1"/>
  <c r="AA53" i="19"/>
  <c r="AB36" i="19"/>
  <c r="AC55" i="19"/>
  <c r="AC22" i="19" s="1"/>
  <c r="AC53" i="19"/>
  <c r="Z57" i="19"/>
  <c r="AB57" i="19"/>
  <c r="Z54" i="19"/>
  <c r="AC57" i="19"/>
  <c r="AA56" i="19"/>
  <c r="AC36" i="19"/>
  <c r="Z56" i="19"/>
  <c r="Z40" i="19"/>
  <c r="Z17" i="19" s="1"/>
  <c r="AA40" i="19"/>
  <c r="AA17" i="19" s="1"/>
  <c r="AB40" i="19"/>
  <c r="AB17" i="19" s="1"/>
  <c r="AC40" i="19"/>
  <c r="AC17" i="19" s="1"/>
  <c r="AE25" i="19"/>
  <c r="I5" i="16" s="1"/>
  <c r="AA25" i="19"/>
  <c r="AB12" i="19"/>
  <c r="AB13" i="19"/>
  <c r="Z25" i="19"/>
  <c r="AC9" i="19"/>
  <c r="AB10" i="19"/>
  <c r="AA9" i="19"/>
  <c r="AA10" i="19"/>
  <c r="AC10" i="19"/>
  <c r="Z9" i="19"/>
  <c r="AB9" i="19"/>
  <c r="AF27" i="19"/>
  <c r="AG6" i="19"/>
  <c r="AH6" i="19" s="1"/>
  <c r="AI6" i="19" s="1"/>
  <c r="AJ6" i="19" s="1"/>
  <c r="AK6" i="19" s="1"/>
  <c r="AL6" i="19" s="1"/>
  <c r="AM6" i="19" s="1"/>
  <c r="AN6" i="19" s="1"/>
  <c r="AO6" i="19" s="1"/>
  <c r="AP6" i="19" s="1"/>
  <c r="AQ6" i="19" s="1"/>
  <c r="AR6" i="19" s="1"/>
  <c r="AS6" i="19" s="1"/>
  <c r="AT6" i="19" s="1"/>
  <c r="AU6" i="19" s="1"/>
  <c r="AV6" i="19" s="1"/>
  <c r="AW6" i="19" s="1"/>
  <c r="AX6" i="19" s="1"/>
  <c r="AY6" i="19" s="1"/>
  <c r="AZ6" i="19" s="1"/>
  <c r="BA6" i="19" s="1"/>
  <c r="BB6" i="19" s="1"/>
  <c r="AD9" i="19"/>
  <c r="AE9" i="19" s="1"/>
  <c r="AD10" i="19"/>
  <c r="AE10" i="19" s="1"/>
  <c r="AF26" i="19"/>
  <c r="AD25" i="19"/>
  <c r="AD36" i="19" s="1"/>
  <c r="L41" i="1"/>
  <c r="K41" i="1"/>
  <c r="C42" i="1"/>
  <c r="C41" i="1"/>
  <c r="N37" i="1"/>
  <c r="D38" i="1"/>
  <c r="C38" i="1"/>
  <c r="W10" i="3"/>
  <c r="X10" i="3"/>
  <c r="Y10" i="3"/>
  <c r="T27" i="16" l="1"/>
  <c r="U27" i="16"/>
  <c r="R19" i="16"/>
  <c r="U25" i="16"/>
  <c r="Z21" i="19"/>
  <c r="Z23" i="19" s="1"/>
  <c r="Z20" i="19"/>
  <c r="Z19" i="19"/>
  <c r="AC21" i="19"/>
  <c r="AC23" i="19" s="1"/>
  <c r="AC20" i="19"/>
  <c r="AB20" i="19"/>
  <c r="AB21" i="19"/>
  <c r="AB23" i="19" s="1"/>
  <c r="AA21" i="19"/>
  <c r="AA23" i="19" s="1"/>
  <c r="AA20" i="19"/>
  <c r="AC13" i="19"/>
  <c r="Z13" i="19"/>
  <c r="Z36" i="19"/>
  <c r="AA12" i="19"/>
  <c r="AA36" i="19"/>
  <c r="AA13" i="19"/>
  <c r="AD12" i="19"/>
  <c r="AE12" i="19" s="1"/>
  <c r="AD13" i="19"/>
  <c r="AE13" i="19" s="1"/>
  <c r="Z12" i="19"/>
  <c r="AF10" i="19"/>
  <c r="AE31" i="19"/>
  <c r="AF9" i="19"/>
  <c r="AE30" i="19"/>
  <c r="AF25" i="19"/>
  <c r="AG27" i="19"/>
  <c r="AH27" i="19" s="1"/>
  <c r="AI27" i="19" s="1"/>
  <c r="AJ27" i="19" s="1"/>
  <c r="AK27" i="19" s="1"/>
  <c r="AL27" i="19" s="1"/>
  <c r="AM27" i="19" s="1"/>
  <c r="AN27" i="19" s="1"/>
  <c r="AO27" i="19" s="1"/>
  <c r="AP27" i="19" s="1"/>
  <c r="AQ27" i="19" s="1"/>
  <c r="AR27" i="19" s="1"/>
  <c r="AS27" i="19" s="1"/>
  <c r="AT27" i="19" s="1"/>
  <c r="AU27" i="19" s="1"/>
  <c r="AV27" i="19" s="1"/>
  <c r="AW27" i="19" s="1"/>
  <c r="AX27" i="19" s="1"/>
  <c r="AY27" i="19" s="1"/>
  <c r="AZ27" i="19" s="1"/>
  <c r="BA27" i="19" s="1"/>
  <c r="BB27" i="19" s="1"/>
  <c r="AG26" i="19"/>
  <c r="AH26" i="19" s="1"/>
  <c r="B60" i="17"/>
  <c r="B66" i="17"/>
  <c r="B56" i="17"/>
  <c r="B36" i="17"/>
  <c r="B24" i="17"/>
  <c r="E15" i="1" s="1"/>
  <c r="B19" i="17"/>
  <c r="B16" i="17"/>
  <c r="B12" i="17"/>
  <c r="E14" i="1" s="1"/>
  <c r="K42" i="1" s="1"/>
  <c r="B9" i="17"/>
  <c r="B10" i="17" s="1"/>
  <c r="B8" i="17"/>
  <c r="D67" i="16"/>
  <c r="C55" i="18"/>
  <c r="D55" i="18" s="1"/>
  <c r="D77" i="17" s="1"/>
  <c r="A54" i="18"/>
  <c r="H57" i="17"/>
  <c r="G57" i="17"/>
  <c r="L56" i="17"/>
  <c r="K56" i="17"/>
  <c r="J56" i="17"/>
  <c r="I56" i="17"/>
  <c r="D56" i="17"/>
  <c r="C56" i="17"/>
  <c r="I52" i="17"/>
  <c r="H52" i="17"/>
  <c r="G52" i="17"/>
  <c r="F52" i="17"/>
  <c r="E52" i="17"/>
  <c r="D52" i="17"/>
  <c r="C52" i="17"/>
  <c r="M44" i="17"/>
  <c r="L44" i="17"/>
  <c r="K44" i="17"/>
  <c r="J44" i="17"/>
  <c r="I44" i="17"/>
  <c r="G44" i="17"/>
  <c r="F44" i="17"/>
  <c r="E44" i="17"/>
  <c r="D44" i="17"/>
  <c r="C44" i="17"/>
  <c r="J29" i="17"/>
  <c r="I29" i="17"/>
  <c r="AB18" i="18"/>
  <c r="AA18" i="18"/>
  <c r="Z18" i="18"/>
  <c r="Y18" i="18"/>
  <c r="X18" i="18"/>
  <c r="W18" i="18"/>
  <c r="V18" i="18"/>
  <c r="U18" i="18"/>
  <c r="T18" i="18"/>
  <c r="S18" i="18"/>
  <c r="M33" i="17"/>
  <c r="E33" i="17"/>
  <c r="AC13" i="18"/>
  <c r="AB13" i="18"/>
  <c r="AA13" i="18"/>
  <c r="Z13" i="18"/>
  <c r="Y13" i="18"/>
  <c r="X13" i="18"/>
  <c r="X17" i="18" s="1"/>
  <c r="W13" i="18"/>
  <c r="V13" i="18"/>
  <c r="U13" i="18"/>
  <c r="T13" i="18"/>
  <c r="S13" i="18"/>
  <c r="AC12" i="18"/>
  <c r="AB12" i="18"/>
  <c r="AA12" i="18"/>
  <c r="Z12" i="18"/>
  <c r="Y12" i="18"/>
  <c r="Y16" i="18" s="1"/>
  <c r="X12" i="18"/>
  <c r="W12" i="18"/>
  <c r="V12" i="18"/>
  <c r="U12" i="18"/>
  <c r="T12" i="18"/>
  <c r="S12" i="18"/>
  <c r="S11" i="18"/>
  <c r="E14" i="17"/>
  <c r="D14" i="17"/>
  <c r="E7" i="17"/>
  <c r="D7" i="17"/>
  <c r="D7" i="18"/>
  <c r="E7" i="18" s="1"/>
  <c r="G5" i="18"/>
  <c r="A1" i="17" s="1"/>
  <c r="E85" i="17"/>
  <c r="D85" i="17"/>
  <c r="C85" i="17"/>
  <c r="B85" i="17"/>
  <c r="A85" i="17"/>
  <c r="E84" i="17"/>
  <c r="D84" i="17"/>
  <c r="C84" i="17"/>
  <c r="B84" i="17"/>
  <c r="A84" i="17"/>
  <c r="E83" i="17"/>
  <c r="D83" i="17"/>
  <c r="C83" i="17"/>
  <c r="B83" i="17"/>
  <c r="A83" i="17"/>
  <c r="E82" i="17"/>
  <c r="D82" i="17"/>
  <c r="C82" i="17"/>
  <c r="B82" i="17"/>
  <c r="A82" i="17"/>
  <c r="A81" i="17"/>
  <c r="D79" i="17"/>
  <c r="C79" i="17"/>
  <c r="B79" i="17"/>
  <c r="A79" i="17"/>
  <c r="B78" i="17"/>
  <c r="A78" i="17"/>
  <c r="C77" i="17"/>
  <c r="B77" i="17"/>
  <c r="IH75" i="17"/>
  <c r="M75" i="17"/>
  <c r="L75" i="17"/>
  <c r="K75" i="17"/>
  <c r="J75" i="17"/>
  <c r="I75" i="17"/>
  <c r="H75" i="17"/>
  <c r="G75" i="17"/>
  <c r="F75" i="17"/>
  <c r="E75" i="17"/>
  <c r="D75" i="17"/>
  <c r="C75" i="17"/>
  <c r="A75" i="17"/>
  <c r="M74" i="17"/>
  <c r="L74" i="17"/>
  <c r="K74" i="17"/>
  <c r="J74" i="17"/>
  <c r="I74" i="17"/>
  <c r="H74" i="17"/>
  <c r="G74" i="17"/>
  <c r="F74" i="17"/>
  <c r="E74" i="17"/>
  <c r="D74" i="17"/>
  <c r="C74" i="17"/>
  <c r="M73" i="17"/>
  <c r="L73" i="17"/>
  <c r="K73" i="17"/>
  <c r="J73" i="17"/>
  <c r="I73" i="17"/>
  <c r="H73" i="17"/>
  <c r="G73" i="17"/>
  <c r="F73" i="17"/>
  <c r="E73" i="17"/>
  <c r="D73" i="17"/>
  <c r="C73" i="17"/>
  <c r="M72" i="17"/>
  <c r="L72" i="17"/>
  <c r="K72" i="17"/>
  <c r="J72" i="17"/>
  <c r="I72" i="17"/>
  <c r="H72" i="17"/>
  <c r="G72" i="17"/>
  <c r="F72" i="17"/>
  <c r="E72" i="17"/>
  <c r="D72" i="17"/>
  <c r="C72" i="17"/>
  <c r="M71" i="17"/>
  <c r="L71" i="17"/>
  <c r="K71" i="17"/>
  <c r="J71" i="17"/>
  <c r="I71" i="17"/>
  <c r="H71" i="17"/>
  <c r="G71" i="17"/>
  <c r="F71" i="17"/>
  <c r="E71" i="17"/>
  <c r="D71" i="17"/>
  <c r="C71" i="17"/>
  <c r="M70" i="17"/>
  <c r="L70" i="17"/>
  <c r="K70" i="17"/>
  <c r="J70" i="17"/>
  <c r="I70" i="17"/>
  <c r="H70" i="17"/>
  <c r="G70" i="17"/>
  <c r="F70" i="17"/>
  <c r="E70" i="17"/>
  <c r="D70" i="17"/>
  <c r="C70" i="17"/>
  <c r="M63" i="17"/>
  <c r="L63" i="17"/>
  <c r="K63" i="17"/>
  <c r="J63" i="17"/>
  <c r="I63" i="17"/>
  <c r="H63" i="17"/>
  <c r="G63" i="17"/>
  <c r="F63" i="17"/>
  <c r="E63" i="17"/>
  <c r="D63" i="17"/>
  <c r="C63" i="17"/>
  <c r="L57" i="17"/>
  <c r="K57" i="17"/>
  <c r="F57" i="17"/>
  <c r="E57" i="17"/>
  <c r="D57" i="17"/>
  <c r="C57" i="17"/>
  <c r="M56" i="17"/>
  <c r="H56" i="17"/>
  <c r="G56" i="17"/>
  <c r="F56" i="17"/>
  <c r="E56" i="17"/>
  <c r="M55" i="17"/>
  <c r="L55" i="17"/>
  <c r="K55" i="17"/>
  <c r="J55" i="17"/>
  <c r="I55" i="17"/>
  <c r="H55" i="17"/>
  <c r="G55" i="17"/>
  <c r="F55" i="17"/>
  <c r="E55" i="17"/>
  <c r="D55" i="17"/>
  <c r="C55" i="17"/>
  <c r="M54" i="17"/>
  <c r="L54" i="17"/>
  <c r="K54" i="17"/>
  <c r="J54" i="17"/>
  <c r="I54" i="17"/>
  <c r="H54" i="17"/>
  <c r="G54" i="17"/>
  <c r="F54" i="17"/>
  <c r="E54" i="17"/>
  <c r="D54" i="17"/>
  <c r="C54" i="17"/>
  <c r="M53" i="17"/>
  <c r="L53" i="17"/>
  <c r="K53" i="17"/>
  <c r="J53" i="17"/>
  <c r="I53" i="17"/>
  <c r="H53" i="17"/>
  <c r="G53" i="17"/>
  <c r="F53" i="17"/>
  <c r="E53" i="17"/>
  <c r="D53" i="17"/>
  <c r="C53" i="17"/>
  <c r="M52" i="17"/>
  <c r="L52" i="17"/>
  <c r="K52" i="17"/>
  <c r="J52" i="17"/>
  <c r="M51" i="17"/>
  <c r="L51" i="17"/>
  <c r="K51" i="17"/>
  <c r="J51" i="17"/>
  <c r="I51" i="17"/>
  <c r="H51" i="17"/>
  <c r="G51" i="17"/>
  <c r="F51" i="17"/>
  <c r="E51" i="17"/>
  <c r="D51" i="17"/>
  <c r="C51" i="17"/>
  <c r="M50" i="17"/>
  <c r="L50" i="17"/>
  <c r="K50" i="17"/>
  <c r="J50" i="17"/>
  <c r="I50" i="17"/>
  <c r="H50" i="17"/>
  <c r="G50" i="17"/>
  <c r="F50" i="17"/>
  <c r="E50" i="17"/>
  <c r="D50" i="17"/>
  <c r="C50" i="17"/>
  <c r="M49" i="17"/>
  <c r="L49" i="17"/>
  <c r="K49" i="17"/>
  <c r="J49" i="17"/>
  <c r="I49" i="17"/>
  <c r="H49" i="17"/>
  <c r="G49" i="17"/>
  <c r="F49" i="17"/>
  <c r="E49" i="17"/>
  <c r="D49" i="17"/>
  <c r="C49" i="17"/>
  <c r="M45" i="17"/>
  <c r="L45" i="17"/>
  <c r="K45" i="17"/>
  <c r="J45" i="17"/>
  <c r="I45" i="17"/>
  <c r="H45" i="17"/>
  <c r="G45" i="17"/>
  <c r="F45" i="17"/>
  <c r="E45" i="17"/>
  <c r="D45" i="17"/>
  <c r="C45" i="17"/>
  <c r="H44" i="17"/>
  <c r="M43" i="17"/>
  <c r="L43" i="17"/>
  <c r="K43" i="17"/>
  <c r="J43" i="17"/>
  <c r="I43" i="17"/>
  <c r="H43" i="17"/>
  <c r="G43" i="17"/>
  <c r="F43" i="17"/>
  <c r="E43" i="17"/>
  <c r="D43" i="17"/>
  <c r="C43" i="17"/>
  <c r="M42" i="17"/>
  <c r="L42" i="17"/>
  <c r="K42" i="17"/>
  <c r="J42" i="17"/>
  <c r="I42" i="17"/>
  <c r="H42" i="17"/>
  <c r="G42" i="17"/>
  <c r="F42" i="17"/>
  <c r="E42" i="17"/>
  <c r="D42" i="17"/>
  <c r="C42" i="17"/>
  <c r="M41" i="17"/>
  <c r="L41" i="17"/>
  <c r="K41" i="17"/>
  <c r="J41" i="17"/>
  <c r="I41" i="17"/>
  <c r="H41" i="17"/>
  <c r="G41" i="17"/>
  <c r="F41" i="17"/>
  <c r="E41" i="17"/>
  <c r="D41" i="17"/>
  <c r="C41" i="17"/>
  <c r="M40" i="17"/>
  <c r="M26" i="17" s="1"/>
  <c r="L40" i="17"/>
  <c r="K40" i="17"/>
  <c r="J40" i="17"/>
  <c r="I40" i="17"/>
  <c r="H40" i="17"/>
  <c r="G40" i="17"/>
  <c r="F40" i="17"/>
  <c r="E40" i="17"/>
  <c r="D40" i="17"/>
  <c r="C40" i="17"/>
  <c r="M34" i="17"/>
  <c r="L34" i="17"/>
  <c r="K34" i="17"/>
  <c r="J34" i="17"/>
  <c r="I34" i="17"/>
  <c r="H34" i="17"/>
  <c r="G34" i="17"/>
  <c r="F34" i="17"/>
  <c r="E34" i="17"/>
  <c r="D34" i="17"/>
  <c r="C34" i="17"/>
  <c r="L33" i="17"/>
  <c r="K33" i="17"/>
  <c r="J33" i="17"/>
  <c r="I33" i="17"/>
  <c r="H33" i="17"/>
  <c r="G33" i="17"/>
  <c r="F33" i="17"/>
  <c r="D33" i="17"/>
  <c r="C33" i="17"/>
  <c r="M29" i="17"/>
  <c r="L29" i="17"/>
  <c r="K29" i="17"/>
  <c r="H29" i="17"/>
  <c r="G29" i="17"/>
  <c r="F29" i="17"/>
  <c r="E29" i="17"/>
  <c r="D29" i="17"/>
  <c r="C29" i="17"/>
  <c r="M27" i="17"/>
  <c r="L27" i="17"/>
  <c r="K27" i="17"/>
  <c r="J27" i="17"/>
  <c r="I27" i="17"/>
  <c r="H27" i="17"/>
  <c r="G27" i="17"/>
  <c r="F27" i="17"/>
  <c r="E27" i="17"/>
  <c r="D27" i="17"/>
  <c r="C27" i="17"/>
  <c r="B37" i="17" s="1"/>
  <c r="M23" i="17"/>
  <c r="L23" i="17"/>
  <c r="K23" i="17"/>
  <c r="J23" i="17"/>
  <c r="I23" i="17"/>
  <c r="H23" i="17"/>
  <c r="G23" i="17"/>
  <c r="F23" i="17"/>
  <c r="E23" i="17"/>
  <c r="D23" i="17"/>
  <c r="C23" i="17"/>
  <c r="M21" i="17"/>
  <c r="L21" i="17"/>
  <c r="K21" i="17"/>
  <c r="J21" i="17"/>
  <c r="I21" i="17"/>
  <c r="H21" i="17"/>
  <c r="G21" i="17"/>
  <c r="F21" i="17"/>
  <c r="E21" i="17"/>
  <c r="D21" i="17"/>
  <c r="C21" i="17"/>
  <c r="M18" i="17"/>
  <c r="L18" i="17"/>
  <c r="K18" i="17"/>
  <c r="J18" i="17"/>
  <c r="I18" i="17"/>
  <c r="H18" i="17"/>
  <c r="G18" i="17"/>
  <c r="F18" i="17"/>
  <c r="E18" i="17"/>
  <c r="D18" i="17"/>
  <c r="C18" i="17"/>
  <c r="M17" i="17"/>
  <c r="L17" i="17"/>
  <c r="K17" i="17"/>
  <c r="J17" i="17"/>
  <c r="I17" i="17"/>
  <c r="H17" i="17"/>
  <c r="G17" i="17"/>
  <c r="F17" i="17"/>
  <c r="E17" i="17"/>
  <c r="D17" i="17"/>
  <c r="C17" i="17"/>
  <c r="M15" i="17"/>
  <c r="L15" i="17"/>
  <c r="K15" i="17"/>
  <c r="J15" i="17"/>
  <c r="I15" i="17"/>
  <c r="H15" i="17"/>
  <c r="G15" i="17"/>
  <c r="F15" i="17"/>
  <c r="E15" i="17"/>
  <c r="D15" i="17"/>
  <c r="C15" i="17"/>
  <c r="M14" i="17"/>
  <c r="K14" i="17"/>
  <c r="J14" i="17"/>
  <c r="I14" i="17"/>
  <c r="H14" i="17"/>
  <c r="G14" i="17"/>
  <c r="F14" i="17"/>
  <c r="C14" i="17"/>
  <c r="M11" i="17"/>
  <c r="L11" i="17"/>
  <c r="K11" i="17"/>
  <c r="J11" i="17"/>
  <c r="I11" i="17"/>
  <c r="H11" i="17"/>
  <c r="G11" i="17"/>
  <c r="M7" i="17"/>
  <c r="L7" i="17"/>
  <c r="K7" i="17"/>
  <c r="J7" i="17"/>
  <c r="I7" i="17"/>
  <c r="H7" i="17"/>
  <c r="G7" i="17"/>
  <c r="F7" i="17"/>
  <c r="M5" i="17"/>
  <c r="L5" i="17"/>
  <c r="K5" i="17"/>
  <c r="J5" i="17"/>
  <c r="I5" i="17"/>
  <c r="H5" i="17"/>
  <c r="G5" i="17"/>
  <c r="F5" i="17"/>
  <c r="E5" i="17"/>
  <c r="D5" i="17"/>
  <c r="C5" i="17"/>
  <c r="B6" i="17" s="1"/>
  <c r="D4" i="17"/>
  <c r="C4" i="17"/>
  <c r="A2" i="17"/>
  <c r="F3" i="16"/>
  <c r="F39" i="16" s="1"/>
  <c r="E3" i="16"/>
  <c r="D3" i="16"/>
  <c r="B59" i="17" l="1"/>
  <c r="C10" i="1"/>
  <c r="C12" i="1" s="1"/>
  <c r="B20" i="17"/>
  <c r="E11" i="1"/>
  <c r="E16" i="1"/>
  <c r="Z16" i="18"/>
  <c r="T16" i="18"/>
  <c r="L13" i="17"/>
  <c r="E4" i="17"/>
  <c r="AB17" i="18"/>
  <c r="J60" i="17"/>
  <c r="J59" i="17" s="1"/>
  <c r="I35" i="17"/>
  <c r="I36" i="17" s="1"/>
  <c r="W16" i="18"/>
  <c r="V27" i="16"/>
  <c r="W27" i="16"/>
  <c r="S19" i="16"/>
  <c r="V25" i="16"/>
  <c r="W25" i="16"/>
  <c r="AA17" i="18"/>
  <c r="U17" i="18"/>
  <c r="T17" i="18"/>
  <c r="T19" i="18" s="1"/>
  <c r="S17" i="18"/>
  <c r="D60" i="17"/>
  <c r="V17" i="18"/>
  <c r="V16" i="18"/>
  <c r="W17" i="18"/>
  <c r="C60" i="17"/>
  <c r="X16" i="18"/>
  <c r="X19" i="18" s="1"/>
  <c r="Y17" i="18"/>
  <c r="F66" i="17"/>
  <c r="K60" i="17"/>
  <c r="K59" i="17" s="1"/>
  <c r="AB16" i="18"/>
  <c r="AB19" i="18" s="1"/>
  <c r="I26" i="17"/>
  <c r="I30" i="17" s="1"/>
  <c r="L60" i="17"/>
  <c r="L59" i="17" s="1"/>
  <c r="E60" i="17"/>
  <c r="M60" i="17"/>
  <c r="M59" i="17" s="1"/>
  <c r="F60" i="17"/>
  <c r="F61" i="17" s="1"/>
  <c r="G60" i="17"/>
  <c r="G59" i="17" s="1"/>
  <c r="H60" i="17"/>
  <c r="H59" i="17" s="1"/>
  <c r="I60" i="17"/>
  <c r="I61" i="17" s="1"/>
  <c r="J57" i="17"/>
  <c r="J66" i="17" s="1"/>
  <c r="I57" i="17"/>
  <c r="I66" i="17" s="1"/>
  <c r="D59" i="17"/>
  <c r="M57" i="17"/>
  <c r="M66" i="17" s="1"/>
  <c r="G66" i="17"/>
  <c r="S16" i="18"/>
  <c r="AA16" i="18"/>
  <c r="J26" i="17"/>
  <c r="U16" i="18"/>
  <c r="Z17" i="18"/>
  <c r="Z19" i="18" s="1"/>
  <c r="B25" i="17"/>
  <c r="J17" i="1"/>
  <c r="H19" i="17"/>
  <c r="H20" i="17" s="1"/>
  <c r="AG25" i="19"/>
  <c r="AF13" i="19"/>
  <c r="AE34" i="19"/>
  <c r="AF12" i="19"/>
  <c r="AE33" i="19"/>
  <c r="AG9" i="19"/>
  <c r="AF30" i="19"/>
  <c r="AG10" i="19"/>
  <c r="AF31" i="19"/>
  <c r="AH25" i="19"/>
  <c r="AI26" i="19"/>
  <c r="F40" i="16"/>
  <c r="B26" i="17"/>
  <c r="B30" i="17" s="1"/>
  <c r="I6" i="17"/>
  <c r="H37" i="17"/>
  <c r="E8" i="17"/>
  <c r="B44" i="17"/>
  <c r="E12" i="1" s="1"/>
  <c r="B61" i="17"/>
  <c r="M24" i="17"/>
  <c r="J19" i="17"/>
  <c r="J20" i="17" s="1"/>
  <c r="C35" i="17"/>
  <c r="C36" i="17" s="1"/>
  <c r="D24" i="17"/>
  <c r="L24" i="17"/>
  <c r="M12" i="17"/>
  <c r="F25" i="17"/>
  <c r="H25" i="17"/>
  <c r="J9" i="17"/>
  <c r="J10" i="17" s="1"/>
  <c r="G26" i="17"/>
  <c r="D66" i="17"/>
  <c r="L66" i="17"/>
  <c r="K35" i="17"/>
  <c r="K36" i="17" s="1"/>
  <c r="F8" i="17"/>
  <c r="G19" i="17"/>
  <c r="G20" i="17" s="1"/>
  <c r="F35" i="17"/>
  <c r="F36" i="17" s="1"/>
  <c r="L26" i="17"/>
  <c r="H6" i="17"/>
  <c r="H8" i="17"/>
  <c r="J25" i="17"/>
  <c r="H35" i="17"/>
  <c r="H36" i="17" s="1"/>
  <c r="E26" i="17"/>
  <c r="H9" i="17"/>
  <c r="H10" i="17" s="1"/>
  <c r="G8" i="17"/>
  <c r="I9" i="17"/>
  <c r="I10" i="17" s="1"/>
  <c r="G12" i="17"/>
  <c r="I24" i="17"/>
  <c r="D35" i="17"/>
  <c r="D36" i="17" s="1"/>
  <c r="L35" i="17"/>
  <c r="L36" i="17" s="1"/>
  <c r="E66" i="17"/>
  <c r="D8" i="17"/>
  <c r="I25" i="17"/>
  <c r="K9" i="17"/>
  <c r="K10" i="17" s="1"/>
  <c r="I8" i="17"/>
  <c r="C24" i="17"/>
  <c r="K24" i="17"/>
  <c r="M37" i="17"/>
  <c r="L8" i="17"/>
  <c r="J8" i="17"/>
  <c r="I19" i="17"/>
  <c r="I20" i="17" s="1"/>
  <c r="D25" i="17"/>
  <c r="L25" i="17"/>
  <c r="F26" i="17"/>
  <c r="G35" i="17"/>
  <c r="G36" i="17" s="1"/>
  <c r="J61" i="17"/>
  <c r="M35" i="17"/>
  <c r="M36" i="17" s="1"/>
  <c r="H12" i="17"/>
  <c r="M9" i="17"/>
  <c r="M10" i="17" s="1"/>
  <c r="E25" i="17"/>
  <c r="D26" i="17"/>
  <c r="C61" i="17"/>
  <c r="E35" i="17"/>
  <c r="E36" i="17" s="1"/>
  <c r="J24" i="17"/>
  <c r="K16" i="17"/>
  <c r="K22" i="17" s="1"/>
  <c r="K19" i="17"/>
  <c r="K20" i="17" s="1"/>
  <c r="H26" i="17"/>
  <c r="M30" i="17"/>
  <c r="G9" i="17"/>
  <c r="G10" i="17" s="1"/>
  <c r="M8" i="17"/>
  <c r="L12" i="17"/>
  <c r="M16" i="17"/>
  <c r="M22" i="17" s="1"/>
  <c r="L19" i="17"/>
  <c r="L20" i="17" s="1"/>
  <c r="G25" i="17"/>
  <c r="E24" i="17"/>
  <c r="J35" i="17"/>
  <c r="J36" i="17" s="1"/>
  <c r="C66" i="17"/>
  <c r="K66" i="17"/>
  <c r="F11" i="17"/>
  <c r="F9" i="17" s="1"/>
  <c r="F10" i="17" s="1"/>
  <c r="H66" i="17"/>
  <c r="C7" i="17"/>
  <c r="C8" i="17" s="1"/>
  <c r="Y19" i="18"/>
  <c r="I37" i="17"/>
  <c r="F7" i="18"/>
  <c r="U11" i="18"/>
  <c r="F4" i="17"/>
  <c r="J6" i="17"/>
  <c r="I12" i="17"/>
  <c r="L14" i="17"/>
  <c r="L16" i="17" s="1"/>
  <c r="L22" i="17" s="1"/>
  <c r="M19" i="17"/>
  <c r="M20" i="17" s="1"/>
  <c r="F24" i="17"/>
  <c r="C25" i="17"/>
  <c r="K25" i="17"/>
  <c r="C37" i="17"/>
  <c r="K37" i="17"/>
  <c r="T11" i="18"/>
  <c r="K8" i="17"/>
  <c r="C6" i="17"/>
  <c r="G5" i="16" s="1"/>
  <c r="K6" i="17"/>
  <c r="J12" i="17"/>
  <c r="G13" i="17"/>
  <c r="G16" i="17"/>
  <c r="G22" i="17" s="1"/>
  <c r="G24" i="17"/>
  <c r="D6" i="17"/>
  <c r="F5" i="16" s="1"/>
  <c r="L6" i="17"/>
  <c r="L9" i="17"/>
  <c r="L10" i="17" s="1"/>
  <c r="K12" i="17"/>
  <c r="H13" i="17"/>
  <c r="H16" i="17"/>
  <c r="H22" i="17" s="1"/>
  <c r="H24" i="17"/>
  <c r="C26" i="17"/>
  <c r="K26" i="17"/>
  <c r="E6" i="17"/>
  <c r="E5" i="16" s="1"/>
  <c r="I13" i="17"/>
  <c r="I16" i="17"/>
  <c r="I22" i="17" s="1"/>
  <c r="F6" i="17"/>
  <c r="J13" i="17"/>
  <c r="J16" i="17"/>
  <c r="J22" i="17" s="1"/>
  <c r="G37" i="17"/>
  <c r="G6" i="17"/>
  <c r="K13" i="17"/>
  <c r="AA19" i="18" l="1"/>
  <c r="W19" i="18"/>
  <c r="V19" i="18"/>
  <c r="I59" i="17"/>
  <c r="U19" i="18"/>
  <c r="B31" i="17"/>
  <c r="B32" i="17" s="1"/>
  <c r="X27" i="16"/>
  <c r="Y27" i="16"/>
  <c r="T19" i="16"/>
  <c r="X25" i="16"/>
  <c r="Y25" i="16"/>
  <c r="T5" i="16"/>
  <c r="M61" i="17"/>
  <c r="E59" i="17"/>
  <c r="L61" i="17"/>
  <c r="E61" i="17"/>
  <c r="S19" i="18"/>
  <c r="C59" i="17"/>
  <c r="D61" i="17"/>
  <c r="M31" i="17"/>
  <c r="M32" i="17" s="1"/>
  <c r="E30" i="17"/>
  <c r="E31" i="17" s="1"/>
  <c r="E32" i="17" s="1"/>
  <c r="K61" i="17"/>
  <c r="F59" i="17"/>
  <c r="H61" i="17"/>
  <c r="G61" i="17"/>
  <c r="L30" i="17"/>
  <c r="L31" i="17" s="1"/>
  <c r="L32" i="17" s="1"/>
  <c r="J30" i="17"/>
  <c r="J31" i="17" s="1"/>
  <c r="J32" i="17" s="1"/>
  <c r="F30" i="17"/>
  <c r="F31" i="17" s="1"/>
  <c r="F32" i="17" s="1"/>
  <c r="C30" i="17"/>
  <c r="C31" i="17" s="1"/>
  <c r="C32" i="17" s="1"/>
  <c r="L5" i="16"/>
  <c r="AE36" i="19"/>
  <c r="AF33" i="19"/>
  <c r="AG12" i="19"/>
  <c r="AG13" i="19"/>
  <c r="AF34" i="19"/>
  <c r="AH10" i="19"/>
  <c r="AG31" i="19"/>
  <c r="AH9" i="19"/>
  <c r="AG30" i="19"/>
  <c r="AJ26" i="19"/>
  <c r="AI25" i="19"/>
  <c r="M5" i="16" s="1"/>
  <c r="H30" i="17"/>
  <c r="H31" i="17" s="1"/>
  <c r="H32" i="17" s="1"/>
  <c r="D30" i="17"/>
  <c r="D31" i="17" s="1"/>
  <c r="D32" i="17" s="1"/>
  <c r="I31" i="17"/>
  <c r="I32" i="17" s="1"/>
  <c r="J37" i="17"/>
  <c r="L37" i="17"/>
  <c r="C11" i="17"/>
  <c r="B13" i="17" s="1"/>
  <c r="D37" i="17"/>
  <c r="F12" i="17"/>
  <c r="F19" i="17"/>
  <c r="F20" i="17" s="1"/>
  <c r="F16" i="17"/>
  <c r="F22" i="17" s="1"/>
  <c r="F13" i="17"/>
  <c r="G7" i="18"/>
  <c r="G4" i="17"/>
  <c r="V11" i="18"/>
  <c r="D11" i="17"/>
  <c r="E37" i="17"/>
  <c r="F37" i="17"/>
  <c r="E11" i="17"/>
  <c r="K30" i="17"/>
  <c r="K31" i="17" s="1"/>
  <c r="K32" i="17" s="1"/>
  <c r="G30" i="17"/>
  <c r="G31" i="17" s="1"/>
  <c r="G32" i="17" s="1"/>
  <c r="Z27" i="16" l="1"/>
  <c r="AA27" i="16"/>
  <c r="U19" i="16"/>
  <c r="Z25" i="16"/>
  <c r="AA25" i="16"/>
  <c r="U5" i="16"/>
  <c r="AF36" i="19"/>
  <c r="AG34" i="19"/>
  <c r="AH13" i="19"/>
  <c r="AG33" i="19"/>
  <c r="AH12" i="19"/>
  <c r="AI9" i="19"/>
  <c r="AH30" i="19"/>
  <c r="AI10" i="19"/>
  <c r="AH31" i="19"/>
  <c r="AK26" i="19"/>
  <c r="AJ25" i="19"/>
  <c r="N5" i="16" s="1"/>
  <c r="D12" i="17"/>
  <c r="D16" i="17"/>
  <c r="D22" i="17" s="1"/>
  <c r="D13" i="17"/>
  <c r="D19" i="17"/>
  <c r="D20" i="17" s="1"/>
  <c r="D9" i="17"/>
  <c r="D10" i="17" s="1"/>
  <c r="C16" i="17"/>
  <c r="C13" i="17"/>
  <c r="C19" i="17"/>
  <c r="C12" i="17"/>
  <c r="C9" i="17"/>
  <c r="C10" i="17" s="1"/>
  <c r="E12" i="17"/>
  <c r="E16" i="17"/>
  <c r="E22" i="17" s="1"/>
  <c r="E19" i="17"/>
  <c r="E20" i="17" s="1"/>
  <c r="E13" i="17"/>
  <c r="E9" i="17"/>
  <c r="E10" i="17" s="1"/>
  <c r="W11" i="18"/>
  <c r="H4" i="17"/>
  <c r="H7" i="18"/>
  <c r="AD27" i="16" l="1"/>
  <c r="AB27" i="16"/>
  <c r="AC27" i="16"/>
  <c r="V19" i="16"/>
  <c r="AB25" i="16"/>
  <c r="AC25" i="16"/>
  <c r="V5" i="16"/>
  <c r="C20" i="17"/>
  <c r="J16" i="1"/>
  <c r="AG36" i="19"/>
  <c r="AH34" i="19"/>
  <c r="AI13" i="19"/>
  <c r="AI12" i="19"/>
  <c r="AH33" i="19"/>
  <c r="AJ10" i="19"/>
  <c r="AI31" i="19"/>
  <c r="AJ9" i="19"/>
  <c r="AI30" i="19"/>
  <c r="AK25" i="19"/>
  <c r="O5" i="16" s="1"/>
  <c r="AL26" i="19"/>
  <c r="X11" i="18"/>
  <c r="I4" i="17"/>
  <c r="I7" i="18"/>
  <c r="AE27" i="16" l="1"/>
  <c r="AF27" i="16" s="1"/>
  <c r="W19" i="16"/>
  <c r="AD25" i="16"/>
  <c r="AF25" i="16" s="1"/>
  <c r="AE25" i="16"/>
  <c r="W5" i="16"/>
  <c r="AH36" i="19"/>
  <c r="AI34" i="19"/>
  <c r="AJ13" i="19"/>
  <c r="AI33" i="19"/>
  <c r="AI36" i="19" s="1"/>
  <c r="AJ12" i="19"/>
  <c r="AK9" i="19"/>
  <c r="AJ30" i="19"/>
  <c r="AK10" i="19"/>
  <c r="AJ31" i="19"/>
  <c r="AL25" i="19"/>
  <c r="P5" i="16" s="1"/>
  <c r="AM26" i="19"/>
  <c r="Y11" i="18"/>
  <c r="J4" i="17"/>
  <c r="J7" i="18"/>
  <c r="X19" i="16" l="1"/>
  <c r="X5" i="16"/>
  <c r="AJ33" i="19"/>
  <c r="AK12" i="19"/>
  <c r="AK13" i="19"/>
  <c r="AJ34" i="19"/>
  <c r="AL10" i="19"/>
  <c r="AK31" i="19"/>
  <c r="AL9" i="19"/>
  <c r="AK30" i="19"/>
  <c r="AN26" i="19"/>
  <c r="AM25" i="19"/>
  <c r="Q5" i="16" s="1"/>
  <c r="Z11" i="18"/>
  <c r="K4" i="17"/>
  <c r="K7" i="18"/>
  <c r="Y19" i="16" l="1"/>
  <c r="Y5" i="16"/>
  <c r="AJ36" i="19"/>
  <c r="AK34" i="19"/>
  <c r="AL13" i="19"/>
  <c r="AK33" i="19"/>
  <c r="AL12" i="19"/>
  <c r="AM9" i="19"/>
  <c r="AL30" i="19"/>
  <c r="AM10" i="19"/>
  <c r="AL31" i="19"/>
  <c r="AO26" i="19"/>
  <c r="AN25" i="19"/>
  <c r="R5" i="16" s="1"/>
  <c r="L4" i="17"/>
  <c r="L7" i="18"/>
  <c r="AA11" i="18"/>
  <c r="Z19" i="16" l="1"/>
  <c r="Z5" i="16"/>
  <c r="AK36" i="19"/>
  <c r="AL33" i="19"/>
  <c r="AM12" i="19"/>
  <c r="AM13" i="19"/>
  <c r="AL34" i="19"/>
  <c r="AN10" i="19"/>
  <c r="AM31" i="19"/>
  <c r="AN9" i="19"/>
  <c r="AM30" i="19"/>
  <c r="AP26" i="19"/>
  <c r="AO25" i="19"/>
  <c r="S5" i="16" s="1"/>
  <c r="M4" i="17"/>
  <c r="M7" i="18"/>
  <c r="AB11" i="18"/>
  <c r="AA19" i="16" l="1"/>
  <c r="AA5" i="16"/>
  <c r="AL36" i="19"/>
  <c r="AN13" i="19"/>
  <c r="AM34" i="19"/>
  <c r="AN12" i="19"/>
  <c r="AM33" i="19"/>
  <c r="AO9" i="19"/>
  <c r="AN30" i="19"/>
  <c r="AO10" i="19"/>
  <c r="AN31" i="19"/>
  <c r="AQ26" i="19"/>
  <c r="AP25" i="19"/>
  <c r="D47" i="16"/>
  <c r="J24" i="1" s="1"/>
  <c r="H37" i="16"/>
  <c r="H26" i="16" s="1"/>
  <c r="F30" i="16"/>
  <c r="E30" i="16"/>
  <c r="D30" i="16"/>
  <c r="F24" i="16"/>
  <c r="E24" i="16"/>
  <c r="D24" i="16"/>
  <c r="I13" i="16"/>
  <c r="J13" i="16" s="1"/>
  <c r="K13" i="16" s="1"/>
  <c r="L13" i="16" s="1"/>
  <c r="M13" i="16" s="1"/>
  <c r="I4" i="16"/>
  <c r="J4" i="16" s="1"/>
  <c r="K4" i="16" s="1"/>
  <c r="L4" i="16" s="1"/>
  <c r="M4" i="16" s="1"/>
  <c r="N4" i="16" s="1"/>
  <c r="O4" i="16" s="1"/>
  <c r="P4" i="16" s="1"/>
  <c r="Q4" i="16" s="1"/>
  <c r="R4" i="16" s="1"/>
  <c r="S4" i="16" s="1"/>
  <c r="T4" i="16" s="1"/>
  <c r="U4" i="16" s="1"/>
  <c r="V4" i="16" s="1"/>
  <c r="W4" i="16" s="1"/>
  <c r="X4" i="16" s="1"/>
  <c r="Y4" i="16" s="1"/>
  <c r="Z4" i="16" s="1"/>
  <c r="AA4" i="16" s="1"/>
  <c r="AB4" i="16" s="1"/>
  <c r="AC4" i="16" s="1"/>
  <c r="AD4" i="16" s="1"/>
  <c r="AE4" i="16" s="1"/>
  <c r="AF4" i="16" s="1"/>
  <c r="AB19" i="16" l="1"/>
  <c r="AB5" i="16"/>
  <c r="AA8" i="16"/>
  <c r="AM36" i="19"/>
  <c r="AO12" i="19"/>
  <c r="AN33" i="19"/>
  <c r="AO13" i="19"/>
  <c r="AN34" i="19"/>
  <c r="AP10" i="19"/>
  <c r="AO31" i="19"/>
  <c r="AP9" i="19"/>
  <c r="AO30" i="19"/>
  <c r="AR26" i="19"/>
  <c r="AQ25" i="19"/>
  <c r="AE40" i="16"/>
  <c r="AD40" i="16"/>
  <c r="AB40" i="16"/>
  <c r="L40" i="16"/>
  <c r="T39" i="16"/>
  <c r="AA40" i="16"/>
  <c r="K40" i="16"/>
  <c r="S39" i="16"/>
  <c r="Y40" i="16"/>
  <c r="V40" i="16"/>
  <c r="U40" i="16"/>
  <c r="T40" i="16"/>
  <c r="Z40" i="16"/>
  <c r="J40" i="16"/>
  <c r="R39" i="16"/>
  <c r="I40" i="16"/>
  <c r="Q39" i="16"/>
  <c r="AD39" i="16"/>
  <c r="AC39" i="16"/>
  <c r="X40" i="16"/>
  <c r="H40" i="16"/>
  <c r="P39" i="16"/>
  <c r="W40" i="16"/>
  <c r="AE39" i="16"/>
  <c r="O39" i="16"/>
  <c r="N39" i="16"/>
  <c r="M39" i="16"/>
  <c r="AB39" i="16"/>
  <c r="G39" i="16"/>
  <c r="AC40" i="16"/>
  <c r="L39" i="16"/>
  <c r="U39" i="16"/>
  <c r="S40" i="16"/>
  <c r="AA39" i="16"/>
  <c r="K39" i="16"/>
  <c r="R40" i="16"/>
  <c r="Q40" i="16"/>
  <c r="I39" i="16"/>
  <c r="X39" i="16"/>
  <c r="O40" i="16"/>
  <c r="G40" i="16"/>
  <c r="N40" i="16"/>
  <c r="M40" i="16"/>
  <c r="Z39" i="16"/>
  <c r="J39" i="16"/>
  <c r="Y39" i="16"/>
  <c r="P40" i="16"/>
  <c r="H39" i="16"/>
  <c r="W39" i="16"/>
  <c r="V39" i="16"/>
  <c r="J38" i="16"/>
  <c r="AC38" i="16"/>
  <c r="K38" i="16"/>
  <c r="U38" i="16"/>
  <c r="AD38" i="16"/>
  <c r="M38" i="16"/>
  <c r="V38" i="16"/>
  <c r="AE38" i="16"/>
  <c r="N38" i="16"/>
  <c r="W38" i="16"/>
  <c r="AF38" i="16"/>
  <c r="X38" i="16"/>
  <c r="G38" i="16"/>
  <c r="P38" i="16"/>
  <c r="Y38" i="16"/>
  <c r="H38" i="16"/>
  <c r="Q38" i="16"/>
  <c r="Z38" i="16"/>
  <c r="S38" i="16"/>
  <c r="O38" i="16"/>
  <c r="I38" i="16"/>
  <c r="R38" i="16"/>
  <c r="AA38" i="16"/>
  <c r="H28" i="16"/>
  <c r="H33" i="16" s="1"/>
  <c r="F14" i="16"/>
  <c r="E14" i="16"/>
  <c r="N13" i="16"/>
  <c r="O13" i="16" s="1"/>
  <c r="P13" i="16" s="1"/>
  <c r="I37" i="16"/>
  <c r="L38" i="16"/>
  <c r="T38" i="16"/>
  <c r="AB38" i="16"/>
  <c r="AC19" i="16" l="1"/>
  <c r="AC5" i="16"/>
  <c r="D14" i="16"/>
  <c r="E16" i="16"/>
  <c r="E72" i="16"/>
  <c r="AB8" i="16"/>
  <c r="F16" i="16"/>
  <c r="F21" i="16" s="1"/>
  <c r="F32" i="16" s="1"/>
  <c r="F34" i="16" s="1"/>
  <c r="F72" i="16"/>
  <c r="E21" i="16"/>
  <c r="E32" i="16" s="1"/>
  <c r="E34" i="16" s="1"/>
  <c r="AN36" i="19"/>
  <c r="AP13" i="19"/>
  <c r="AO34" i="19"/>
  <c r="AP12" i="19"/>
  <c r="AO33" i="19"/>
  <c r="AQ9" i="19"/>
  <c r="AP30" i="19"/>
  <c r="AQ10" i="19"/>
  <c r="AP31" i="19"/>
  <c r="AS26" i="19"/>
  <c r="AR25" i="19"/>
  <c r="H20" i="16"/>
  <c r="I28" i="16"/>
  <c r="I33" i="16" s="1"/>
  <c r="Q13" i="16"/>
  <c r="F11" i="16"/>
  <c r="E11" i="16"/>
  <c r="G14" i="16"/>
  <c r="G72" i="16" s="1"/>
  <c r="G24" i="16"/>
  <c r="J37" i="16"/>
  <c r="I26" i="16"/>
  <c r="H22" i="16"/>
  <c r="I9" i="16" s="1" a="1"/>
  <c r="I9" i="16" s="1"/>
  <c r="AD19" i="16" l="1"/>
  <c r="AD5" i="16"/>
  <c r="AC8" i="16"/>
  <c r="D21" i="16"/>
  <c r="D32" i="16" s="1"/>
  <c r="D34" i="16" s="1"/>
  <c r="D73" i="16" s="1"/>
  <c r="D72" i="16"/>
  <c r="E73" i="16"/>
  <c r="E36" i="16"/>
  <c r="F36" i="16" s="1"/>
  <c r="F73" i="16"/>
  <c r="H24" i="16"/>
  <c r="AO36" i="19"/>
  <c r="AQ12" i="19"/>
  <c r="AP33" i="19"/>
  <c r="AQ13" i="19"/>
  <c r="AP34" i="19"/>
  <c r="AR10" i="19"/>
  <c r="AQ31" i="19"/>
  <c r="AR9" i="19"/>
  <c r="AQ30" i="19"/>
  <c r="AT26" i="19"/>
  <c r="AS25" i="19"/>
  <c r="I20" i="16"/>
  <c r="J28" i="16"/>
  <c r="R13" i="16"/>
  <c r="H11" i="16"/>
  <c r="K37" i="16"/>
  <c r="J26" i="16"/>
  <c r="I22" i="16"/>
  <c r="J9" i="16" s="1" a="1"/>
  <c r="J9" i="16" s="1"/>
  <c r="K9" i="16" s="1" a="1"/>
  <c r="K9" i="16" s="1"/>
  <c r="I8" i="16"/>
  <c r="K28" i="16" l="1"/>
  <c r="J33" i="16"/>
  <c r="AE19" i="16"/>
  <c r="AE5" i="16"/>
  <c r="AD8" i="16"/>
  <c r="AE8" i="16"/>
  <c r="I24" i="16"/>
  <c r="AP36" i="19"/>
  <c r="AR13" i="19"/>
  <c r="AQ34" i="19"/>
  <c r="AR12" i="19"/>
  <c r="AQ33" i="19"/>
  <c r="AQ36" i="19" s="1"/>
  <c r="AS9" i="19"/>
  <c r="AR30" i="19"/>
  <c r="AS10" i="19"/>
  <c r="AR31" i="19"/>
  <c r="AU26" i="19"/>
  <c r="AT25" i="19"/>
  <c r="G16" i="16"/>
  <c r="G21" i="16" s="1"/>
  <c r="G32" i="16" s="1"/>
  <c r="J24" i="16"/>
  <c r="L37" i="16"/>
  <c r="K26" i="16"/>
  <c r="I11" i="16"/>
  <c r="S13" i="16"/>
  <c r="L28" i="16" l="1"/>
  <c r="K33" i="16"/>
  <c r="AF19" i="16"/>
  <c r="AF8" i="16"/>
  <c r="AS12" i="19"/>
  <c r="AR33" i="19"/>
  <c r="AS13" i="19"/>
  <c r="AR34" i="19"/>
  <c r="AT10" i="19"/>
  <c r="AS31" i="19"/>
  <c r="AT9" i="19"/>
  <c r="AS30" i="19"/>
  <c r="AV26" i="19"/>
  <c r="AU25" i="19"/>
  <c r="T13" i="16"/>
  <c r="G30" i="16"/>
  <c r="M37" i="16"/>
  <c r="L26" i="16"/>
  <c r="G34" i="16"/>
  <c r="J11" i="16"/>
  <c r="K22" i="16"/>
  <c r="L9" i="16" s="1" a="1"/>
  <c r="L9" i="16" s="1"/>
  <c r="K8" i="16"/>
  <c r="M28" i="16" l="1"/>
  <c r="L33" i="16"/>
  <c r="G36" i="16"/>
  <c r="G73" i="16"/>
  <c r="AR36" i="19"/>
  <c r="AT13" i="19"/>
  <c r="AS34" i="19"/>
  <c r="AT12" i="19"/>
  <c r="AS33" i="19"/>
  <c r="AU9" i="19"/>
  <c r="AT30" i="19"/>
  <c r="AU10" i="19"/>
  <c r="AT31" i="19"/>
  <c r="AW26" i="19"/>
  <c r="AV25" i="19"/>
  <c r="U13" i="16"/>
  <c r="L20" i="16"/>
  <c r="L22" i="16"/>
  <c r="L24" i="16" s="1"/>
  <c r="L8" i="16"/>
  <c r="K11" i="16"/>
  <c r="K24" i="16"/>
  <c r="N37" i="16"/>
  <c r="M26" i="16"/>
  <c r="N28" i="16" l="1"/>
  <c r="M33" i="16"/>
  <c r="M9" i="16" a="1"/>
  <c r="M9" i="16" s="1"/>
  <c r="H12" i="16"/>
  <c r="H14" i="16" s="1"/>
  <c r="H15" i="16" s="1"/>
  <c r="AS36" i="19"/>
  <c r="AU12" i="19"/>
  <c r="AT33" i="19"/>
  <c r="AU13" i="19"/>
  <c r="AT34" i="19"/>
  <c r="AV10" i="19"/>
  <c r="AU31" i="19"/>
  <c r="AV9" i="19"/>
  <c r="AU30" i="19"/>
  <c r="AX26" i="19"/>
  <c r="AW25" i="19"/>
  <c r="V13" i="16"/>
  <c r="M20" i="16"/>
  <c r="L11" i="16"/>
  <c r="O37" i="16"/>
  <c r="N26" i="16"/>
  <c r="M22" i="16"/>
  <c r="O28" i="16" l="1"/>
  <c r="N33" i="16"/>
  <c r="N9" i="16" a="1"/>
  <c r="N9" i="16" s="1"/>
  <c r="AT36" i="19"/>
  <c r="AV13" i="19"/>
  <c r="AU34" i="19"/>
  <c r="AV12" i="19"/>
  <c r="AU33" i="19"/>
  <c r="AW9" i="19"/>
  <c r="AV30" i="19"/>
  <c r="AW10" i="19"/>
  <c r="AV31" i="19"/>
  <c r="AY26" i="19"/>
  <c r="AX25" i="19"/>
  <c r="W13" i="16"/>
  <c r="N20" i="16"/>
  <c r="M24" i="16"/>
  <c r="M11" i="16"/>
  <c r="N22" i="16"/>
  <c r="N24" i="16" s="1"/>
  <c r="N8" i="16"/>
  <c r="O26" i="16"/>
  <c r="P37" i="16"/>
  <c r="H18" i="16"/>
  <c r="H21" i="16" s="1"/>
  <c r="P28" i="16" l="1"/>
  <c r="O33" i="16"/>
  <c r="O9" i="16" a="1"/>
  <c r="O9" i="16" s="1"/>
  <c r="AU36" i="19"/>
  <c r="AW12" i="19"/>
  <c r="AV33" i="19"/>
  <c r="AW13" i="19"/>
  <c r="AV34" i="19"/>
  <c r="AX10" i="19"/>
  <c r="AW31" i="19"/>
  <c r="AX9" i="19"/>
  <c r="AW30" i="19"/>
  <c r="AZ26" i="19"/>
  <c r="AY25" i="19"/>
  <c r="O20" i="16"/>
  <c r="H16" i="16"/>
  <c r="H42" i="16" s="1"/>
  <c r="N11" i="16"/>
  <c r="H32" i="16"/>
  <c r="O22" i="16"/>
  <c r="O24" i="16" s="1"/>
  <c r="O8" i="16"/>
  <c r="X13" i="16"/>
  <c r="P26" i="16"/>
  <c r="Q37" i="16"/>
  <c r="Q28" i="16" l="1"/>
  <c r="P33" i="16"/>
  <c r="P9" i="16" a="1"/>
  <c r="P9" i="16" s="1"/>
  <c r="AV36" i="19"/>
  <c r="AX13" i="19"/>
  <c r="AW34" i="19"/>
  <c r="AX12" i="19"/>
  <c r="AW33" i="19"/>
  <c r="AY9" i="19"/>
  <c r="AX30" i="19"/>
  <c r="AY10" i="19"/>
  <c r="AX31" i="19"/>
  <c r="BA26" i="19"/>
  <c r="AZ25" i="19"/>
  <c r="P20" i="16"/>
  <c r="Y13" i="16"/>
  <c r="H30" i="16"/>
  <c r="P22" i="16"/>
  <c r="P24" i="16" s="1"/>
  <c r="P8" i="16"/>
  <c r="O11" i="16"/>
  <c r="R37" i="16"/>
  <c r="Q26" i="16"/>
  <c r="R28" i="16" l="1"/>
  <c r="Q33" i="16"/>
  <c r="Q9" i="16" a="1"/>
  <c r="Q9" i="16" s="1"/>
  <c r="AW36" i="19"/>
  <c r="AY12" i="19"/>
  <c r="AX33" i="19"/>
  <c r="AY13" i="19"/>
  <c r="AX34" i="19"/>
  <c r="AZ10" i="19"/>
  <c r="AY31" i="19"/>
  <c r="AZ9" i="19"/>
  <c r="AY30" i="19"/>
  <c r="BB26" i="19"/>
  <c r="BB25" i="19" s="1"/>
  <c r="BA25" i="19"/>
  <c r="Q20" i="16"/>
  <c r="H34" i="16"/>
  <c r="H36" i="16" s="1"/>
  <c r="I12" i="16" s="1"/>
  <c r="S37" i="16"/>
  <c r="R26" i="16"/>
  <c r="P11" i="16"/>
  <c r="Q22" i="16"/>
  <c r="Q24" i="16" s="1"/>
  <c r="Q8" i="16"/>
  <c r="Z13" i="16"/>
  <c r="S28" i="16" l="1"/>
  <c r="R33" i="16"/>
  <c r="R9" i="16" a="1"/>
  <c r="R9" i="16" s="1"/>
  <c r="AX36" i="19"/>
  <c r="AZ13" i="19"/>
  <c r="AY34" i="19"/>
  <c r="AZ12" i="19"/>
  <c r="AY33" i="19"/>
  <c r="AY36" i="19" s="1"/>
  <c r="BA9" i="19"/>
  <c r="AZ30" i="19"/>
  <c r="BA10" i="19"/>
  <c r="AZ31" i="19"/>
  <c r="R20" i="16"/>
  <c r="AA13" i="16"/>
  <c r="Q11" i="16"/>
  <c r="R22" i="16"/>
  <c r="R24" i="16" s="1"/>
  <c r="R8" i="16"/>
  <c r="I14" i="16"/>
  <c r="I15" i="16" s="1"/>
  <c r="T37" i="16"/>
  <c r="S26" i="16"/>
  <c r="T28" i="16" l="1"/>
  <c r="S33" i="16"/>
  <c r="S9" i="16" a="1"/>
  <c r="S9" i="16" s="1"/>
  <c r="BA12" i="19"/>
  <c r="AZ33" i="19"/>
  <c r="BA13" i="19"/>
  <c r="AZ34" i="19"/>
  <c r="BB10" i="19"/>
  <c r="BB31" i="19" s="1"/>
  <c r="BA31" i="19"/>
  <c r="BB9" i="19"/>
  <c r="BB30" i="19" s="1"/>
  <c r="BA30" i="19"/>
  <c r="S20" i="16"/>
  <c r="I18" i="16"/>
  <c r="I21" i="16" s="1"/>
  <c r="S22" i="16"/>
  <c r="S24" i="16" s="1"/>
  <c r="S8" i="16"/>
  <c r="AB13" i="16"/>
  <c r="U37" i="16"/>
  <c r="T26" i="16"/>
  <c r="R11" i="16"/>
  <c r="U28" i="16" l="1"/>
  <c r="T33" i="16"/>
  <c r="T9" i="16" a="1"/>
  <c r="T9" i="16" s="1"/>
  <c r="I32" i="16"/>
  <c r="AZ36" i="19"/>
  <c r="BB13" i="19"/>
  <c r="BB34" i="19" s="1"/>
  <c r="BA34" i="19"/>
  <c r="BB12" i="19"/>
  <c r="BB33" i="19" s="1"/>
  <c r="BB36" i="19" s="1"/>
  <c r="BA33" i="19"/>
  <c r="T20" i="16"/>
  <c r="AC13" i="16"/>
  <c r="I16" i="16"/>
  <c r="I42" i="16" s="1"/>
  <c r="V37" i="16"/>
  <c r="U26" i="16"/>
  <c r="T22" i="16"/>
  <c r="T24" i="16" s="1"/>
  <c r="T8" i="16"/>
  <c r="S11" i="16"/>
  <c r="V28" i="16" l="1"/>
  <c r="U33" i="16"/>
  <c r="U9" i="16" a="1"/>
  <c r="U9" i="16" s="1"/>
  <c r="BA36" i="19"/>
  <c r="U20" i="16"/>
  <c r="AD13" i="16"/>
  <c r="U22" i="16"/>
  <c r="U24" i="16" s="1"/>
  <c r="U8" i="16"/>
  <c r="I30" i="16"/>
  <c r="T11" i="16"/>
  <c r="W37" i="16"/>
  <c r="V26" i="16"/>
  <c r="W28" i="16" l="1"/>
  <c r="V33" i="16"/>
  <c r="V9" i="16" a="1"/>
  <c r="V9" i="16" s="1"/>
  <c r="V20" i="16"/>
  <c r="AE13" i="16"/>
  <c r="AF13" i="16" s="1"/>
  <c r="U11" i="16"/>
  <c r="V22" i="16"/>
  <c r="V24" i="16" s="1"/>
  <c r="V8" i="16"/>
  <c r="I34" i="16"/>
  <c r="I36" i="16" s="1"/>
  <c r="J12" i="16" s="1"/>
  <c r="W26" i="16"/>
  <c r="X37" i="16"/>
  <c r="X28" i="16" l="1"/>
  <c r="W33" i="16"/>
  <c r="W9" i="16" a="1"/>
  <c r="W9" i="16" s="1"/>
  <c r="W20" i="16"/>
  <c r="W22" i="16"/>
  <c r="W24" i="16" s="1"/>
  <c r="W8" i="16"/>
  <c r="X26" i="16"/>
  <c r="Y37" i="16"/>
  <c r="V11" i="16"/>
  <c r="Y28" i="16" l="1"/>
  <c r="X33" i="16"/>
  <c r="X9" i="16" a="1"/>
  <c r="X9" i="16" s="1"/>
  <c r="X20" i="16"/>
  <c r="Z37" i="16"/>
  <c r="Y26" i="16"/>
  <c r="X22" i="16"/>
  <c r="X24" i="16" s="1"/>
  <c r="X8" i="16"/>
  <c r="W11" i="16"/>
  <c r="J14" i="16"/>
  <c r="J15" i="16" s="1"/>
  <c r="Z28" i="16" l="1"/>
  <c r="Y33" i="16"/>
  <c r="Y9" i="16" a="1"/>
  <c r="Y9" i="16" s="1"/>
  <c r="Y20" i="16"/>
  <c r="X11" i="16"/>
  <c r="Y22" i="16"/>
  <c r="Y24" i="16" s="1"/>
  <c r="Y8" i="16"/>
  <c r="AA37" i="16"/>
  <c r="Z26" i="16"/>
  <c r="J18" i="16"/>
  <c r="J21" i="16" s="1"/>
  <c r="AA28" i="16" l="1"/>
  <c r="Z33" i="16"/>
  <c r="Z9" i="16" a="1"/>
  <c r="Z9" i="16" s="1"/>
  <c r="Z20" i="16"/>
  <c r="J16" i="16"/>
  <c r="J42" i="16" s="1"/>
  <c r="AB37" i="16"/>
  <c r="AA26" i="16"/>
  <c r="Y11" i="16"/>
  <c r="Z22" i="16"/>
  <c r="Z24" i="16" s="1"/>
  <c r="Z8" i="16"/>
  <c r="AB28" i="16" l="1"/>
  <c r="AA33" i="16"/>
  <c r="AA9" i="16" a="1"/>
  <c r="AA9" i="16" s="1"/>
  <c r="AA20" i="16"/>
  <c r="AA22" i="16"/>
  <c r="AA24" i="16" s="1"/>
  <c r="AC37" i="16"/>
  <c r="AB26" i="16"/>
  <c r="Z11" i="16"/>
  <c r="AC28" i="16" l="1"/>
  <c r="AB33" i="16"/>
  <c r="AB9" i="16" a="1"/>
  <c r="AB9" i="16" s="1"/>
  <c r="AB20" i="16"/>
  <c r="AA11" i="16"/>
  <c r="AB22" i="16"/>
  <c r="AB24" i="16" s="1"/>
  <c r="AD37" i="16"/>
  <c r="AC26" i="16"/>
  <c r="AD28" i="16" l="1"/>
  <c r="AC33" i="16"/>
  <c r="AC9" i="16" a="1"/>
  <c r="AC9" i="16" s="1"/>
  <c r="AC20" i="16"/>
  <c r="AC22" i="16"/>
  <c r="AC24" i="16" s="1"/>
  <c r="AE37" i="16"/>
  <c r="AD26" i="16"/>
  <c r="AB11" i="16"/>
  <c r="AE28" i="16" l="1"/>
  <c r="AD33" i="16"/>
  <c r="AD9" i="16" a="1"/>
  <c r="AD9" i="16" s="1"/>
  <c r="AD20" i="16"/>
  <c r="AC11" i="16"/>
  <c r="AD22" i="16"/>
  <c r="AD24" i="16" s="1"/>
  <c r="AE26" i="16"/>
  <c r="AF37" i="16"/>
  <c r="AF28" i="16" l="1"/>
  <c r="AF33" i="16" s="1"/>
  <c r="AE33" i="16"/>
  <c r="AE9" i="16" a="1"/>
  <c r="AE9" i="16" s="1"/>
  <c r="AE20" i="16"/>
  <c r="AE22" i="16"/>
  <c r="AE24" i="16" s="1"/>
  <c r="AF26" i="16"/>
  <c r="AD11" i="16"/>
  <c r="AF9" i="16" l="1" a="1"/>
  <c r="AF9" i="16" s="1"/>
  <c r="AF20" i="16"/>
  <c r="AF22" i="16"/>
  <c r="AE11" i="16"/>
  <c r="AF11" i="16" l="1"/>
  <c r="AF24" i="16"/>
  <c r="H24" i="1" l="1"/>
  <c r="O36" i="1" l="1"/>
  <c r="N36" i="1"/>
  <c r="D41" i="1" l="1"/>
  <c r="D39" i="1"/>
  <c r="O37" i="1"/>
  <c r="D42" i="1"/>
  <c r="L40" i="1"/>
  <c r="K40" i="1"/>
  <c r="J13" i="1" l="1"/>
  <c r="B59" i="4"/>
  <c r="E61" i="4"/>
  <c r="D61" i="4"/>
  <c r="B43" i="4" l="1"/>
  <c r="C43" i="4"/>
  <c r="D42" i="4"/>
  <c r="E38" i="4" l="1"/>
  <c r="D38" i="4"/>
  <c r="C50" i="4" l="1"/>
  <c r="B50" i="4"/>
  <c r="C47" i="4"/>
  <c r="C40" i="4" l="1"/>
  <c r="B40" i="4"/>
  <c r="C38" i="4"/>
  <c r="B38" i="4"/>
  <c r="C37" i="4"/>
  <c r="B37" i="4"/>
  <c r="R35" i="1" l="1"/>
  <c r="Q35" i="1"/>
  <c r="O35" i="1"/>
  <c r="N35" i="1"/>
  <c r="C36" i="4" s="1"/>
  <c r="D43" i="4" l="1"/>
  <c r="E43" i="4" s="1"/>
  <c r="F43" i="4" s="1"/>
  <c r="G43" i="4" s="1"/>
  <c r="H43" i="4" s="1"/>
  <c r="I43" i="4" s="1"/>
  <c r="J43" i="4" s="1"/>
  <c r="K43" i="4" s="1"/>
  <c r="L43" i="4" s="1"/>
  <c r="M43" i="4" s="1"/>
  <c r="N43" i="4" s="1"/>
  <c r="O43" i="4" s="1"/>
  <c r="P43" i="4" s="1"/>
  <c r="Q43" i="4" s="1"/>
  <c r="R43" i="4" s="1"/>
  <c r="S43" i="4" s="1"/>
  <c r="T43" i="4" s="1"/>
  <c r="U43" i="4" s="1"/>
  <c r="V43" i="4" s="1"/>
  <c r="W43" i="4" s="1"/>
  <c r="X43" i="4" s="1"/>
  <c r="Y43" i="4" s="1"/>
  <c r="Z43" i="4" s="1"/>
  <c r="AA43" i="4" s="1"/>
  <c r="AB43" i="4" s="1"/>
  <c r="AC43" i="4" s="1"/>
  <c r="AD9" i="3"/>
  <c r="AC9" i="3"/>
  <c r="AB9" i="3"/>
  <c r="AA9" i="3"/>
  <c r="Z9" i="3"/>
  <c r="Y9" i="3"/>
  <c r="X9" i="3"/>
  <c r="Y17" i="3"/>
  <c r="X17" i="3"/>
  <c r="Z17" i="3"/>
  <c r="AA17" i="3"/>
  <c r="AB17" i="3"/>
  <c r="AD17" i="3"/>
  <c r="V16" i="3"/>
  <c r="V15" i="3"/>
  <c r="V14" i="3"/>
  <c r="V13" i="3"/>
  <c r="V12" i="3"/>
  <c r="L14" i="3"/>
  <c r="L13" i="3"/>
  <c r="L12" i="3"/>
  <c r="L11" i="3"/>
  <c r="L10" i="3"/>
  <c r="L5" i="3"/>
  <c r="L6" i="3"/>
  <c r="L7" i="3"/>
  <c r="L8" i="3"/>
  <c r="L4" i="3"/>
  <c r="AC17" i="3" l="1"/>
  <c r="P35" i="1" l="1"/>
  <c r="L42" i="1" l="1"/>
  <c r="B47" i="4"/>
  <c r="S35" i="1"/>
  <c r="D14" i="3"/>
  <c r="C14" i="3"/>
  <c r="F10" i="3" l="1"/>
  <c r="J10" i="3" s="1"/>
  <c r="F9" i="3"/>
  <c r="J9" i="3" s="1"/>
  <c r="F8" i="3"/>
  <c r="F7" i="3"/>
  <c r="F6" i="3"/>
  <c r="F5" i="3"/>
  <c r="F4" i="3"/>
  <c r="D48" i="4"/>
  <c r="E42" i="4" s="1"/>
  <c r="E48" i="4" l="1"/>
  <c r="F42" i="4" s="1"/>
  <c r="O27" i="1"/>
  <c r="D40" i="1" s="1"/>
  <c r="O29" i="1"/>
  <c r="O30" i="1"/>
  <c r="O31" i="1"/>
  <c r="O32" i="1"/>
  <c r="O33" i="1"/>
  <c r="O34" i="1"/>
  <c r="F48" i="4" l="1"/>
  <c r="G42" i="4" s="1"/>
  <c r="G48" i="4" l="1"/>
  <c r="H42" i="4" s="1"/>
  <c r="H48" i="4" l="1"/>
  <c r="I42" i="4" s="1"/>
  <c r="B44" i="4"/>
  <c r="C44" i="4"/>
  <c r="I48" i="4" l="1"/>
  <c r="J42" i="4" s="1"/>
  <c r="E47" i="4"/>
  <c r="J6" i="3"/>
  <c r="H10" i="1" s="1"/>
  <c r="J4" i="3" l="1"/>
  <c r="H8" i="1" s="1"/>
  <c r="J5" i="3"/>
  <c r="H9" i="1" s="1"/>
  <c r="W17" i="3"/>
  <c r="J48" i="4"/>
  <c r="K42" i="4" s="1"/>
  <c r="E13" i="1"/>
  <c r="K48" i="4" l="1"/>
  <c r="L42" i="4" s="1"/>
  <c r="M15" i="3"/>
  <c r="F47" i="4"/>
  <c r="N29" i="1"/>
  <c r="N32" i="1"/>
  <c r="N33" i="1"/>
  <c r="L48" i="4" l="1"/>
  <c r="M42" i="4" s="1"/>
  <c r="G47" i="4"/>
  <c r="N15" i="3"/>
  <c r="N16" i="3" s="1"/>
  <c r="M48" i="4" l="1"/>
  <c r="N42" i="4" s="1"/>
  <c r="O15" i="3"/>
  <c r="O16" i="3" s="1"/>
  <c r="J8" i="3"/>
  <c r="H12" i="1" s="1"/>
  <c r="J7" i="3"/>
  <c r="H11" i="1" s="1"/>
  <c r="W9" i="3" l="1"/>
  <c r="N48" i="4"/>
  <c r="O42" i="4" s="1"/>
  <c r="P15" i="3"/>
  <c r="P16" i="3" s="1"/>
  <c r="O48" i="4" l="1"/>
  <c r="P42" i="4" s="1"/>
  <c r="Q15" i="3"/>
  <c r="Q16" i="3" s="1"/>
  <c r="B41" i="4"/>
  <c r="P48" i="4" l="1"/>
  <c r="Q42" i="4" s="1"/>
  <c r="E40" i="4"/>
  <c r="F40" i="4" s="1"/>
  <c r="G40" i="4" s="1"/>
  <c r="H40" i="4" s="1"/>
  <c r="I40" i="4" s="1"/>
  <c r="J40" i="4" s="1"/>
  <c r="K40" i="4" s="1"/>
  <c r="L40" i="4" s="1"/>
  <c r="M40" i="4" s="1"/>
  <c r="N40" i="4" s="1"/>
  <c r="O40" i="4" s="1"/>
  <c r="P40" i="4" s="1"/>
  <c r="Q40" i="4" s="1"/>
  <c r="R40" i="4" s="1"/>
  <c r="S40" i="4" s="1"/>
  <c r="T40" i="4" s="1"/>
  <c r="U40" i="4" s="1"/>
  <c r="V40" i="4" s="1"/>
  <c r="W40" i="4" s="1"/>
  <c r="X40" i="4" s="1"/>
  <c r="Y40" i="4" s="1"/>
  <c r="Z40" i="4" s="1"/>
  <c r="AA40" i="4" s="1"/>
  <c r="AB40" i="4" s="1"/>
  <c r="AC40" i="4" s="1"/>
  <c r="C41" i="4"/>
  <c r="R15" i="3"/>
  <c r="R16" i="3" s="1"/>
  <c r="Q48" i="4" l="1"/>
  <c r="R42" i="4" s="1"/>
  <c r="S15" i="3"/>
  <c r="S16" i="3" s="1"/>
  <c r="T15" i="3"/>
  <c r="R48" i="4" l="1"/>
  <c r="S42" i="4" s="1"/>
  <c r="T16" i="3"/>
  <c r="S48" i="4" l="1"/>
  <c r="T42" i="4" s="1"/>
  <c r="T48" i="4" l="1"/>
  <c r="U42" i="4" s="1"/>
  <c r="C49" i="4"/>
  <c r="U48" i="4" l="1"/>
  <c r="V42" i="4" s="1"/>
  <c r="V48" i="4" l="1"/>
  <c r="W42" i="4" s="1"/>
  <c r="N13" i="1"/>
  <c r="W48" i="4" l="1"/>
  <c r="X42" i="4" s="1"/>
  <c r="B49" i="4"/>
  <c r="X48" i="4" l="1"/>
  <c r="Y42" i="4" s="1"/>
  <c r="H47" i="4"/>
  <c r="N27" i="1"/>
  <c r="E35" i="4"/>
  <c r="F35" i="4" s="1"/>
  <c r="G35" i="4" s="1"/>
  <c r="H35" i="4" s="1"/>
  <c r="I35" i="4" s="1"/>
  <c r="J35" i="4" s="1"/>
  <c r="K35" i="4" s="1"/>
  <c r="L35" i="4" s="1"/>
  <c r="M35" i="4" s="1"/>
  <c r="N35" i="4" s="1"/>
  <c r="O35" i="4" s="1"/>
  <c r="P35" i="4" s="1"/>
  <c r="Q35" i="4" s="1"/>
  <c r="R35" i="4" s="1"/>
  <c r="S35" i="4" s="1"/>
  <c r="T35" i="4" s="1"/>
  <c r="U35" i="4" s="1"/>
  <c r="V35" i="4" s="1"/>
  <c r="W35" i="4" s="1"/>
  <c r="X35" i="4" s="1"/>
  <c r="Y35" i="4" s="1"/>
  <c r="Z35" i="4" s="1"/>
  <c r="AA35" i="4" s="1"/>
  <c r="AB35" i="4" s="1"/>
  <c r="AC35" i="4" s="1"/>
  <c r="B46" i="4"/>
  <c r="C46" i="4"/>
  <c r="C53" i="4" s="1"/>
  <c r="D37" i="4"/>
  <c r="D3" i="3"/>
  <c r="F6" i="1"/>
  <c r="E9" i="1"/>
  <c r="J14" i="1"/>
  <c r="J15" i="1"/>
  <c r="L12" i="1"/>
  <c r="L26" i="1"/>
  <c r="P28" i="1"/>
  <c r="S28" i="1"/>
  <c r="N28" i="1"/>
  <c r="O28" i="1"/>
  <c r="Q28" i="1"/>
  <c r="R28" i="1"/>
  <c r="P29" i="1"/>
  <c r="Q29" i="1"/>
  <c r="R29" i="1"/>
  <c r="S29" i="1"/>
  <c r="N30" i="1"/>
  <c r="P30" i="1"/>
  <c r="Q30" i="1"/>
  <c r="R30" i="1"/>
  <c r="S30" i="1"/>
  <c r="S31" i="1"/>
  <c r="N31" i="1"/>
  <c r="P31" i="1"/>
  <c r="Q31" i="1"/>
  <c r="R31" i="1"/>
  <c r="Q32" i="1"/>
  <c r="R32" i="1"/>
  <c r="S32" i="1"/>
  <c r="Q33" i="1"/>
  <c r="R33" i="1"/>
  <c r="P34" i="1"/>
  <c r="N34" i="1"/>
  <c r="B36" i="4" s="1"/>
  <c r="Q34" i="1"/>
  <c r="R34" i="1"/>
  <c r="P32" i="1"/>
  <c r="P33" i="1"/>
  <c r="S34" i="1"/>
  <c r="S33" i="1"/>
  <c r="C40" i="1" l="1"/>
  <c r="L18" i="1"/>
  <c r="L13" i="1"/>
  <c r="Y33" i="4"/>
  <c r="Q33" i="4"/>
  <c r="I33" i="4"/>
  <c r="Z32" i="4"/>
  <c r="R32" i="4"/>
  <c r="J32" i="4"/>
  <c r="AA31" i="4"/>
  <c r="S31" i="4"/>
  <c r="K31" i="4"/>
  <c r="X33" i="4"/>
  <c r="P33" i="4"/>
  <c r="H33" i="4"/>
  <c r="Y32" i="4"/>
  <c r="Q32" i="4"/>
  <c r="I32" i="4"/>
  <c r="Z31" i="4"/>
  <c r="R31" i="4"/>
  <c r="J31" i="4"/>
  <c r="Z33" i="4"/>
  <c r="AB31" i="4"/>
  <c r="W33" i="4"/>
  <c r="O33" i="4"/>
  <c r="G33" i="4"/>
  <c r="X32" i="4"/>
  <c r="P32" i="4"/>
  <c r="H32" i="4"/>
  <c r="Y31" i="4"/>
  <c r="Q31" i="4"/>
  <c r="I31" i="4"/>
  <c r="D69" i="4"/>
  <c r="V33" i="4"/>
  <c r="N33" i="4"/>
  <c r="F33" i="4"/>
  <c r="W32" i="4"/>
  <c r="O32" i="4"/>
  <c r="G32" i="4"/>
  <c r="X31" i="4"/>
  <c r="P31" i="4"/>
  <c r="H31" i="4"/>
  <c r="AC33" i="4"/>
  <c r="U33" i="4"/>
  <c r="M33" i="4"/>
  <c r="E33" i="4"/>
  <c r="V32" i="4"/>
  <c r="N32" i="4"/>
  <c r="F32" i="4"/>
  <c r="W31" i="4"/>
  <c r="O31" i="4"/>
  <c r="G31" i="4"/>
  <c r="R33" i="4"/>
  <c r="AB33" i="4"/>
  <c r="T33" i="4"/>
  <c r="L33" i="4"/>
  <c r="AC32" i="4"/>
  <c r="U32" i="4"/>
  <c r="M32" i="4"/>
  <c r="E32" i="4"/>
  <c r="V31" i="4"/>
  <c r="N31" i="4"/>
  <c r="F31" i="4"/>
  <c r="AA32" i="4"/>
  <c r="K32" i="4"/>
  <c r="L31" i="4"/>
  <c r="AA33" i="4"/>
  <c r="S33" i="4"/>
  <c r="K33" i="4"/>
  <c r="AB32" i="4"/>
  <c r="T32" i="4"/>
  <c r="L32" i="4"/>
  <c r="AC31" i="4"/>
  <c r="U31" i="4"/>
  <c r="M31" i="4"/>
  <c r="E31" i="4"/>
  <c r="J33" i="4"/>
  <c r="S32" i="4"/>
  <c r="T31" i="4"/>
  <c r="Y48" i="4"/>
  <c r="Z42" i="4" s="1"/>
  <c r="L19" i="1"/>
  <c r="I47" i="4"/>
  <c r="J47" i="4" s="1"/>
  <c r="K47" i="4" s="1"/>
  <c r="L47" i="4" s="1"/>
  <c r="M47" i="4" s="1"/>
  <c r="N47" i="4" s="1"/>
  <c r="O47" i="4" s="1"/>
  <c r="P47" i="4" s="1"/>
  <c r="Q47" i="4" s="1"/>
  <c r="R47" i="4" s="1"/>
  <c r="S47" i="4" s="1"/>
  <c r="T47" i="4" s="1"/>
  <c r="U47" i="4" s="1"/>
  <c r="V47" i="4" s="1"/>
  <c r="W47" i="4" s="1"/>
  <c r="X47" i="4" s="1"/>
  <c r="Y47" i="4" s="1"/>
  <c r="Z47" i="4" s="1"/>
  <c r="AA47" i="4" s="1"/>
  <c r="AB47" i="4" s="1"/>
  <c r="AC47" i="4" s="1"/>
  <c r="D39" i="4"/>
  <c r="D44" i="4" s="1"/>
  <c r="H14" i="3"/>
  <c r="E37" i="4"/>
  <c r="L16" i="1"/>
  <c r="F14" i="3"/>
  <c r="L14" i="1" l="1"/>
  <c r="Z48" i="4"/>
  <c r="AA42" i="4" s="1"/>
  <c r="H64" i="4"/>
  <c r="H65" i="4"/>
  <c r="D45" i="4"/>
  <c r="D41" i="4"/>
  <c r="F37" i="4"/>
  <c r="E39" i="4"/>
  <c r="E44" i="4" s="1"/>
  <c r="L15" i="1"/>
  <c r="AA48" i="4" l="1"/>
  <c r="AB42" i="4" s="1"/>
  <c r="D50" i="4"/>
  <c r="D49" i="4"/>
  <c r="D46" i="4"/>
  <c r="D53" i="4" s="1"/>
  <c r="G37" i="4"/>
  <c r="F39" i="4"/>
  <c r="F44" i="4" s="1"/>
  <c r="E41" i="4"/>
  <c r="AB48" i="4" l="1"/>
  <c r="AC42" i="4" s="1"/>
  <c r="E49" i="4"/>
  <c r="E45" i="4"/>
  <c r="E46" i="4" s="1"/>
  <c r="E53" i="4" s="1"/>
  <c r="G39" i="4"/>
  <c r="G44" i="4" s="1"/>
  <c r="H37" i="4"/>
  <c r="F41" i="4"/>
  <c r="H63" i="4"/>
  <c r="AC48" i="4" l="1"/>
  <c r="E50" i="4"/>
  <c r="F45" i="4"/>
  <c r="F46" i="4" s="1"/>
  <c r="F53" i="4" s="1"/>
  <c r="G41" i="4"/>
  <c r="I37" i="4"/>
  <c r="H39" i="4"/>
  <c r="H44" i="4" s="1"/>
  <c r="E68" i="4" l="1"/>
  <c r="F50" i="4"/>
  <c r="F68" i="4" s="1"/>
  <c r="G45" i="4"/>
  <c r="G46" i="4" s="1"/>
  <c r="H45" i="4"/>
  <c r="I39" i="4"/>
  <c r="I44" i="4" s="1"/>
  <c r="H41" i="4"/>
  <c r="J37" i="4"/>
  <c r="H50" i="4" l="1"/>
  <c r="H68" i="4" s="1"/>
  <c r="G50" i="4"/>
  <c r="G68" i="4" s="1"/>
  <c r="H46" i="4"/>
  <c r="I45" i="4"/>
  <c r="I41" i="4"/>
  <c r="K37" i="4"/>
  <c r="J39" i="4"/>
  <c r="J44" i="4" s="1"/>
  <c r="I50" i="4" l="1"/>
  <c r="I68" i="4" s="1"/>
  <c r="I46" i="4"/>
  <c r="J41" i="4"/>
  <c r="K39" i="4"/>
  <c r="K44" i="4" s="1"/>
  <c r="L37" i="4"/>
  <c r="J45" i="4" l="1"/>
  <c r="J46" i="4" s="1"/>
  <c r="K41" i="4"/>
  <c r="M37" i="4"/>
  <c r="L39" i="4"/>
  <c r="L44" i="4" s="1"/>
  <c r="J50" i="4" l="1"/>
  <c r="K45" i="4"/>
  <c r="K46" i="4" s="1"/>
  <c r="N37" i="4"/>
  <c r="L41" i="4"/>
  <c r="M39" i="4"/>
  <c r="M44" i="4" s="1"/>
  <c r="J68" i="4" l="1"/>
  <c r="K50" i="4"/>
  <c r="K68" i="4" s="1"/>
  <c r="L45" i="4"/>
  <c r="L46" i="4" s="1"/>
  <c r="O37" i="4"/>
  <c r="N39" i="4"/>
  <c r="N44" i="4" s="1"/>
  <c r="M41" i="4"/>
  <c r="L50" i="4" l="1"/>
  <c r="L68" i="4" s="1"/>
  <c r="M45" i="4"/>
  <c r="M46" i="4" s="1"/>
  <c r="O39" i="4"/>
  <c r="O44" i="4" s="1"/>
  <c r="P37" i="4"/>
  <c r="N41" i="4"/>
  <c r="M50" i="4" l="1"/>
  <c r="M68" i="4" s="1"/>
  <c r="N45" i="4"/>
  <c r="N46" i="4" s="1"/>
  <c r="O41" i="4"/>
  <c r="Q37" i="4"/>
  <c r="P39" i="4"/>
  <c r="P44" i="4" s="1"/>
  <c r="N50" i="4" l="1"/>
  <c r="N68" i="4" s="1"/>
  <c r="O45" i="4"/>
  <c r="O46" i="4" s="1"/>
  <c r="P41" i="4"/>
  <c r="Q39" i="4"/>
  <c r="Q44" i="4" s="1"/>
  <c r="R37" i="4"/>
  <c r="O50" i="4" l="1"/>
  <c r="O68" i="4" s="1"/>
  <c r="P45" i="4"/>
  <c r="P46" i="4" s="1"/>
  <c r="Q41" i="4"/>
  <c r="Q45" i="4"/>
  <c r="S37" i="4"/>
  <c r="R39" i="4"/>
  <c r="R44" i="4" s="1"/>
  <c r="Q50" i="4" l="1"/>
  <c r="Q68" i="4" s="1"/>
  <c r="P50" i="4"/>
  <c r="P68" i="4" s="1"/>
  <c r="R41" i="4"/>
  <c r="Q46" i="4"/>
  <c r="S39" i="4"/>
  <c r="S44" i="4" s="1"/>
  <c r="T37" i="4"/>
  <c r="R45" i="4" l="1"/>
  <c r="R46" i="4" s="1"/>
  <c r="S41" i="4"/>
  <c r="S45" i="4"/>
  <c r="U37" i="4"/>
  <c r="T39" i="4"/>
  <c r="T44" i="4" s="1"/>
  <c r="S50" i="4" l="1"/>
  <c r="S68" i="4" s="1"/>
  <c r="R50" i="4"/>
  <c r="R68" i="4" s="1"/>
  <c r="T45" i="4"/>
  <c r="T41" i="4"/>
  <c r="V37" i="4"/>
  <c r="U39" i="4"/>
  <c r="U44" i="4" s="1"/>
  <c r="S46" i="4"/>
  <c r="T50" i="4" l="1"/>
  <c r="T68" i="4" s="1"/>
  <c r="T46" i="4"/>
  <c r="U41" i="4"/>
  <c r="U45" i="4"/>
  <c r="W37" i="4"/>
  <c r="V39" i="4"/>
  <c r="V44" i="4" s="1"/>
  <c r="U50" i="4" l="1"/>
  <c r="U68" i="4" s="1"/>
  <c r="X37" i="4"/>
  <c r="W39" i="4"/>
  <c r="W44" i="4" s="1"/>
  <c r="U46" i="4"/>
  <c r="V41" i="4"/>
  <c r="V45" i="4" l="1"/>
  <c r="V46" i="4" s="1"/>
  <c r="W45" i="4"/>
  <c r="W41" i="4"/>
  <c r="X39" i="4"/>
  <c r="X44" i="4" s="1"/>
  <c r="Y37" i="4"/>
  <c r="W50" i="4" l="1"/>
  <c r="W68" i="4" s="1"/>
  <c r="V50" i="4"/>
  <c r="V68" i="4" s="1"/>
  <c r="W46" i="4"/>
  <c r="X41" i="4"/>
  <c r="X45" i="4"/>
  <c r="Y39" i="4"/>
  <c r="Y44" i="4" s="1"/>
  <c r="Z37" i="4"/>
  <c r="X50" i="4" l="1"/>
  <c r="X68" i="4" s="1"/>
  <c r="Y41" i="4"/>
  <c r="AA37" i="4"/>
  <c r="X46" i="4"/>
  <c r="Z39" i="4"/>
  <c r="Z44" i="4" s="1"/>
  <c r="Y45" i="4" l="1"/>
  <c r="Y46" i="4" s="1"/>
  <c r="Z41" i="4"/>
  <c r="Z45" i="4"/>
  <c r="AA39" i="4"/>
  <c r="AA44" i="4" s="1"/>
  <c r="AB37" i="4"/>
  <c r="Z50" i="4" l="1"/>
  <c r="Z68" i="4" s="1"/>
  <c r="Y50" i="4"/>
  <c r="Y68" i="4" s="1"/>
  <c r="AA41" i="4"/>
  <c r="AB39" i="4"/>
  <c r="AB44" i="4" s="1"/>
  <c r="AC37" i="4"/>
  <c r="Z46" i="4"/>
  <c r="AA45" i="4" l="1"/>
  <c r="AA46" i="4" s="1"/>
  <c r="AB45" i="4"/>
  <c r="AB41" i="4"/>
  <c r="AC39" i="4"/>
  <c r="AC44" i="4" s="1"/>
  <c r="AB50" i="4" l="1"/>
  <c r="AA50" i="4"/>
  <c r="AA68" i="4" s="1"/>
  <c r="AB46" i="4"/>
  <c r="AC45" i="4"/>
  <c r="AC41" i="4"/>
  <c r="AB68" i="4" l="1"/>
  <c r="D68" i="4" s="1"/>
  <c r="E62" i="4"/>
  <c r="D62" i="4"/>
  <c r="AC50" i="4"/>
  <c r="AC46" i="4"/>
  <c r="AC68" i="4" l="1"/>
  <c r="D63" i="4"/>
  <c r="D64" i="4" s="1"/>
  <c r="E63" i="4"/>
  <c r="E64" i="4"/>
  <c r="AC52" i="4"/>
  <c r="C63" i="4" s="1"/>
  <c r="D51" i="4" l="1"/>
  <c r="E51" i="4" s="1"/>
  <c r="F51" i="4" s="1"/>
  <c r="G51" i="4" s="1"/>
  <c r="H51" i="4" s="1"/>
  <c r="I51" i="4" s="1"/>
  <c r="J51" i="4" s="1"/>
  <c r="K51" i="4" s="1"/>
  <c r="L51" i="4" s="1"/>
  <c r="M51" i="4" s="1"/>
  <c r="N51" i="4" s="1"/>
  <c r="O51" i="4" s="1"/>
  <c r="P51" i="4" s="1"/>
  <c r="Q51" i="4" s="1"/>
  <c r="R51" i="4" s="1"/>
  <c r="S51" i="4" s="1"/>
  <c r="T51" i="4" s="1"/>
  <c r="U51" i="4" s="1"/>
  <c r="V51" i="4" s="1"/>
  <c r="W51" i="4" s="1"/>
  <c r="X51" i="4" s="1"/>
  <c r="Y51" i="4" s="1"/>
  <c r="Z51" i="4" s="1"/>
  <c r="AA51" i="4" s="1"/>
  <c r="AB51" i="4" s="1"/>
  <c r="AC51" i="4" l="1"/>
  <c r="AB52" i="4"/>
  <c r="C62" i="4" s="1"/>
  <c r="B61" i="4" l="1"/>
  <c r="B62" i="4" s="1"/>
  <c r="B63" i="4" l="1"/>
  <c r="B67" i="4" s="1"/>
  <c r="F56" i="4"/>
  <c r="D55" i="4"/>
  <c r="F55" i="4"/>
  <c r="B64" i="4"/>
  <c r="D56" i="4"/>
  <c r="E56" i="4"/>
  <c r="E55" i="4"/>
  <c r="B65" i="4" l="1"/>
  <c r="D65" i="4"/>
  <c r="E65" i="4"/>
  <c r="B69" i="4"/>
  <c r="B68" i="4"/>
  <c r="J30" i="16"/>
  <c r="J32" i="16"/>
  <c r="J34" i="16" s="1"/>
  <c r="J36" i="16" s="1"/>
  <c r="K12" i="16" s="1"/>
  <c r="K14" i="16" s="1"/>
  <c r="K15" i="16" l="1"/>
  <c r="K16" i="16" s="1"/>
  <c r="K18" i="16" l="1"/>
  <c r="K21" i="16" s="1"/>
  <c r="K32" i="16" s="1"/>
  <c r="K30" i="16" l="1"/>
  <c r="K34" i="16" l="1"/>
  <c r="K36" i="16" s="1"/>
  <c r="L12" i="16" s="1"/>
  <c r="L14" i="16" l="1"/>
  <c r="L15" i="16" l="1"/>
  <c r="L18" i="16" s="1"/>
  <c r="L21" i="16" s="1"/>
  <c r="L32" i="16" l="1"/>
  <c r="L16" i="16"/>
  <c r="L30" i="16" l="1"/>
  <c r="L34" i="16" l="1"/>
  <c r="L36" i="16" s="1"/>
  <c r="M12" i="16" l="1"/>
  <c r="M14" i="16" l="1"/>
  <c r="M15" i="16" l="1"/>
  <c r="M18" i="16" s="1"/>
  <c r="M21" i="16" s="1"/>
  <c r="M32" i="16" l="1"/>
  <c r="M16" i="16"/>
  <c r="M30" i="16" l="1"/>
  <c r="M34" i="16" l="1"/>
  <c r="M36" i="16" s="1"/>
  <c r="N12" i="16" l="1"/>
  <c r="N14" i="16" l="1"/>
  <c r="N15" i="16" l="1"/>
  <c r="N18" i="16" s="1"/>
  <c r="N21" i="16" s="1"/>
  <c r="N16" i="16" l="1"/>
  <c r="N32" i="16"/>
  <c r="N30" i="16" l="1"/>
  <c r="N34" i="16"/>
  <c r="N36" i="16" s="1"/>
  <c r="O12" i="16" l="1"/>
  <c r="O14" i="16" l="1"/>
  <c r="O15" i="16" l="1"/>
  <c r="O18" i="16" s="1"/>
  <c r="O21" i="16" s="1"/>
  <c r="O16" i="16" l="1"/>
  <c r="O32" i="16"/>
  <c r="O30" i="16" l="1"/>
  <c r="O34" i="16"/>
  <c r="O36" i="16" s="1"/>
  <c r="P12" i="16" l="1"/>
  <c r="P14" i="16" l="1"/>
  <c r="P15" i="16" l="1"/>
  <c r="P18" i="16" s="1"/>
  <c r="P21" i="16" s="1"/>
  <c r="P16" i="16" l="1"/>
  <c r="P32" i="16"/>
  <c r="P34" i="16" l="1"/>
  <c r="P36" i="16" s="1"/>
  <c r="P30" i="16"/>
  <c r="Q12" i="16" l="1"/>
  <c r="Q14" i="16" l="1"/>
  <c r="Q15" i="16" l="1"/>
  <c r="Q18" i="16" s="1"/>
  <c r="Q21" i="16" s="1"/>
  <c r="Q32" i="16" l="1"/>
  <c r="Q16" i="16"/>
  <c r="Q34" i="16" l="1"/>
  <c r="Q36" i="16" s="1"/>
  <c r="Q30" i="16"/>
  <c r="R12" i="16" l="1"/>
  <c r="R14" i="16" l="1"/>
  <c r="R15" i="16" l="1"/>
  <c r="R18" i="16" s="1"/>
  <c r="R21" i="16" s="1"/>
  <c r="R16" i="16" l="1"/>
  <c r="R32" i="16"/>
  <c r="R34" i="16" l="1"/>
  <c r="R36" i="16" s="1"/>
  <c r="R30" i="16"/>
  <c r="S12" i="16" l="1"/>
  <c r="S14" i="16" l="1"/>
  <c r="S15" i="16" l="1"/>
  <c r="S18" i="16" s="1"/>
  <c r="S21" i="16" s="1"/>
  <c r="S16" i="16" l="1"/>
  <c r="S32" i="16"/>
  <c r="S30" i="16" l="1"/>
  <c r="S34" i="16"/>
  <c r="S36" i="16" s="1"/>
  <c r="T12" i="16" l="1"/>
  <c r="T14" i="16" l="1"/>
  <c r="T15" i="16" l="1"/>
  <c r="T18" i="16" s="1"/>
  <c r="T21" i="16" s="1"/>
  <c r="T16" i="16" l="1"/>
  <c r="T32" i="16"/>
  <c r="T30" i="16" l="1"/>
  <c r="T34" i="16"/>
  <c r="T36" i="16" s="1"/>
  <c r="U12" i="16" l="1"/>
  <c r="U14" i="16" l="1"/>
  <c r="U15" i="16" l="1"/>
  <c r="U18" i="16" s="1"/>
  <c r="U21" i="16" s="1"/>
  <c r="U16" i="16" l="1"/>
  <c r="U32" i="16"/>
  <c r="U30" i="16" l="1"/>
  <c r="U34" i="16"/>
  <c r="U36" i="16" s="1"/>
  <c r="V12" i="16" l="1"/>
  <c r="V14" i="16" l="1"/>
  <c r="V15" i="16" l="1"/>
  <c r="V18" i="16" s="1"/>
  <c r="V21" i="16" s="1"/>
  <c r="V16" i="16" l="1"/>
  <c r="V32" i="16"/>
  <c r="V34" i="16" l="1"/>
  <c r="V36" i="16" s="1"/>
  <c r="V30" i="16"/>
  <c r="W12" i="16" l="1"/>
  <c r="W14" i="16" l="1"/>
  <c r="W15" i="16" l="1"/>
  <c r="W18" i="16" s="1"/>
  <c r="W21" i="16" s="1"/>
  <c r="W32" i="16" l="1"/>
  <c r="W16" i="16"/>
  <c r="W34" i="16" l="1"/>
  <c r="W36" i="16" s="1"/>
  <c r="W30" i="16"/>
  <c r="X12" i="16" l="1"/>
  <c r="X14" i="16" l="1"/>
  <c r="X15" i="16" l="1"/>
  <c r="X18" i="16" s="1"/>
  <c r="X21" i="16" s="1"/>
  <c r="X32" i="16" l="1"/>
  <c r="X16" i="16"/>
  <c r="X30" i="16" l="1"/>
  <c r="X34" i="16"/>
  <c r="X36" i="16" s="1"/>
  <c r="Y12" i="16" l="1"/>
  <c r="Y14" i="16" l="1"/>
  <c r="Y15" i="16" l="1"/>
  <c r="Y18" i="16" s="1"/>
  <c r="Y21" i="16" s="1"/>
  <c r="Y32" i="16" l="1"/>
  <c r="Y16" i="16"/>
  <c r="Y30" i="16" l="1"/>
  <c r="Y34" i="16"/>
  <c r="Y36" i="16" s="1"/>
  <c r="Z12" i="16" l="1"/>
  <c r="Z14" i="16" l="1"/>
  <c r="Z15" i="16" l="1"/>
  <c r="Z18" i="16" s="1"/>
  <c r="Z21" i="16" s="1"/>
  <c r="Z32" i="16" l="1"/>
  <c r="Z16" i="16"/>
  <c r="Z34" i="16" l="1"/>
  <c r="Z36" i="16" s="1"/>
  <c r="Z30" i="16"/>
  <c r="AA12" i="16" l="1"/>
  <c r="AA14" i="16" l="1"/>
  <c r="AA15" i="16" l="1"/>
  <c r="AA18" i="16" s="1"/>
  <c r="AA21" i="16" s="1"/>
  <c r="AA32" i="16" l="1"/>
  <c r="AA16" i="16"/>
  <c r="AA30" i="16" l="1"/>
  <c r="AA34" i="16"/>
  <c r="AA36" i="16" s="1"/>
  <c r="AB12" i="16" l="1"/>
  <c r="AB14" i="16" l="1"/>
  <c r="AB15" i="16" l="1"/>
  <c r="AB18" i="16" s="1"/>
  <c r="AB21" i="16" s="1"/>
  <c r="AB16" i="16" l="1"/>
  <c r="AB32" i="16"/>
  <c r="AB34" i="16" l="1"/>
  <c r="AB36" i="16" s="1"/>
  <c r="AB30" i="16"/>
  <c r="AC12" i="16" l="1"/>
  <c r="AC14" i="16" l="1"/>
  <c r="AC15" i="16" l="1"/>
  <c r="AC18" i="16" s="1"/>
  <c r="AC21" i="16" s="1"/>
  <c r="AC32" i="16" l="1"/>
  <c r="AC16" i="16"/>
  <c r="AC30" i="16" l="1"/>
  <c r="AC34" i="16"/>
  <c r="AC36" i="16" s="1"/>
  <c r="AD12" i="16" l="1"/>
  <c r="AD14" i="16" l="1"/>
  <c r="AD15" i="16" l="1"/>
  <c r="AD18" i="16" s="1"/>
  <c r="AD21" i="16" s="1"/>
  <c r="AD32" i="16" l="1"/>
  <c r="AD16" i="16"/>
  <c r="AD30" i="16" l="1"/>
  <c r="AD34" i="16"/>
  <c r="AD36" i="16" s="1"/>
  <c r="AE12" i="16" l="1"/>
  <c r="AE14" i="16" l="1"/>
  <c r="AE15" i="16" l="1"/>
  <c r="AE18" i="16" s="1"/>
  <c r="AE21" i="16" s="1"/>
  <c r="AE32" i="16" l="1"/>
  <c r="AE16" i="16"/>
  <c r="AE30" i="16" l="1"/>
  <c r="AE34" i="16" l="1"/>
  <c r="AE36" i="16" s="1"/>
  <c r="AF12" i="16" l="1"/>
  <c r="AE61" i="16"/>
  <c r="AE62" i="16" s="1"/>
  <c r="D62" i="16"/>
  <c r="AF14" i="16" l="1"/>
  <c r="AF15" i="16" l="1"/>
  <c r="AF18" i="16" s="1"/>
  <c r="AF21" i="16" s="1"/>
  <c r="AF16" i="16" l="1"/>
  <c r="AF32" i="16"/>
  <c r="AF34" i="16" l="1"/>
  <c r="AF36" i="16" s="1"/>
  <c r="AF30" i="16"/>
  <c r="D63" i="16"/>
  <c r="D64" i="16" l="1"/>
  <c r="H44" i="16" l="1"/>
  <c r="I44" i="16"/>
  <c r="D66" i="16"/>
  <c r="E62" i="16"/>
  <c r="E63" i="16"/>
  <c r="D65" i="16" l="1"/>
  <c r="L23" i="1" s="1"/>
  <c r="L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bloomberg-alunos</author>
    <author>林伊婧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(date of last modification)</t>
        </r>
      </text>
    </comment>
    <comment ref="D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Date of last report/release</t>
        </r>
      </text>
    </comment>
    <comment ref="K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Stock market</t>
        </r>
      </text>
    </comment>
    <comment ref="B7" authorId="1" shapeId="0" xr:uid="{00000000-0006-0000-0000-000004000000}">
      <text>
        <r>
          <rPr>
            <b/>
            <sz val="10"/>
            <color rgb="FF000000"/>
            <rFont val="Tahoma"/>
            <family val="2"/>
          </rPr>
          <t>Last price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7" authorId="1" shapeId="0" xr:uid="{00000000-0006-0000-0000-000005000000}">
      <text>
        <r>
          <rPr>
            <b/>
            <sz val="10"/>
            <color rgb="FF000000"/>
            <rFont val="Tahoma"/>
            <family val="2"/>
          </rPr>
          <t>Total Assets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End of financial year</t>
        </r>
      </text>
    </comment>
    <comment ref="D8" authorId="1" shapeId="0" xr:uid="{00000000-0006-0000-0000-000007000000}">
      <text>
        <r>
          <rPr>
            <b/>
            <sz val="10"/>
            <color rgb="FF000000"/>
            <rFont val="Tahoma"/>
            <family val="2"/>
          </rPr>
          <t>Total liabilities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B10" authorId="1" shapeId="0" xr:uid="{00000000-0006-0000-0000-000008000000}">
      <text>
        <r>
          <rPr>
            <b/>
            <sz val="10"/>
            <color rgb="FF000000"/>
            <rFont val="Tahoma"/>
            <family val="2"/>
          </rPr>
          <t>Debt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0" authorId="1" shapeId="0" xr:uid="{00000000-0006-0000-0000-000009000000}">
      <text>
        <r>
          <rPr>
            <b/>
            <sz val="10"/>
            <color rgb="FF000000"/>
            <rFont val="Tahoma"/>
            <family val="2"/>
          </rPr>
          <t>EBITDA/Net financial cost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1" authorId="1" shapeId="0" xr:uid="{00000000-0006-0000-0000-00000A000000}">
      <text>
        <r>
          <rPr>
            <b/>
            <sz val="10"/>
            <color rgb="FF000000"/>
            <rFont val="Tahoma"/>
            <family val="2"/>
          </rPr>
          <t>Debt/EBITDA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2" authorId="1" shapeId="0" xr:uid="{00000000-0006-0000-0000-00000B000000}">
      <text>
        <r>
          <rPr>
            <b/>
            <sz val="10"/>
            <color rgb="FF000000"/>
            <rFont val="Tahoma"/>
            <family val="2"/>
          </rPr>
          <t>Other assets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B13" authorId="1" shapeId="0" xr:uid="{00000000-0006-0000-0000-00000C000000}">
      <text>
        <r>
          <rPr>
            <sz val="10"/>
            <color rgb="FF000000"/>
            <rFont val="Arial"/>
            <family val="2"/>
          </rPr>
          <t>'Holdings (nac/int'l)</t>
        </r>
      </text>
    </comment>
    <comment ref="D13" authorId="1" shapeId="0" xr:uid="{00000000-0006-0000-0000-00000D000000}">
      <text>
        <r>
          <rPr>
            <b/>
            <sz val="10"/>
            <color rgb="FF000000"/>
            <rFont val="Tahoma"/>
            <family val="2"/>
          </rPr>
          <t>Debt/asset</t>
        </r>
      </text>
    </comment>
    <comment ref="B14" authorId="1" shapeId="0" xr:uid="{00000000-0006-0000-0000-00000E000000}">
      <text>
        <r>
          <rPr>
            <sz val="10"/>
            <color rgb="FF000000"/>
            <rFont val="Arial"/>
            <family val="2"/>
          </rPr>
          <t>t liq. (Holdings/Vol.)</t>
        </r>
      </text>
    </comment>
    <comment ref="D14" authorId="1" shapeId="0" xr:uid="{00000000-0006-0000-0000-00000F000000}">
      <text>
        <r>
          <rPr>
            <b/>
            <sz val="10"/>
            <color rgb="FF000000"/>
            <rFont val="Tahoma"/>
            <family val="2"/>
          </rPr>
          <t>Operating margin</t>
        </r>
      </text>
    </comment>
    <comment ref="D15" authorId="1" shapeId="0" xr:uid="{00000000-0006-0000-0000-000010000000}">
      <text>
        <r>
          <rPr>
            <b/>
            <sz val="10"/>
            <color rgb="FF000000"/>
            <rFont val="Tahoma"/>
            <family val="2"/>
          </rPr>
          <t>Net income margin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6" authorId="1" shapeId="0" xr:uid="{00000000-0006-0000-0000-000011000000}">
      <text>
        <r>
          <rPr>
            <b/>
            <sz val="10"/>
            <color rgb="FF000000"/>
            <rFont val="Tahoma"/>
            <family val="2"/>
          </rPr>
          <t>EBITDA/Revenue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7" authorId="1" shapeId="0" xr:uid="{00000000-0006-0000-0000-000013000000}">
      <text>
        <r>
          <rPr>
            <b/>
            <sz val="10"/>
            <color rgb="FF000000"/>
            <rFont val="Tahoma"/>
            <family val="2"/>
          </rPr>
          <t>林伊婧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24" authorId="1" shapeId="0" xr:uid="{00000000-0006-0000-0000-000014000000}">
      <text>
        <r>
          <rPr>
            <b/>
            <sz val="10"/>
            <color rgb="FF000000"/>
            <rFont val="Tahoma"/>
            <family val="2"/>
          </rPr>
          <t>Discount rate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B51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average of last 3 years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tc={1CA00E8C-8D55-4618-AAEC-56C1D03A6070}</author>
  </authors>
  <commentList>
    <comment ref="A7" authorId="0" shapeId="0" xr:uid="{1CA00E8C-8D55-4618-AAEC-56C1D03A60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Net Sales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林伊婧</author>
  </authors>
  <commentList>
    <comment ref="L2" authorId="0" shapeId="0" xr:uid="{00000000-0006-0000-0200-000001000000}">
      <text>
        <r>
          <rPr>
            <b/>
            <sz val="10"/>
            <color rgb="FF000000"/>
            <rFont val="Tahoma"/>
            <family val="2"/>
          </rPr>
          <t>Projections</t>
        </r>
      </text>
    </comment>
    <comment ref="L3" authorId="0" shapeId="0" xr:uid="{00000000-0006-0000-0200-000002000000}">
      <text>
        <r>
          <rPr>
            <b/>
            <sz val="10"/>
            <color rgb="FF000000"/>
            <rFont val="Tahoma"/>
            <family val="2"/>
          </rPr>
          <t>Revenue growth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V3" authorId="0" shapeId="0" xr:uid="{00000000-0006-0000-0200-000003000000}">
      <text>
        <r>
          <rPr>
            <b/>
            <sz val="10"/>
            <color rgb="FF000000"/>
            <rFont val="Tahoma"/>
            <family val="2"/>
          </rPr>
          <t>Margins (regional)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V9" authorId="0" shapeId="0" xr:uid="{00000000-0006-0000-0200-000004000000}">
      <text>
        <r>
          <rPr>
            <b/>
            <sz val="10"/>
            <color rgb="FF000000"/>
            <rFont val="Tahoma"/>
            <family val="2"/>
          </rPr>
          <t>Operating margin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tc={9EE07E83-C2A3-42BC-818F-4436C4D45E7A}</author>
    <author>tc={FE97EF2D-89A5-43F9-B98A-EEB7AF516D16}</author>
    <author>tc={DD69098E-B037-42C9-A3C2-A00EA0CBF61B}</author>
    <author>tc={E5F02BB5-40DB-4392-9DFB-4A4C906991C1}</author>
  </authors>
  <commentList>
    <comment ref="A16" authorId="0" shapeId="0" xr:uid="{9EE07E83-C2A3-42BC-818F-4436C4D45E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Values in mn</t>
      </text>
    </comment>
    <comment ref="A18" authorId="1" shapeId="0" xr:uid="{FE97EF2D-89A5-43F9-B98A-EEB7AF516D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TTM
</t>
      </text>
    </comment>
    <comment ref="A19" authorId="2" shapeId="0" xr:uid="{DD69098E-B037-42C9-A3C2-A00EA0CBF6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24FY
</t>
      </text>
    </comment>
    <comment ref="A20" authorId="3" shapeId="0" xr:uid="{E5F02BB5-40DB-4392-9DFB-4A4C906991C1}">
      <text>
        <t>[Threaded comment]
Your version of Excel allows you to read this threaded comment; however, any edits to it will get removed if the file is opened in a newer version of Excel. Learn more: https://go.microsoft.com/fwlink/?linkid=870924
Comment:
    24FY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林伊婧</author>
  </authors>
  <commentList>
    <comment ref="C3" authorId="0" shapeId="0" xr:uid="{00000000-0006-0000-0500-000001000000}">
      <text>
        <r>
          <rPr>
            <b/>
            <sz val="10"/>
            <color rgb="FF000000"/>
            <rFont val="Tahoma"/>
            <family val="2"/>
          </rPr>
          <t>Impact, scale from: none,low,medium and high</t>
        </r>
      </text>
    </comment>
    <comment ref="D3" authorId="0" shapeId="0" xr:uid="{00000000-0006-0000-0500-000002000000}">
      <text>
        <r>
          <rPr>
            <b/>
            <sz val="10"/>
            <color rgb="FF000000"/>
            <rFont val="Tahoma"/>
            <family val="2"/>
          </rPr>
          <t>Does the company report? Yes/No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F3" authorId="0" shapeId="0" xr:uid="{00000000-0006-0000-0500-000003000000}">
      <text>
        <r>
          <rPr>
            <b/>
            <sz val="10"/>
            <color rgb="FF000000"/>
            <rFont val="Tahoma"/>
            <family val="2"/>
          </rPr>
          <t>Mitigation plan
yes/no</t>
        </r>
      </text>
    </comment>
    <comment ref="G3" authorId="0" shapeId="0" xr:uid="{00000000-0006-0000-0500-000004000000}">
      <text>
        <r>
          <rPr>
            <b/>
            <sz val="10"/>
            <color rgb="FF000000"/>
            <rFont val="Tahoma"/>
            <family val="2"/>
          </rPr>
          <t>Traffic lights</t>
        </r>
      </text>
    </comment>
    <comment ref="H3" authorId="0" shapeId="0" xr:uid="{00000000-0006-0000-0500-000005000000}">
      <text>
        <r>
          <rPr>
            <b/>
            <sz val="10"/>
            <color rgb="FF000000"/>
            <rFont val="Tahoma"/>
            <family val="2"/>
          </rPr>
          <t>Comments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Salas</author>
    <author>sistemas</author>
  </authors>
  <commentList>
    <comment ref="D36" authorId="0" shapeId="0" xr:uid="{00000000-0006-0000-0600-000001000000}">
      <text>
        <r>
          <rPr>
            <sz val="9"/>
            <color indexed="81"/>
            <rFont val="Tahoma"/>
            <family val="2"/>
          </rPr>
          <t>Real al 3Q 2021</t>
        </r>
      </text>
    </comment>
    <comment ref="D38" authorId="0" shapeId="0" xr:uid="{00000000-0006-0000-0600-000002000000}">
      <text>
        <r>
          <rPr>
            <sz val="9"/>
            <color indexed="81"/>
            <rFont val="Tahoma"/>
            <family val="2"/>
          </rPr>
          <t>Tienen 30.2% al 3Q 2021</t>
        </r>
      </text>
    </comment>
    <comment ref="D42" authorId="0" shapeId="0" xr:uid="{00000000-0006-0000-0600-000003000000}">
      <text>
        <r>
          <rPr>
            <sz val="9"/>
            <color indexed="81"/>
            <rFont val="Tahoma"/>
            <family val="2"/>
          </rPr>
          <t xml:space="preserve">siempre han traído productos financieros… </t>
        </r>
      </text>
    </comment>
    <comment ref="D43" authorId="1" shapeId="0" xr:uid="{00000000-0006-0000-0600-000004000000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Agregamos a otros gastos el pago por la retención de impuestos de las acciones que otorga a los empleados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林伊婧</author>
  </authors>
  <commentList>
    <comment ref="A8" authorId="0" shapeId="0" xr:uid="{00000000-0006-0000-0900-000001000000}">
      <text>
        <r>
          <rPr>
            <b/>
            <sz val="10"/>
            <color rgb="FF000000"/>
            <rFont val="Tahoma"/>
            <family val="2"/>
          </rPr>
          <t>Net Sales</t>
        </r>
      </text>
    </comment>
    <comment ref="A9" authorId="0" shapeId="0" xr:uid="{00000000-0006-0000-0900-000002000000}">
      <text>
        <r>
          <rPr>
            <b/>
            <sz val="10"/>
            <color rgb="FF000000"/>
            <rFont val="Tahoma"/>
            <family val="2"/>
          </rPr>
          <t>Gross Profit</t>
        </r>
      </text>
    </comment>
    <comment ref="A10" authorId="0" shapeId="0" xr:uid="{00000000-0006-0000-0900-000003000000}">
      <text>
        <r>
          <rPr>
            <b/>
            <sz val="10"/>
            <color rgb="FF000000"/>
            <rFont val="Tahoma"/>
            <family val="2"/>
          </rPr>
          <t>Operating income</t>
        </r>
      </text>
    </comment>
    <comment ref="A11" authorId="0" shapeId="0" xr:uid="{00000000-0006-0000-0900-000004000000}">
      <text>
        <r>
          <rPr>
            <b/>
            <sz val="10"/>
            <color rgb="FF000000"/>
            <rFont val="Tahoma"/>
            <family val="2"/>
          </rPr>
          <t>Net financial cost</t>
        </r>
      </text>
    </comment>
    <comment ref="A12" authorId="0" shapeId="0" xr:uid="{00000000-0006-0000-0900-000005000000}">
      <text>
        <r>
          <rPr>
            <b/>
            <sz val="10"/>
            <color rgb="FF000000"/>
            <rFont val="Tahoma"/>
            <family val="2"/>
          </rPr>
          <t>Other expenses (income)</t>
        </r>
      </text>
    </comment>
    <comment ref="A13" authorId="0" shapeId="0" xr:uid="{00000000-0006-0000-0900-000006000000}">
      <text>
        <r>
          <rPr>
            <b/>
            <sz val="10"/>
            <color rgb="FF000000"/>
            <rFont val="Tahoma"/>
            <family val="2"/>
          </rPr>
          <t>Depreciation and amortization</t>
        </r>
      </text>
    </comment>
    <comment ref="A14" authorId="0" shapeId="0" xr:uid="{00000000-0006-0000-0900-000007000000}">
      <text>
        <r>
          <rPr>
            <b/>
            <sz val="10"/>
            <color rgb="FF000000"/>
            <rFont val="Tahoma"/>
            <family val="2"/>
          </rPr>
          <t>Working Capital</t>
        </r>
      </text>
    </comment>
    <comment ref="A16" authorId="0" shapeId="0" xr:uid="{00000000-0006-0000-0900-000008000000}">
      <text>
        <r>
          <rPr>
            <b/>
            <sz val="10"/>
            <color rgb="FF000000"/>
            <rFont val="Tahoma"/>
            <family val="2"/>
          </rPr>
          <t>Investments</t>
        </r>
      </text>
    </comment>
    <comment ref="A18" authorId="0" shapeId="0" xr:uid="{00000000-0006-0000-0900-000009000000}">
      <text>
        <r>
          <rPr>
            <b/>
            <sz val="10"/>
            <color rgb="FF000000"/>
            <rFont val="Tahoma"/>
            <family val="2"/>
          </rPr>
          <t>Net income</t>
        </r>
      </text>
    </comment>
    <comment ref="A19" authorId="0" shapeId="0" xr:uid="{00000000-0006-0000-0900-00000A000000}">
      <text>
        <r>
          <rPr>
            <b/>
            <sz val="10"/>
            <color rgb="FF000000"/>
            <rFont val="Tahoma"/>
            <family val="2"/>
          </rPr>
          <t>Dividens</t>
        </r>
      </text>
    </comment>
    <comment ref="A20" authorId="0" shapeId="0" xr:uid="{00000000-0006-0000-0900-00000B000000}">
      <text>
        <r>
          <rPr>
            <b/>
            <sz val="10"/>
            <color rgb="FF000000"/>
            <rFont val="Tahoma"/>
            <family val="2"/>
          </rPr>
          <t>Purchase of shares</t>
        </r>
      </text>
    </comment>
    <comment ref="A24" authorId="0" shapeId="0" xr:uid="{00000000-0006-0000-0900-00000C000000}">
      <text>
        <r>
          <rPr>
            <b/>
            <sz val="10"/>
            <color rgb="FF000000"/>
            <rFont val="Tahoma"/>
            <family val="2"/>
          </rPr>
          <t>Cash &amp; equivalents</t>
        </r>
      </text>
    </comment>
    <comment ref="A25" authorId="0" shapeId="0" xr:uid="{00000000-0006-0000-0900-00000D000000}">
      <text>
        <r>
          <rPr>
            <b/>
            <sz val="10"/>
            <color rgb="FF000000"/>
            <rFont val="Tahoma"/>
            <family val="2"/>
          </rPr>
          <t>Accounts receivables</t>
        </r>
      </text>
    </comment>
    <comment ref="A26" authorId="0" shapeId="0" xr:uid="{00000000-0006-0000-0900-00000E000000}">
      <text>
        <r>
          <rPr>
            <b/>
            <sz val="10"/>
            <color rgb="FF000000"/>
            <rFont val="Tahoma"/>
            <family val="2"/>
          </rPr>
          <t>Inventories</t>
        </r>
      </text>
    </comment>
    <comment ref="A27" authorId="0" shapeId="0" xr:uid="{00000000-0006-0000-0900-00000F000000}">
      <text>
        <r>
          <rPr>
            <b/>
            <sz val="10"/>
            <color rgb="FF000000"/>
            <rFont val="Tahoma"/>
            <family val="2"/>
          </rPr>
          <t>PP&amp;E (net)</t>
        </r>
      </text>
    </comment>
    <comment ref="A28" authorId="0" shapeId="0" xr:uid="{00000000-0006-0000-0900-000010000000}">
      <text>
        <r>
          <rPr>
            <b/>
            <sz val="10"/>
            <color rgb="FF000000"/>
            <rFont val="Tahoma"/>
            <family val="2"/>
          </rPr>
          <t>Other assets</t>
        </r>
      </text>
    </comment>
    <comment ref="A29" authorId="0" shapeId="0" xr:uid="{00000000-0006-0000-0900-000011000000}">
      <text>
        <r>
          <rPr>
            <b/>
            <sz val="10"/>
            <color rgb="FF000000"/>
            <rFont val="Tahoma"/>
            <family val="2"/>
          </rPr>
          <t>Total assets</t>
        </r>
      </text>
    </comment>
    <comment ref="A33" authorId="0" shapeId="0" xr:uid="{00000000-0006-0000-0900-000012000000}">
      <text>
        <r>
          <rPr>
            <b/>
            <sz val="10"/>
            <color rgb="FF000000"/>
            <rFont val="Tahoma"/>
            <family val="2"/>
          </rPr>
          <t>Current liabilities</t>
        </r>
      </text>
    </comment>
    <comment ref="A34" authorId="0" shapeId="0" xr:uid="{00000000-0006-0000-0900-000013000000}">
      <text>
        <r>
          <rPr>
            <b/>
            <sz val="10"/>
            <color rgb="FF000000"/>
            <rFont val="Tahoma"/>
            <family val="2"/>
          </rPr>
          <t>short-term debt</t>
        </r>
      </text>
    </comment>
    <comment ref="A36" authorId="0" shapeId="0" xr:uid="{00000000-0006-0000-0900-000014000000}">
      <text>
        <r>
          <rPr>
            <b/>
            <sz val="10"/>
            <color rgb="FF000000"/>
            <rFont val="Tahoma"/>
            <family val="2"/>
          </rPr>
          <t>Other current liabilities</t>
        </r>
      </text>
    </comment>
    <comment ref="A37" authorId="0" shapeId="0" xr:uid="{00000000-0006-0000-0900-000015000000}">
      <text>
        <r>
          <rPr>
            <b/>
            <sz val="10"/>
            <color rgb="FF000000"/>
            <rFont val="Tahoma"/>
            <family val="2"/>
          </rPr>
          <t>Non-current liabilities</t>
        </r>
      </text>
    </comment>
    <comment ref="A38" authorId="0" shapeId="0" xr:uid="{00000000-0006-0000-0900-000016000000}">
      <text>
        <r>
          <rPr>
            <b/>
            <sz val="10"/>
            <color rgb="FF000000"/>
            <rFont val="Tahoma"/>
            <family val="2"/>
          </rPr>
          <t>Long-term debt</t>
        </r>
      </text>
    </comment>
    <comment ref="A40" authorId="0" shapeId="0" xr:uid="{00000000-0006-0000-0900-000017000000}">
      <text>
        <r>
          <rPr>
            <b/>
            <sz val="10"/>
            <color rgb="FF000000"/>
            <rFont val="Tahoma"/>
            <family val="2"/>
          </rPr>
          <t>Other non-current liabilities</t>
        </r>
      </text>
    </comment>
    <comment ref="A41" authorId="0" shapeId="0" xr:uid="{00000000-0006-0000-0900-000018000000}">
      <text>
        <r>
          <rPr>
            <b/>
            <sz val="10"/>
            <color rgb="FF000000"/>
            <rFont val="Tahoma"/>
            <family val="2"/>
          </rPr>
          <t>Total liabilities</t>
        </r>
      </text>
    </comment>
    <comment ref="A44" authorId="0" shapeId="0" xr:uid="{00000000-0006-0000-0900-000019000000}">
      <text>
        <r>
          <rPr>
            <b/>
            <sz val="10"/>
            <color rgb="FF000000"/>
            <rFont val="Tahoma"/>
            <family val="2"/>
          </rPr>
          <t>Minority Interest</t>
        </r>
      </text>
    </comment>
    <comment ref="A46" authorId="0" shapeId="0" xr:uid="{00000000-0006-0000-0900-00001A000000}">
      <text>
        <r>
          <rPr>
            <b/>
            <sz val="10"/>
            <color rgb="FF000000"/>
            <rFont val="Tahoma"/>
            <family val="2"/>
          </rPr>
          <t>Shareholder's equity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<sst xmlns="http://schemas.openxmlformats.org/spreadsheetml/2006/main" count="728" uniqueCount="554">
  <si>
    <t>Ingresos</t>
  </si>
  <si>
    <t>Margen Operativo</t>
  </si>
  <si>
    <t>Insiders Own:</t>
  </si>
  <si>
    <t>EBIT</t>
  </si>
  <si>
    <t>+Dep&amp;Amort</t>
  </si>
  <si>
    <t>=EBIDTA</t>
  </si>
  <si>
    <t>Deuda/Activo</t>
  </si>
  <si>
    <t>Precio/Valor en libros</t>
  </si>
  <si>
    <t>AAG</t>
  </si>
  <si>
    <t>Ventas</t>
  </si>
  <si>
    <t>Crecimiento</t>
  </si>
  <si>
    <t>ISR &amp; PTU</t>
  </si>
  <si>
    <t>FNP</t>
  </si>
  <si>
    <t>F(t)</t>
  </si>
  <si>
    <t>VPN/Acción</t>
  </si>
  <si>
    <t>VPN*@i%</t>
  </si>
  <si>
    <t>Calificación (S&amp;P)</t>
  </si>
  <si>
    <t>Deuda</t>
  </si>
  <si>
    <t>Utilidad antes de Impuestos</t>
  </si>
  <si>
    <t>Inversiones</t>
  </si>
  <si>
    <t>CVAR</t>
  </si>
  <si>
    <t>Dep&amp;Amort</t>
  </si>
  <si>
    <t>EBIDTA</t>
  </si>
  <si>
    <t>Otros Gastos</t>
  </si>
  <si>
    <t>Precio/Utilidad(p)</t>
  </si>
  <si>
    <t>Precio/FNP (p)</t>
  </si>
  <si>
    <t>Float:</t>
  </si>
  <si>
    <t>Último Año</t>
  </si>
  <si>
    <t>Outstanding Shares</t>
  </si>
  <si>
    <t>Market Cap.</t>
  </si>
  <si>
    <t>Cash Flow</t>
  </si>
  <si>
    <t>Investing Activities</t>
  </si>
  <si>
    <r>
      <t>D</t>
    </r>
    <r>
      <rPr>
        <b/>
        <sz val="10"/>
        <rFont val="Arial"/>
        <family val="2"/>
      </rPr>
      <t xml:space="preserve"> Cash and Equivalents</t>
    </r>
  </si>
  <si>
    <r>
      <t>Inv/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 xml:space="preserve"> Vts</t>
    </r>
  </si>
  <si>
    <t>Año</t>
  </si>
  <si>
    <t>Último Precio</t>
  </si>
  <si>
    <t>+Deuda Total</t>
  </si>
  <si>
    <t>Cash/Precio</t>
  </si>
  <si>
    <t>Margen neto (p)</t>
  </si>
  <si>
    <t>Ebidta/Ingresos(p)</t>
  </si>
  <si>
    <t>Utilidad Neta (p)</t>
  </si>
  <si>
    <t>Utilidad Neta</t>
  </si>
  <si>
    <t>UPA</t>
  </si>
  <si>
    <t>Riesgos</t>
  </si>
  <si>
    <t>Oportunidades</t>
  </si>
  <si>
    <t>Tesis de inversión</t>
  </si>
  <si>
    <t>FNP(p)/Activos</t>
  </si>
  <si>
    <t>=Enterprise Value</t>
  </si>
  <si>
    <t>-Cash</t>
  </si>
  <si>
    <t>EV/Activos</t>
  </si>
  <si>
    <t>"Otros activos"/Activo</t>
  </si>
  <si>
    <t>EV/Ebidta (p)</t>
  </si>
  <si>
    <t>TDY(p)/Precio</t>
  </si>
  <si>
    <t xml:space="preserve">   Perpetuidad</t>
  </si>
  <si>
    <t>"TELP"</t>
  </si>
  <si>
    <t>Margen de Operación (p)</t>
  </si>
  <si>
    <t>ROA</t>
  </si>
  <si>
    <t>Crec</t>
  </si>
  <si>
    <t>Ebidta(p)</t>
  </si>
  <si>
    <t>CIF/Deuda Neta Promedio</t>
  </si>
  <si>
    <t>Supuestos de valuación</t>
  </si>
  <si>
    <t>DCF Value</t>
  </si>
  <si>
    <t>Ebidta/CIF</t>
  </si>
  <si>
    <t>Margen</t>
  </si>
  <si>
    <t>% Vts</t>
  </si>
  <si>
    <t>Div. Yield:</t>
  </si>
  <si>
    <t>Profit</t>
  </si>
  <si>
    <t>Deuda/Ebidta</t>
  </si>
  <si>
    <t xml:space="preserve">   DCF 25Y</t>
  </si>
  <si>
    <t>Impacto</t>
  </si>
  <si>
    <t>¿Reporta?</t>
  </si>
  <si>
    <t>Mitigación</t>
  </si>
  <si>
    <t>Semáforo</t>
  </si>
  <si>
    <t>Ambiental</t>
  </si>
  <si>
    <t>Emisiones directas CO2</t>
  </si>
  <si>
    <t>Uso total de agua</t>
  </si>
  <si>
    <t>"Best in class"</t>
  </si>
  <si>
    <t>Total Energy Consumption</t>
  </si>
  <si>
    <t>Waste Management</t>
  </si>
  <si>
    <t>Land Degradation/Deforestation/Biodiversity loss/Animal sufering/…</t>
  </si>
  <si>
    <t>Social</t>
  </si>
  <si>
    <t>% Rotación de empleados</t>
  </si>
  <si>
    <t>Sueldos y compensaciones</t>
  </si>
  <si>
    <t>Temas de reputación</t>
  </si>
  <si>
    <t>Temas de discriminación</t>
  </si>
  <si>
    <t>Seguridad laboral</t>
  </si>
  <si>
    <t>Daños a la salud</t>
  </si>
  <si>
    <t>PXP?</t>
  </si>
  <si>
    <t>Supply chain</t>
  </si>
  <si>
    <t>Community involvement</t>
  </si>
  <si>
    <t>Public Sector</t>
  </si>
  <si>
    <t>Litigios</t>
  </si>
  <si>
    <t>Gobierno</t>
  </si>
  <si>
    <t>Diversidad (Género, edad, industria, región)</t>
  </si>
  <si>
    <t>% independientes</t>
  </si>
  <si>
    <t>CEO/Chairman</t>
  </si>
  <si>
    <t>Auditoría/Consultoría</t>
  </si>
  <si>
    <t>Esquemas de compensación al management</t>
  </si>
  <si>
    <t>Comentarios</t>
  </si>
  <si>
    <t>MITIGACIÓN</t>
  </si>
  <si>
    <t>RANKING</t>
  </si>
  <si>
    <t>IMPACTO</t>
  </si>
  <si>
    <t>PARÁMETROS</t>
  </si>
  <si>
    <t>KSF</t>
  </si>
  <si>
    <t>Acción</t>
  </si>
  <si>
    <t>Div.+Recompra</t>
  </si>
  <si>
    <t>Tasa de descuento:</t>
  </si>
  <si>
    <t>(p) = Promedio de últimos 3 años</t>
  </si>
  <si>
    <t>Análisis ESG</t>
  </si>
  <si>
    <t>Ranking</t>
  </si>
  <si>
    <t>TOTAL</t>
  </si>
  <si>
    <t>Discounted Cash Flow</t>
  </si>
  <si>
    <r>
      <rPr>
        <b/>
        <sz val="10"/>
        <color indexed="9"/>
        <rFont val="Symbol"/>
        <family val="1"/>
        <charset val="2"/>
      </rPr>
      <t>D</t>
    </r>
    <r>
      <rPr>
        <b/>
        <sz val="10"/>
        <color indexed="9"/>
        <rFont val="Arial"/>
        <family val="2"/>
      </rPr>
      <t xml:space="preserve"> Analista</t>
    </r>
  </si>
  <si>
    <t>Múltiplos</t>
  </si>
  <si>
    <t>*Nota: Estos múltiplos no consideran el promedio de los últimos 3 años, únicamente valores del último año reportado</t>
  </si>
  <si>
    <t>Año termina:</t>
  </si>
  <si>
    <t>Ut. Operativa</t>
  </si>
  <si>
    <t>Capex</t>
  </si>
  <si>
    <t>Adquisiones</t>
  </si>
  <si>
    <t>Dividends</t>
  </si>
  <si>
    <t>Stock Repurchases</t>
  </si>
  <si>
    <t>FNP (p)</t>
  </si>
  <si>
    <t>FX</t>
  </si>
  <si>
    <t>NOTES:</t>
  </si>
  <si>
    <t>t inversiones; t adq. neto dep.</t>
  </si>
  <si>
    <t>E</t>
  </si>
  <si>
    <t>S</t>
  </si>
  <si>
    <t>G</t>
  </si>
  <si>
    <t>Semáforo ESG</t>
  </si>
  <si>
    <t>ROIC</t>
  </si>
  <si>
    <t>ESG</t>
  </si>
  <si>
    <t>Riesgos claros</t>
  </si>
  <si>
    <t>Deuda/Activos</t>
  </si>
  <si>
    <t>Activos</t>
  </si>
  <si>
    <t>EPS</t>
  </si>
  <si>
    <t>E$/UN</t>
  </si>
  <si>
    <t>EEV/EBIDA</t>
  </si>
  <si>
    <t>% Short</t>
  </si>
  <si>
    <t>Participación adicional del CEO en otros consejos o excesiva del Ch.</t>
  </si>
  <si>
    <t>Salidas recientes de consejeros/C-level executives?</t>
  </si>
  <si>
    <t>t liq. (Pos prom./Vol.)</t>
  </si>
  <si>
    <t>PO / Precio Stand By</t>
  </si>
  <si>
    <t>Transparencia (segmentos, fuente de riqueza, adquisiciones, otros)</t>
  </si>
  <si>
    <t xml:space="preserve">Factor D&amp;A </t>
  </si>
  <si>
    <t>CP</t>
  </si>
  <si>
    <t>LP</t>
  </si>
  <si>
    <t>CHECKLIST</t>
  </si>
  <si>
    <t>Peer Analysis</t>
  </si>
  <si>
    <t>Consenso</t>
  </si>
  <si>
    <t>PO/Stand By</t>
  </si>
  <si>
    <t>Activo:</t>
  </si>
  <si>
    <t>Pasivo:</t>
  </si>
  <si>
    <t>CER</t>
  </si>
  <si>
    <t>Consenso EPS</t>
  </si>
  <si>
    <t>Acuerdo</t>
  </si>
  <si>
    <t>Depreciación</t>
  </si>
  <si>
    <t>Capex + Adq</t>
  </si>
  <si>
    <t>Invertir</t>
  </si>
  <si>
    <t>NO invertir</t>
  </si>
  <si>
    <t>Mantener sin elevar posición</t>
  </si>
  <si>
    <t>Mantener (y seguir comprando)</t>
  </si>
  <si>
    <t>Liquidar</t>
  </si>
  <si>
    <t>PENDIENTE</t>
  </si>
  <si>
    <t>Tenencia % (nac/int'l)</t>
  </si>
  <si>
    <t>Factor CIF</t>
  </si>
  <si>
    <t>Factor ISR</t>
  </si>
  <si>
    <t>Factor inv</t>
  </si>
  <si>
    <t>Suma D&amp;A</t>
  </si>
  <si>
    <t>Suma Inv.</t>
  </si>
  <si>
    <t>Inv.+Goodwill</t>
  </si>
  <si>
    <t>Liquidez y Solvencia</t>
  </si>
  <si>
    <t>Float</t>
  </si>
  <si>
    <t>(Capex + Adq.)/Revenue</t>
  </si>
  <si>
    <t>VER DCF</t>
  </si>
  <si>
    <t>SIC: Sí</t>
  </si>
  <si>
    <t>**Cifras en USD</t>
  </si>
  <si>
    <t>Tax (p) últ. 5a</t>
  </si>
  <si>
    <t>2019 (Real)</t>
  </si>
  <si>
    <t>CIF</t>
  </si>
  <si>
    <t>CAGR</t>
  </si>
  <si>
    <t>Deuda/EBITDA</t>
  </si>
  <si>
    <t>Millones de USD</t>
  </si>
  <si>
    <t>Inversiones y Capex</t>
  </si>
  <si>
    <r>
      <t xml:space="preserve">%Vts; %Op.Mg.; </t>
    </r>
    <r>
      <rPr>
        <b/>
        <sz val="10"/>
        <rFont val="Symbol"/>
        <family val="1"/>
        <charset val="2"/>
      </rPr>
      <t>D</t>
    </r>
  </si>
  <si>
    <t>tiempo promedio como consejeros independientes</t>
  </si>
  <si>
    <t>Tiempo que tardan en reportar luego del final del trimestre/año</t>
  </si>
  <si>
    <t>Pros y Cons</t>
  </si>
  <si>
    <t>https://www.apple.com/newsroom/2020/03/apples-covid-19-response/</t>
  </si>
  <si>
    <t>https://glg.it/articles/how-might-the-wuhan-coronavirus-impact-apples-supply-chain/</t>
  </si>
  <si>
    <t>https://www.cnbc.com/2020/02/18/the-significance-of-apples-coronavirus-warning.html</t>
  </si>
  <si>
    <t>March 13</t>
  </si>
  <si>
    <t>January 29</t>
  </si>
  <si>
    <t>Ferbuary 18</t>
  </si>
  <si>
    <t>Otros:</t>
  </si>
  <si>
    <t>https://www.macrumors.com/guide/covid-19-coronavirus/</t>
  </si>
  <si>
    <t>Proyectado</t>
  </si>
  <si>
    <t>% vts.</t>
  </si>
  <si>
    <t>Escenario de estrés</t>
  </si>
  <si>
    <t>Márgenes (regional)</t>
  </si>
  <si>
    <t>Ajuste R&amp;D</t>
  </si>
  <si>
    <t>Margen Operativp</t>
  </si>
  <si>
    <t>2020 (Real)</t>
  </si>
  <si>
    <t>ROA (p)</t>
  </si>
  <si>
    <t>ROIC (p)</t>
  </si>
  <si>
    <t>b</t>
  </si>
  <si>
    <t>Precio/Utilidad</t>
  </si>
  <si>
    <t>EV/Ebitda</t>
  </si>
  <si>
    <t>Resultados</t>
  </si>
  <si>
    <t>Ventas Netas</t>
  </si>
  <si>
    <r>
      <t xml:space="preserve">     </t>
    </r>
    <r>
      <rPr>
        <i/>
        <sz val="9"/>
        <rFont val="Arial"/>
        <family val="2"/>
      </rPr>
      <t>Crecimiento vs. Año pasado</t>
    </r>
  </si>
  <si>
    <t>Utilidad Bruta</t>
  </si>
  <si>
    <r>
      <t xml:space="preserve">     </t>
    </r>
    <r>
      <rPr>
        <i/>
        <sz val="9"/>
        <rFont val="Arial"/>
        <family val="2"/>
      </rPr>
      <t>porcentaje sobre ventas</t>
    </r>
  </si>
  <si>
    <t>Gastos de Operación</t>
  </si>
  <si>
    <t>Utilidad de Operación</t>
  </si>
  <si>
    <r>
      <t xml:space="preserve">     </t>
    </r>
    <r>
      <rPr>
        <i/>
        <sz val="9"/>
        <rFont val="Arial"/>
        <family val="2"/>
      </rPr>
      <t>Crecimiento vs año anterior</t>
    </r>
  </si>
  <si>
    <t>CIF (Productos Financieros)</t>
  </si>
  <si>
    <t>Otros Gastos (Productos)</t>
  </si>
  <si>
    <t>Utilidad antes de Impuestos y partidas extra.</t>
  </si>
  <si>
    <t>Depreciación y amortización del ejercicio</t>
  </si>
  <si>
    <t>Capital de Trabajo</t>
  </si>
  <si>
    <r>
      <t xml:space="preserve">EBITDA </t>
    </r>
    <r>
      <rPr>
        <i/>
        <sz val="9"/>
        <rFont val="Arial"/>
        <family val="2"/>
      </rPr>
      <t>(flujo operativo)</t>
    </r>
  </si>
  <si>
    <t>I.S.R Y P.T.U.</t>
  </si>
  <si>
    <t xml:space="preserve">     % Tax</t>
  </si>
  <si>
    <t xml:space="preserve">     Crecimiento vs año anterior</t>
  </si>
  <si>
    <t>Efectivo Generado</t>
  </si>
  <si>
    <t>Dividendos</t>
  </si>
  <si>
    <t>Recompra de Acciones</t>
  </si>
  <si>
    <t>FNP (ajustado por deuda)</t>
  </si>
  <si>
    <t>FNP (ajustado por inversiones)</t>
  </si>
  <si>
    <t>Capex + Inversiones</t>
  </si>
  <si>
    <t>Dividendos + Recompra de Acciones</t>
  </si>
  <si>
    <t xml:space="preserve">Activo   </t>
  </si>
  <si>
    <t>Caja</t>
  </si>
  <si>
    <t>Cuentas y documentos por cobrar</t>
  </si>
  <si>
    <t>Inventarios</t>
  </si>
  <si>
    <t xml:space="preserve"> Activos Fijos (Net Plant)</t>
  </si>
  <si>
    <t>Otros Activos</t>
  </si>
  <si>
    <t>Total Activo</t>
  </si>
  <si>
    <t>Pasivo</t>
  </si>
  <si>
    <t>Pasivo Corto Plazo</t>
  </si>
  <si>
    <t xml:space="preserve">   Deuda a corto plazo</t>
  </si>
  <si>
    <t xml:space="preserve">   Short-Term Leases</t>
  </si>
  <si>
    <t xml:space="preserve">   Otros Pasivos a Corto Plazo</t>
  </si>
  <si>
    <t>Pasivo Largo Plazo</t>
  </si>
  <si>
    <t xml:space="preserve">   Deuda a largo plazo</t>
  </si>
  <si>
    <t xml:space="preserve">   Long-Term Leases</t>
  </si>
  <si>
    <t xml:space="preserve">   Otros Pasivos a Largo Plazo</t>
  </si>
  <si>
    <t>Total pasivos</t>
  </si>
  <si>
    <t>Interés Minoritario</t>
  </si>
  <si>
    <t>Capital Contable</t>
  </si>
  <si>
    <t>OTROS DATOS AL FIN DE AÑO</t>
  </si>
  <si>
    <t>Numero deEmpleados</t>
  </si>
  <si>
    <t>Acciones en circulación (millones)</t>
  </si>
  <si>
    <t>Insiders Own</t>
  </si>
  <si>
    <t>S&amp;P</t>
  </si>
  <si>
    <t>Precio Medio</t>
  </si>
  <si>
    <t>Moody's</t>
  </si>
  <si>
    <t>YTM</t>
  </si>
  <si>
    <t>DIVISA</t>
  </si>
  <si>
    <t>RESULTADOS</t>
  </si>
  <si>
    <t>CIF (Poductos)</t>
  </si>
  <si>
    <t>Otros Gastos (Ingresos)</t>
  </si>
  <si>
    <t xml:space="preserve">Depreciación y amortización </t>
  </si>
  <si>
    <t>Compra de Acciones</t>
  </si>
  <si>
    <t>POSICIÓN FINANCIERA</t>
  </si>
  <si>
    <t>Activos Fijos (Net Plant)</t>
  </si>
  <si>
    <t>Analista: Research</t>
  </si>
  <si>
    <t>Deuda + Lease Liabilities</t>
  </si>
  <si>
    <t xml:space="preserve"> </t>
  </si>
  <si>
    <t>Normal</t>
  </si>
  <si>
    <t>Duración</t>
  </si>
  <si>
    <r>
      <t xml:space="preserve">b </t>
    </r>
    <r>
      <rPr>
        <sz val="10"/>
        <rFont val="Arial"/>
        <family val="2"/>
      </rPr>
      <t>(Bloomberg; Yahoo)</t>
    </r>
  </si>
  <si>
    <t>Cash Flow from Operations (BWC)</t>
  </si>
  <si>
    <t>Working Capital</t>
  </si>
  <si>
    <t>Endeudamiento Neto</t>
  </si>
  <si>
    <t>Otros Financiemientos</t>
  </si>
  <si>
    <t>VALUATION MODEL</t>
  </si>
  <si>
    <t>Section</t>
  </si>
  <si>
    <t>Line #</t>
  </si>
  <si>
    <t>ITEM</t>
  </si>
  <si>
    <t>2021 (Real)</t>
  </si>
  <si>
    <t>Notes</t>
  </si>
  <si>
    <t>INCOME STATEMENT</t>
  </si>
  <si>
    <t>Growth</t>
  </si>
  <si>
    <t>Revenues/Sales</t>
  </si>
  <si>
    <t>EBIT/Operating Margin</t>
  </si>
  <si>
    <t>5a</t>
  </si>
  <si>
    <t>(Dep&amp;Amort)</t>
  </si>
  <si>
    <t>5b</t>
  </si>
  <si>
    <t>(Stock based compensation)</t>
  </si>
  <si>
    <t>(Net financing cost)</t>
  </si>
  <si>
    <t>Other income/(cost)</t>
  </si>
  <si>
    <t>Earnings before taxes</t>
  </si>
  <si>
    <t>(Income tax)</t>
  </si>
  <si>
    <t>Net income</t>
  </si>
  <si>
    <t>CASH FLOW STATEMENT</t>
  </si>
  <si>
    <t>Operating cash flows before WK</t>
  </si>
  <si>
    <t>(Stock-based compensation)</t>
  </si>
  <si>
    <t>(Working Capital Flows)</t>
  </si>
  <si>
    <t>-Total Operating Cash Flow</t>
  </si>
  <si>
    <t>(CAPEX and Acquisitions)</t>
  </si>
  <si>
    <t>(Other investing flows)</t>
  </si>
  <si>
    <t>-Total Investing Flows</t>
  </si>
  <si>
    <t>(Flows related to leases)</t>
  </si>
  <si>
    <t>Flows related to debt</t>
  </si>
  <si>
    <t>(Respurchases)/Issuance of stock</t>
  </si>
  <si>
    <t>(Dividends)</t>
  </si>
  <si>
    <t>Other financing flows</t>
  </si>
  <si>
    <t>-Total Financing flows</t>
  </si>
  <si>
    <t>SUMMARY</t>
  </si>
  <si>
    <t>Cash before shareholder returns</t>
  </si>
  <si>
    <t>Returns to shareholders</t>
  </si>
  <si>
    <t>Excess cash acumulation</t>
  </si>
  <si>
    <t>CASH &amp; DEBT &amp; DISCOUNTING</t>
  </si>
  <si>
    <t>Ending cash balance</t>
  </si>
  <si>
    <t>Total Debt</t>
  </si>
  <si>
    <t>Discount factor</t>
  </si>
  <si>
    <t>Discount rate</t>
  </si>
  <si>
    <t>Total</t>
  </si>
  <si>
    <t>Risk free rate</t>
  </si>
  <si>
    <t>Equity premium</t>
  </si>
  <si>
    <t>Firm premium</t>
  </si>
  <si>
    <t>Discount Rate</t>
  </si>
  <si>
    <t>Short Term</t>
  </si>
  <si>
    <t>Long Term</t>
  </si>
  <si>
    <t>Reference (line)</t>
  </si>
  <si>
    <t>Modelling factors</t>
  </si>
  <si>
    <t>Depreciation factor</t>
  </si>
  <si>
    <t>% Capex/Adq (l16)</t>
  </si>
  <si>
    <t>Stock-based comp</t>
  </si>
  <si>
    <t>% revenue (l2)</t>
  </si>
  <si>
    <t>Tax Rate</t>
  </si>
  <si>
    <t>% (line 9)</t>
  </si>
  <si>
    <t>Interest Rate on debt</t>
  </si>
  <si>
    <t>% debt (l29)</t>
  </si>
  <si>
    <t>Interest Rate on cash</t>
  </si>
  <si>
    <t>% of cash (l28)</t>
  </si>
  <si>
    <t>Working capital flows</t>
  </si>
  <si>
    <t>% of change revenues (l2)</t>
  </si>
  <si>
    <t>Capex / Adq</t>
  </si>
  <si>
    <t>Growth rate</t>
  </si>
  <si>
    <t>% of debt (l29)</t>
  </si>
  <si>
    <t>Valuation</t>
  </si>
  <si>
    <t>$ millions</t>
  </si>
  <si>
    <t>%</t>
  </si>
  <si>
    <t>Value of flows</t>
  </si>
  <si>
    <t>Present value of flows (l27), plus cash minus debt</t>
  </si>
  <si>
    <t>Value of perpetuity</t>
  </si>
  <si>
    <t>Present value of perpetuity (column AF flow, dividend by growth minus discount rate)</t>
  </si>
  <si>
    <t>Total Value</t>
  </si>
  <si>
    <t>Final market value of firm's equity, compare to its mkt cap</t>
  </si>
  <si>
    <t>Total value vs Mkt Cap</t>
  </si>
  <si>
    <t>Gives degree of undervaluation (if positive, meaning it's worth more than what the market thinks) or overvaluation (negative, worth less than what the market thinks)</t>
  </si>
  <si>
    <t>Estimated NPV per share</t>
  </si>
  <si>
    <t>If we divide total value by # of shares, we get the estimated share value</t>
  </si>
  <si>
    <t>Actual share price</t>
  </si>
  <si>
    <t>USD</t>
  </si>
  <si>
    <t>Millones</t>
  </si>
  <si>
    <t>Inventories</t>
  </si>
  <si>
    <t>Por cobrar</t>
  </si>
  <si>
    <t>Por pagar</t>
  </si>
  <si>
    <t>Capital de trabajo</t>
  </si>
  <si>
    <t>Numero de Empleados</t>
  </si>
  <si>
    <t>Posicion en Corto (%)</t>
  </si>
  <si>
    <t>BONOS DE LA EMISORA A 3, 5 Y 10</t>
  </si>
  <si>
    <t>YTM (%)</t>
  </si>
  <si>
    <t>Deuda Neta</t>
  </si>
  <si>
    <t>2022 (Real)</t>
  </si>
  <si>
    <t>4.0%; 4.4%; 5%</t>
  </si>
  <si>
    <t>Bonos 1;5;40a (USD)</t>
  </si>
  <si>
    <t>Multiplos (USD)</t>
  </si>
  <si>
    <t>Precio/Ventas</t>
  </si>
  <si>
    <t>3Q23</t>
  </si>
  <si>
    <t>2Q23</t>
  </si>
  <si>
    <t>1Q23</t>
  </si>
  <si>
    <t>1Q22</t>
  </si>
  <si>
    <t>2Q22</t>
  </si>
  <si>
    <t>3Q22</t>
  </si>
  <si>
    <t>4Q22</t>
  </si>
  <si>
    <t>1Q21</t>
  </si>
  <si>
    <t>2Q21</t>
  </si>
  <si>
    <t>3Q21</t>
  </si>
  <si>
    <t>4Q21</t>
  </si>
  <si>
    <t>Revenue</t>
  </si>
  <si>
    <t>-Products</t>
  </si>
  <si>
    <t>-Services</t>
  </si>
  <si>
    <t>COGS</t>
  </si>
  <si>
    <t>R&amp;D</t>
  </si>
  <si>
    <t>SGA</t>
  </si>
  <si>
    <t>Other</t>
  </si>
  <si>
    <t>efore tax</t>
  </si>
  <si>
    <t>Tax</t>
  </si>
  <si>
    <t>NI</t>
  </si>
  <si>
    <t>DA</t>
  </si>
  <si>
    <t>SBC</t>
  </si>
  <si>
    <t>Other SBC</t>
  </si>
  <si>
    <t>Divs</t>
  </si>
  <si>
    <t>Repurch</t>
  </si>
  <si>
    <t>1Q20</t>
  </si>
  <si>
    <t>2Q20</t>
  </si>
  <si>
    <t>3Q20</t>
  </si>
  <si>
    <t>4Q20</t>
  </si>
  <si>
    <t>4Q19</t>
  </si>
  <si>
    <t>3Q19</t>
  </si>
  <si>
    <t>2Q19</t>
  </si>
  <si>
    <t>1Q19</t>
  </si>
  <si>
    <t>Shares</t>
  </si>
  <si>
    <t>4Q18</t>
  </si>
  <si>
    <t>3Q18</t>
  </si>
  <si>
    <t>3Q17</t>
  </si>
  <si>
    <t>4Q23e</t>
  </si>
  <si>
    <t xml:space="preserve">Growth </t>
  </si>
  <si>
    <t>Prods</t>
  </si>
  <si>
    <t>Serv</t>
  </si>
  <si>
    <t>Utiilidad oP</t>
  </si>
  <si>
    <t>Ut OP</t>
  </si>
  <si>
    <t>Net SBC</t>
  </si>
  <si>
    <t>Año fiscal de Apple cierra en septiembre</t>
  </si>
  <si>
    <t>Net SBC Factor</t>
  </si>
  <si>
    <t>Crecimiento (1S23/1S22)</t>
  </si>
  <si>
    <t>Crecimiento (1S23/1S19)</t>
  </si>
  <si>
    <r>
      <t xml:space="preserve">DESCRIPTION: </t>
    </r>
    <r>
      <rPr>
        <sz val="9.5"/>
        <rFont val="Arial"/>
        <family val="2"/>
      </rPr>
      <t xml:space="preserve">(write relevant information about the company, 1-2 lines is enough. If you find segments and key products relevant for this part, you can also write it here)
</t>
    </r>
  </si>
  <si>
    <r>
      <t>CEO &amp; BOARD: Name</t>
    </r>
    <r>
      <rPr>
        <sz val="9.5"/>
        <rFont val="Arial"/>
        <family val="2"/>
      </rPr>
      <t xml:space="preserve"> (Chairman or not; age; board member since; current board presence; previous jobs)</t>
    </r>
    <r>
      <rPr>
        <b/>
        <sz val="9.5"/>
        <rFont val="Arial"/>
        <family val="2"/>
      </rPr>
      <t xml:space="preserve">; note: </t>
    </r>
    <r>
      <rPr>
        <sz val="9.5"/>
        <rFont val="Arial"/>
        <family val="2"/>
      </rPr>
      <t xml:space="preserve">*Independent members, </t>
    </r>
    <r>
      <rPr>
        <sz val="9.5"/>
        <color rgb="FF00B050"/>
        <rFont val="Arial"/>
        <family val="2"/>
      </rPr>
      <t xml:space="preserve"> green</t>
    </r>
    <r>
      <rPr>
        <sz val="9.5"/>
        <rFont val="Arial"/>
        <family val="2"/>
      </rPr>
      <t>: new members</t>
    </r>
  </si>
  <si>
    <t>(risks)</t>
  </si>
  <si>
    <t>(opportunities)</t>
  </si>
  <si>
    <t>（write a text explaining pros and cons of the company)</t>
  </si>
  <si>
    <t>(write the peers' names here)</t>
  </si>
  <si>
    <t>(historical stock price of the company and its peers; source: Bloomberg)</t>
  </si>
  <si>
    <t>(Investment thesis)</t>
  </si>
  <si>
    <t>2024 Est.</t>
  </si>
  <si>
    <t>Regions (2023)</t>
  </si>
  <si>
    <t>2023 (Real)</t>
  </si>
  <si>
    <t>(ticker)</t>
  </si>
  <si>
    <t>(You can make up a table with different indicators in order to link them to the multiples/ratios. At the end, put the table unvisible with white color)</t>
  </si>
  <si>
    <t>NONE</t>
  </si>
  <si>
    <t>LOW</t>
  </si>
  <si>
    <t>MEDIUM</t>
  </si>
  <si>
    <t>HIGH</t>
  </si>
  <si>
    <t>Medium high</t>
  </si>
  <si>
    <t>Medium</t>
  </si>
  <si>
    <t>"Villain"</t>
  </si>
  <si>
    <t>Is there evidence of progam/plan/etc…</t>
  </si>
  <si>
    <t>TRAFFIC LIGHTS</t>
  </si>
  <si>
    <t>(Company name)</t>
  </si>
  <si>
    <t>(date of last modification)</t>
  </si>
  <si>
    <t>Report (quarter): (date)</t>
  </si>
  <si>
    <t>(stock market)</t>
  </si>
  <si>
    <t>ANSYS Inc. (ANSS)</t>
  </si>
  <si>
    <t>Tax rate</t>
  </si>
  <si>
    <t>other financing flows</t>
  </si>
  <si>
    <t>Capex/adq</t>
  </si>
  <si>
    <t>ST average</t>
  </si>
  <si>
    <t>Dassault Systèmes</t>
  </si>
  <si>
    <t>Altair Engineering</t>
  </si>
  <si>
    <t>PTC</t>
  </si>
  <si>
    <t>Ansys</t>
  </si>
  <si>
    <t>(no tax benefit from stock options)</t>
  </si>
  <si>
    <t>calculations for ST ratios (4y)</t>
  </si>
  <si>
    <t>LT average</t>
  </si>
  <si>
    <t>2020</t>
  </si>
  <si>
    <t>2021</t>
  </si>
  <si>
    <t>2022</t>
  </si>
  <si>
    <t>2023</t>
  </si>
  <si>
    <t>calculations for LT ratios (10y)</t>
  </si>
  <si>
    <t>2014</t>
  </si>
  <si>
    <t>2015</t>
  </si>
  <si>
    <t>2016</t>
  </si>
  <si>
    <t>2017</t>
  </si>
  <si>
    <t>2018</t>
  </si>
  <si>
    <t>2019</t>
  </si>
  <si>
    <t>D&amp;A</t>
  </si>
  <si>
    <t>Amort.</t>
  </si>
  <si>
    <t>Dep</t>
  </si>
  <si>
    <t>Gross tangibles</t>
  </si>
  <si>
    <t>Net PPE</t>
  </si>
  <si>
    <t>Accumulated Dep</t>
  </si>
  <si>
    <t>Dep as % of Gross PPE</t>
  </si>
  <si>
    <t>9.89%</t>
  </si>
  <si>
    <t>5.05%</t>
  </si>
  <si>
    <t>48.1%</t>
  </si>
  <si>
    <t>45.7%</t>
  </si>
  <si>
    <t>5.04%</t>
  </si>
  <si>
    <t>30.9%</t>
  </si>
  <si>
    <t>8.47%</t>
  </si>
  <si>
    <t>87.26</t>
  </si>
  <si>
    <t>668.54</t>
  </si>
  <si>
    <t>46.51</t>
  </si>
  <si>
    <t>113.92</t>
  </si>
  <si>
    <t>24.27%</t>
  </si>
  <si>
    <t>20.86%</t>
  </si>
  <si>
    <t>21.86%</t>
  </si>
  <si>
    <t>Margen Operativo 2023</t>
  </si>
  <si>
    <t>26.31%</t>
  </si>
  <si>
    <t>22.99%</t>
  </si>
  <si>
    <t>23.14%</t>
  </si>
  <si>
    <t>0.58%</t>
  </si>
  <si>
    <t>Goodwill</t>
  </si>
  <si>
    <t>other intangible assets</t>
  </si>
  <si>
    <t>total intangible assets</t>
  </si>
  <si>
    <t>other long term assets (tangible)</t>
  </si>
  <si>
    <t>total tangible assets</t>
  </si>
  <si>
    <t>intangible assets as % of total assets</t>
  </si>
  <si>
    <t>tangible assets as % of total assets</t>
  </si>
  <si>
    <t>(excludes operating leases, do net get depreciated by lessee)</t>
  </si>
  <si>
    <t>weighted dep. &amp; amor. Percentage</t>
  </si>
  <si>
    <t>1.12</t>
  </si>
  <si>
    <t>0.62</t>
  </si>
  <si>
    <t>1.19</t>
  </si>
  <si>
    <t>7.18%</t>
  </si>
  <si>
    <t>6.34%</t>
  </si>
  <si>
    <t>3.9%</t>
  </si>
  <si>
    <t>12.08%</t>
  </si>
  <si>
    <t>10.15%</t>
  </si>
  <si>
    <t>3.19%</t>
  </si>
  <si>
    <t>6.86%</t>
  </si>
  <si>
    <t>9.53%</t>
  </si>
  <si>
    <t>Amort. As % of Gross Intangibles</t>
  </si>
  <si>
    <t>Sales</t>
  </si>
  <si>
    <t>Nice</t>
  </si>
  <si>
    <t>Explain</t>
  </si>
  <si>
    <t>Margins</t>
  </si>
  <si>
    <t>Fix/Left</t>
  </si>
  <si>
    <t>Why the odd numbers?</t>
  </si>
  <si>
    <t>NWC</t>
  </si>
  <si>
    <t>CapEx</t>
  </si>
  <si>
    <t>Debt schedule???</t>
  </si>
  <si>
    <t>US</t>
  </si>
  <si>
    <t>Germany</t>
  </si>
  <si>
    <t>Japan</t>
  </si>
  <si>
    <t>China and Hong Kong</t>
  </si>
  <si>
    <t>South Korea</t>
  </si>
  <si>
    <t>Other EMEA</t>
  </si>
  <si>
    <t>Other International</t>
  </si>
  <si>
    <t>NA</t>
  </si>
  <si>
    <t>2024 (Real)</t>
  </si>
  <si>
    <t>SORTBY(Q33:S33; SEQUENCE(1; COLUMNS(Q33:S33); COLUMNS(Q33:S33); -1))</t>
  </si>
  <si>
    <t>Si</t>
  </si>
  <si>
    <t>No</t>
  </si>
  <si>
    <t>Rentabilidad (2024)</t>
  </si>
  <si>
    <t>31 December</t>
  </si>
  <si>
    <t>Company reports only one product segment</t>
  </si>
  <si>
    <t>Assets</t>
  </si>
  <si>
    <t>Debt</t>
  </si>
  <si>
    <t>ANSS</t>
  </si>
  <si>
    <t>DSY.PA</t>
  </si>
  <si>
    <t>ALTR</t>
  </si>
  <si>
    <t>Margen Operativo 2024</t>
  </si>
  <si>
    <t>Averages</t>
  </si>
  <si>
    <t>change</t>
  </si>
  <si>
    <t>change in revenue</t>
  </si>
  <si>
    <t>revenue</t>
  </si>
  <si>
    <t>change in NWC / Change in revenue</t>
  </si>
  <si>
    <t>0.61%</t>
  </si>
  <si>
    <t>3Y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</si>
</sst>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&quot;$&quot;#,##0;[Red]\-&quot;$&quot;#,##0"/>
    <numFmt numFmtId="165" formatCode="&quot;$&quot;#,##0.00;[Red]\-&quot;$&quot;#,##0.00"/>
    <numFmt numFmtId="166" formatCode="_-&quot;$&quot;* #,##0.00_-;\-&quot;$&quot;* #,##0.00_-;_-&quot;$&quot;* &quot;-&quot;??_-;_-@_-"/>
    <numFmt numFmtId="167" formatCode="&quot;$&quot;#,##0.00"/>
    <numFmt numFmtId="168" formatCode="&quot;$&quot;#,##0.0"/>
    <numFmt numFmtId="169" formatCode="&quot;$&quot;#,##0"/>
    <numFmt numFmtId="170" formatCode="0.0%"/>
    <numFmt numFmtId="171" formatCode="0.0"/>
    <numFmt numFmtId="172" formatCode="#,##0.0"/>
    <numFmt numFmtId="173" formatCode="#,##0.000"/>
    <numFmt numFmtId="174" formatCode="0.000"/>
    <numFmt numFmtId="175" formatCode="0.0000%"/>
  </numFmts>
  <fonts count="8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Symbol"/>
      <family val="1"/>
      <charset val="2"/>
    </font>
    <font>
      <sz val="7.9"/>
      <name val="Arial"/>
      <family val="2"/>
    </font>
    <font>
      <b/>
      <sz val="9"/>
      <color indexed="8"/>
      <name val="Arial"/>
      <family val="2"/>
    </font>
    <font>
      <sz val="10"/>
      <name val="Symbol"/>
      <family val="1"/>
      <charset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b/>
      <sz val="9.3000000000000007"/>
      <name val="Arial"/>
      <family val="2"/>
    </font>
    <font>
      <sz val="8"/>
      <name val="Arial"/>
      <family val="2"/>
    </font>
    <font>
      <b/>
      <sz val="10"/>
      <color indexed="9"/>
      <name val="Symbol"/>
      <family val="1"/>
      <charset val="2"/>
    </font>
    <font>
      <sz val="10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0"/>
      <name val="Arial"/>
      <family val="2"/>
    </font>
    <font>
      <sz val="10"/>
      <color rgb="FF00B0F0"/>
      <name val="Arial"/>
      <family val="2"/>
    </font>
    <font>
      <b/>
      <sz val="10"/>
      <color theme="0"/>
      <name val="Arial"/>
      <family val="2"/>
    </font>
    <font>
      <b/>
      <sz val="11"/>
      <color theme="3"/>
      <name val="Arial"/>
      <family val="2"/>
    </font>
    <font>
      <sz val="10"/>
      <color rgb="FF333333"/>
      <name val="Arial"/>
      <family val="2"/>
    </font>
    <font>
      <b/>
      <sz val="14"/>
      <color rgb="FFFF0000"/>
      <name val="Arial"/>
      <family val="2"/>
    </font>
    <font>
      <b/>
      <sz val="10"/>
      <color rgb="FF002060"/>
      <name val="Arial"/>
      <family val="2"/>
    </font>
    <font>
      <b/>
      <sz val="11"/>
      <color theme="0"/>
      <name val="Arial"/>
      <family val="2"/>
    </font>
    <font>
      <b/>
      <sz val="16"/>
      <color theme="0"/>
      <name val="Arial"/>
      <family val="2"/>
    </font>
    <font>
      <sz val="7.9"/>
      <color theme="0"/>
      <name val="Arial"/>
      <family val="2"/>
    </font>
    <font>
      <b/>
      <sz val="9"/>
      <color indexed="81"/>
      <name val="Tahoma"/>
      <family val="2"/>
    </font>
    <font>
      <sz val="10"/>
      <color rgb="FF0070C0"/>
      <name val="Arial"/>
      <family val="2"/>
    </font>
    <font>
      <sz val="10"/>
      <color rgb="FF00B050"/>
      <name val="Arial"/>
      <family val="2"/>
    </font>
    <font>
      <sz val="10"/>
      <color rgb="FF92D050"/>
      <name val="Arial"/>
      <family val="2"/>
    </font>
    <font>
      <u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sz val="10"/>
      <color rgb="FF002060"/>
      <name val="Arial"/>
      <family val="2"/>
    </font>
    <font>
      <b/>
      <sz val="15"/>
      <color theme="0"/>
      <name val="Arial"/>
      <family val="2"/>
    </font>
    <font>
      <sz val="11"/>
      <color theme="0"/>
      <name val="Calibri"/>
      <family val="2"/>
      <scheme val="minor"/>
    </font>
    <font>
      <b/>
      <sz val="7.2"/>
      <color theme="0"/>
      <name val="Arial"/>
      <family val="2"/>
    </font>
    <font>
      <i/>
      <sz val="10"/>
      <name val="Arial"/>
      <family val="2"/>
    </font>
    <font>
      <sz val="7.5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7.5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C00000"/>
      <name val="Arial"/>
      <family val="2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9.5"/>
      <color rgb="FF00B050"/>
      <name val="Arial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2"/>
      <color theme="1"/>
      <name val="Calibri"/>
      <family val="2"/>
    </font>
    <font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3" tint="0.79998168889431442"/>
        <bgColor indexed="64"/>
      </patternFill>
    </fill>
  </fills>
  <borders count="1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3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3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3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3"/>
      </right>
      <top style="thin">
        <color theme="0" tint="-0.499984740745262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 style="thin">
        <color theme="0" tint="-0.499984740745262"/>
      </right>
      <top/>
      <bottom/>
      <diagonal/>
    </border>
    <border>
      <left style="medium">
        <color theme="3"/>
      </left>
      <right/>
      <top/>
      <bottom style="thin">
        <color theme="0" tint="-0.499984740745262"/>
      </bottom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medium">
        <color theme="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3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3"/>
      </left>
      <right style="thin">
        <color theme="0" tint="-0.249977111117893"/>
      </right>
      <top style="medium">
        <color theme="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3"/>
      </right>
      <top style="medium">
        <color theme="3"/>
      </top>
      <bottom style="thin">
        <color theme="0" tint="-0.249977111117893"/>
      </bottom>
      <diagonal/>
    </border>
    <border>
      <left style="medium">
        <color theme="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medium">
        <color theme="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3"/>
      </left>
      <right style="thin">
        <color theme="0" tint="-0.14999847407452621"/>
      </right>
      <top style="thin">
        <color theme="0" tint="-0.14999847407452621"/>
      </top>
      <bottom style="medium">
        <color theme="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3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3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3"/>
      </top>
      <bottom style="thin">
        <color theme="0" tint="-0.249977111117893"/>
      </bottom>
      <diagonal/>
    </border>
    <border>
      <left/>
      <right/>
      <top style="medium">
        <color theme="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3"/>
      </top>
      <bottom style="thin">
        <color theme="0" tint="-0.249977111117893"/>
      </bottom>
      <diagonal/>
    </border>
    <border>
      <left style="medium">
        <color theme="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3"/>
      </bottom>
      <diagonal/>
    </border>
    <border>
      <left style="thin">
        <color theme="0" tint="-0.249977111117893"/>
      </left>
      <right style="medium">
        <color theme="3"/>
      </right>
      <top style="thin">
        <color theme="0" tint="-0.249977111117893"/>
      </top>
      <bottom style="medium">
        <color theme="3"/>
      </bottom>
      <diagonal/>
    </border>
    <border>
      <left style="medium">
        <color theme="3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3"/>
      </left>
      <right/>
      <top style="medium">
        <color theme="3"/>
      </top>
      <bottom style="thin">
        <color theme="0" tint="-0.499984740745262"/>
      </bottom>
      <diagonal/>
    </border>
    <border>
      <left/>
      <right/>
      <top style="medium">
        <color theme="3"/>
      </top>
      <bottom style="thin">
        <color theme="0" tint="-0.499984740745262"/>
      </bottom>
      <diagonal/>
    </border>
    <border>
      <left/>
      <right style="medium">
        <color theme="3"/>
      </right>
      <top style="medium">
        <color theme="3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499984740745262"/>
      </left>
      <right style="medium">
        <color theme="3"/>
      </right>
      <top/>
      <bottom/>
      <diagonal/>
    </border>
    <border>
      <left style="thin">
        <color theme="0" tint="-0.499984740745262"/>
      </left>
      <right style="medium">
        <color theme="3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3"/>
      </right>
      <top/>
      <bottom style="medium">
        <color theme="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medium">
        <color theme="3"/>
      </left>
      <right style="thin">
        <color theme="0" tint="-0.499984740745262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/>
      <diagonal/>
    </border>
    <border>
      <left/>
      <right style="medium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9">
    <xf numFmtId="0" fontId="0" fillId="0" borderId="0"/>
    <xf numFmtId="0" fontId="21" fillId="2" borderId="1" applyNumberFormat="0" applyProtection="0">
      <alignment horizontal="left" vertical="center" readingOrder="1"/>
    </xf>
    <xf numFmtId="0" fontId="22" fillId="2" borderId="2">
      <alignment horizontal="left"/>
    </xf>
    <xf numFmtId="0" fontId="22" fillId="2" borderId="3">
      <alignment horizontal="right"/>
    </xf>
    <xf numFmtId="0" fontId="22" fillId="2" borderId="3">
      <alignment horizontal="left"/>
    </xf>
    <xf numFmtId="3" fontId="23" fillId="3" borderId="4">
      <alignment horizontal="right"/>
    </xf>
    <xf numFmtId="172" fontId="14" fillId="3" borderId="4">
      <alignment horizontal="right"/>
    </xf>
    <xf numFmtId="4" fontId="14" fillId="3" borderId="4">
      <alignment horizontal="right"/>
    </xf>
    <xf numFmtId="0" fontId="23" fillId="3" borderId="5"/>
    <xf numFmtId="0" fontId="24" fillId="3" borderId="5"/>
    <xf numFmtId="0" fontId="13" fillId="0" borderId="0" applyNumberFormat="0" applyFill="0" applyBorder="0" applyAlignment="0" applyProtection="0">
      <alignment vertical="top"/>
      <protection locked="0"/>
    </xf>
    <xf numFmtId="166" fontId="32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36" fillId="0" borderId="0"/>
    <xf numFmtId="0" fontId="15" fillId="0" borderId="0"/>
    <xf numFmtId="9" fontId="1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0" fillId="0" borderId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9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8" fillId="0" borderId="0"/>
    <xf numFmtId="0" fontId="8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71" fillId="0" borderId="0" applyFont="0" applyFill="0" applyBorder="0" applyAlignment="0" applyProtection="0"/>
    <xf numFmtId="0" fontId="6" fillId="0" borderId="0"/>
  </cellStyleXfs>
  <cellXfs count="687">
    <xf numFmtId="0" fontId="0" fillId="0" borderId="0" xfId="0"/>
    <xf numFmtId="16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9" fontId="0" fillId="0" borderId="0" xfId="15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70" fontId="0" fillId="0" borderId="0" xfId="15" applyNumberFormat="1" applyFont="1" applyAlignment="1">
      <alignment horizontal="center"/>
    </xf>
    <xf numFmtId="169" fontId="0" fillId="0" borderId="0" xfId="0" applyNumberFormat="1"/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15" fillId="0" borderId="0" xfId="0" applyFont="1"/>
    <xf numFmtId="9" fontId="0" fillId="0" borderId="0" xfId="15" applyFont="1"/>
    <xf numFmtId="0" fontId="16" fillId="0" borderId="0" xfId="0" applyFont="1" applyAlignment="1">
      <alignment horizontal="center"/>
    </xf>
    <xf numFmtId="169" fontId="15" fillId="0" borderId="0" xfId="0" applyNumberFormat="1" applyFont="1"/>
    <xf numFmtId="170" fontId="0" fillId="0" borderId="0" xfId="15" applyNumberFormat="1" applyFont="1"/>
    <xf numFmtId="3" fontId="0" fillId="0" borderId="0" xfId="0" applyNumberFormat="1"/>
    <xf numFmtId="0" fontId="37" fillId="0" borderId="0" xfId="0" applyFont="1"/>
    <xf numFmtId="0" fontId="18" fillId="0" borderId="0" xfId="0" applyFont="1" applyAlignment="1">
      <alignment vertical="top" wrapText="1"/>
    </xf>
    <xf numFmtId="0" fontId="38" fillId="0" borderId="0" xfId="0" applyFont="1"/>
    <xf numFmtId="0" fontId="39" fillId="0" borderId="0" xfId="0" applyFont="1"/>
    <xf numFmtId="169" fontId="15" fillId="0" borderId="0" xfId="0" applyNumberFormat="1" applyFont="1" applyAlignment="1">
      <alignment horizontal="center"/>
    </xf>
    <xf numFmtId="0" fontId="26" fillId="0" borderId="0" xfId="0" applyFont="1"/>
    <xf numFmtId="0" fontId="22" fillId="4" borderId="6" xfId="3" applyFill="1" applyBorder="1" applyAlignment="1">
      <alignment horizontal="center" vertical="center"/>
    </xf>
    <xf numFmtId="0" fontId="40" fillId="4" borderId="6" xfId="0" applyFont="1" applyFill="1" applyBorder="1" applyAlignment="1">
      <alignment horizontal="center"/>
    </xf>
    <xf numFmtId="0" fontId="22" fillId="4" borderId="8" xfId="4" applyFill="1" applyBorder="1">
      <alignment horizontal="left"/>
    </xf>
    <xf numFmtId="0" fontId="22" fillId="4" borderId="9" xfId="3" applyFill="1" applyBorder="1" applyAlignment="1">
      <alignment horizontal="center" vertical="center"/>
    </xf>
    <xf numFmtId="0" fontId="41" fillId="0" borderId="10" xfId="8" applyFont="1" applyFill="1" applyBorder="1" applyAlignment="1">
      <alignment horizontal="center"/>
    </xf>
    <xf numFmtId="0" fontId="41" fillId="0" borderId="12" xfId="8" applyFont="1" applyFill="1" applyBorder="1" applyAlignment="1">
      <alignment horizontal="center"/>
    </xf>
    <xf numFmtId="0" fontId="40" fillId="4" borderId="13" xfId="0" applyFont="1" applyFill="1" applyBorder="1" applyAlignment="1">
      <alignment horizontal="center"/>
    </xf>
    <xf numFmtId="0" fontId="16" fillId="0" borderId="15" xfId="0" applyFont="1" applyBorder="1"/>
    <xf numFmtId="0" fontId="38" fillId="4" borderId="0" xfId="0" applyFont="1" applyFill="1"/>
    <xf numFmtId="169" fontId="38" fillId="4" borderId="0" xfId="0" applyNumberFormat="1" applyFont="1" applyFill="1"/>
    <xf numFmtId="169" fontId="38" fillId="4" borderId="0" xfId="0" applyNumberFormat="1" applyFont="1" applyFill="1" applyAlignment="1">
      <alignment horizontal="center"/>
    </xf>
    <xf numFmtId="170" fontId="16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/>
    </xf>
    <xf numFmtId="169" fontId="40" fillId="4" borderId="0" xfId="0" applyNumberFormat="1" applyFont="1" applyFill="1" applyAlignment="1">
      <alignment horizontal="center"/>
    </xf>
    <xf numFmtId="169" fontId="15" fillId="0" borderId="0" xfId="10" applyNumberFormat="1" applyFont="1" applyAlignment="1" applyProtection="1">
      <alignment horizontal="left"/>
    </xf>
    <xf numFmtId="169" fontId="16" fillId="0" borderId="0" xfId="0" applyNumberFormat="1" applyFont="1" applyAlignment="1">
      <alignment horizontal="left"/>
    </xf>
    <xf numFmtId="167" fontId="16" fillId="0" borderId="0" xfId="0" applyNumberFormat="1" applyFont="1" applyAlignment="1">
      <alignment horizontal="center"/>
    </xf>
    <xf numFmtId="9" fontId="16" fillId="0" borderId="0" xfId="15" applyFont="1" applyAlignment="1">
      <alignment horizontal="center"/>
    </xf>
    <xf numFmtId="0" fontId="42" fillId="3" borderId="12" xfId="9" applyFont="1" applyBorder="1"/>
    <xf numFmtId="0" fontId="42" fillId="3" borderId="16" xfId="9" applyFont="1" applyBorder="1"/>
    <xf numFmtId="0" fontId="42" fillId="0" borderId="12" xfId="9" applyFont="1" applyFill="1" applyBorder="1"/>
    <xf numFmtId="0" fontId="42" fillId="3" borderId="17" xfId="9" applyFont="1" applyBorder="1"/>
    <xf numFmtId="0" fontId="42" fillId="0" borderId="12" xfId="0" applyFont="1" applyBorder="1"/>
    <xf numFmtId="0" fontId="42" fillId="0" borderId="18" xfId="0" applyFont="1" applyBorder="1" applyAlignment="1">
      <alignment horizontal="center"/>
    </xf>
    <xf numFmtId="0" fontId="42" fillId="0" borderId="19" xfId="0" applyFont="1" applyBorder="1"/>
    <xf numFmtId="0" fontId="42" fillId="0" borderId="17" xfId="0" applyFont="1" applyBorder="1"/>
    <xf numFmtId="0" fontId="42" fillId="0" borderId="20" xfId="0" applyFont="1" applyBorder="1" applyAlignment="1">
      <alignment horizontal="center"/>
    </xf>
    <xf numFmtId="0" fontId="42" fillId="0" borderId="21" xfId="0" applyFont="1" applyBorder="1"/>
    <xf numFmtId="0" fontId="31" fillId="0" borderId="0" xfId="0" applyFont="1"/>
    <xf numFmtId="170" fontId="38" fillId="4" borderId="0" xfId="0" applyNumberFormat="1" applyFont="1" applyFill="1" applyAlignment="1">
      <alignment horizontal="center"/>
    </xf>
    <xf numFmtId="0" fontId="42" fillId="3" borderId="12" xfId="9" applyFont="1" applyBorder="1" applyAlignment="1">
      <alignment vertical="center"/>
    </xf>
    <xf numFmtId="0" fontId="15" fillId="0" borderId="0" xfId="0" applyFont="1" applyAlignment="1">
      <alignment vertical="center"/>
    </xf>
    <xf numFmtId="0" fontId="42" fillId="0" borderId="12" xfId="0" applyFont="1" applyBorder="1" applyAlignment="1">
      <alignment vertical="center"/>
    </xf>
    <xf numFmtId="0" fontId="42" fillId="0" borderId="18" xfId="0" applyFont="1" applyBorder="1" applyAlignment="1">
      <alignment horizontal="center" vertical="center"/>
    </xf>
    <xf numFmtId="0" fontId="42" fillId="0" borderId="19" xfId="0" applyFont="1" applyBorder="1" applyAlignment="1">
      <alignment vertical="center"/>
    </xf>
    <xf numFmtId="0" fontId="43" fillId="0" borderId="0" xfId="10" applyFont="1" applyAlignment="1" applyProtection="1"/>
    <xf numFmtId="0" fontId="44" fillId="0" borderId="0" xfId="0" applyFont="1"/>
    <xf numFmtId="170" fontId="15" fillId="0" borderId="0" xfId="15" applyNumberFormat="1" applyFont="1" applyAlignment="1">
      <alignment horizontal="center"/>
    </xf>
    <xf numFmtId="172" fontId="0" fillId="0" borderId="0" xfId="0" applyNumberFormat="1" applyAlignment="1">
      <alignment horizontal="center"/>
    </xf>
    <xf numFmtId="167" fontId="15" fillId="0" borderId="0" xfId="0" applyNumberFormat="1" applyFont="1"/>
    <xf numFmtId="0" fontId="16" fillId="0" borderId="0" xfId="0" applyFont="1" applyAlignment="1">
      <alignment horizontal="left"/>
    </xf>
    <xf numFmtId="0" fontId="20" fillId="0" borderId="25" xfId="0" applyFont="1" applyBorder="1"/>
    <xf numFmtId="0" fontId="40" fillId="4" borderId="25" xfId="0" applyFont="1" applyFill="1" applyBorder="1"/>
    <xf numFmtId="0" fontId="17" fillId="0" borderId="25" xfId="0" applyFont="1" applyBorder="1"/>
    <xf numFmtId="0" fontId="40" fillId="4" borderId="25" xfId="0" applyFont="1" applyFill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45" fillId="4" borderId="30" xfId="0" applyFont="1" applyFill="1" applyBorder="1" applyAlignment="1">
      <alignment horizontal="center"/>
    </xf>
    <xf numFmtId="0" fontId="40" fillId="4" borderId="29" xfId="0" applyFont="1" applyFill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0" fillId="0" borderId="29" xfId="0" applyBorder="1" applyAlignment="1">
      <alignment horizontal="center"/>
    </xf>
    <xf numFmtId="169" fontId="0" fillId="7" borderId="0" xfId="0" applyNumberFormat="1" applyFill="1" applyAlignment="1">
      <alignment horizontal="center"/>
    </xf>
    <xf numFmtId="169" fontId="15" fillId="7" borderId="0" xfId="0" applyNumberFormat="1" applyFont="1" applyFill="1" applyAlignment="1">
      <alignment horizontal="center"/>
    </xf>
    <xf numFmtId="169" fontId="15" fillId="0" borderId="31" xfId="0" applyNumberFormat="1" applyFont="1" applyBorder="1"/>
    <xf numFmtId="169" fontId="15" fillId="0" borderId="32" xfId="0" applyNumberFormat="1" applyFont="1" applyBorder="1" applyAlignment="1">
      <alignment horizontal="center"/>
    </xf>
    <xf numFmtId="169" fontId="15" fillId="0" borderId="33" xfId="0" applyNumberFormat="1" applyFont="1" applyBorder="1"/>
    <xf numFmtId="172" fontId="0" fillId="0" borderId="34" xfId="0" applyNumberFormat="1" applyBorder="1" applyAlignment="1">
      <alignment horizontal="center"/>
    </xf>
    <xf numFmtId="169" fontId="15" fillId="0" borderId="35" xfId="0" applyNumberFormat="1" applyFont="1" applyBorder="1"/>
    <xf numFmtId="169" fontId="0" fillId="0" borderId="36" xfId="0" applyNumberFormat="1" applyBorder="1" applyAlignment="1">
      <alignment horizontal="center"/>
    </xf>
    <xf numFmtId="172" fontId="0" fillId="0" borderId="36" xfId="0" applyNumberFormat="1" applyBorder="1" applyAlignment="1">
      <alignment horizontal="center"/>
    </xf>
    <xf numFmtId="172" fontId="0" fillId="0" borderId="37" xfId="0" applyNumberFormat="1" applyBorder="1" applyAlignment="1">
      <alignment horizontal="center"/>
    </xf>
    <xf numFmtId="167" fontId="0" fillId="0" borderId="32" xfId="0" applyNumberFormat="1" applyBorder="1" applyAlignment="1">
      <alignment horizontal="center"/>
    </xf>
    <xf numFmtId="0" fontId="45" fillId="4" borderId="38" xfId="0" applyFont="1" applyFill="1" applyBorder="1"/>
    <xf numFmtId="0" fontId="45" fillId="4" borderId="39" xfId="0" applyFont="1" applyFill="1" applyBorder="1"/>
    <xf numFmtId="0" fontId="45" fillId="4" borderId="40" xfId="0" applyFont="1" applyFill="1" applyBorder="1" applyAlignment="1">
      <alignment horizontal="center"/>
    </xf>
    <xf numFmtId="168" fontId="34" fillId="8" borderId="25" xfId="0" applyNumberFormat="1" applyFont="1" applyFill="1" applyBorder="1" applyAlignment="1">
      <alignment horizontal="center" vertical="center"/>
    </xf>
    <xf numFmtId="170" fontId="38" fillId="4" borderId="0" xfId="15" applyNumberFormat="1" applyFont="1" applyFill="1" applyAlignment="1">
      <alignment horizontal="center"/>
    </xf>
    <xf numFmtId="0" fontId="15" fillId="0" borderId="25" xfId="0" applyFont="1" applyBorder="1" applyAlignment="1">
      <alignment horizontal="left" vertical="center"/>
    </xf>
    <xf numFmtId="170" fontId="16" fillId="0" borderId="25" xfId="15" applyNumberFormat="1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167" fontId="38" fillId="4" borderId="0" xfId="0" applyNumberFormat="1" applyFont="1" applyFill="1" applyAlignment="1">
      <alignment horizontal="center"/>
    </xf>
    <xf numFmtId="170" fontId="16" fillId="0" borderId="18" xfId="17" applyNumberFormat="1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1" fillId="0" borderId="27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169" fontId="11" fillId="0" borderId="25" xfId="0" applyNumberFormat="1" applyFont="1" applyBorder="1" applyAlignment="1">
      <alignment horizontal="center"/>
    </xf>
    <xf numFmtId="170" fontId="11" fillId="0" borderId="25" xfId="15" applyNumberFormat="1" applyFont="1" applyBorder="1" applyAlignment="1">
      <alignment horizontal="center"/>
    </xf>
    <xf numFmtId="14" fontId="11" fillId="0" borderId="27" xfId="0" applyNumberFormat="1" applyFont="1" applyBorder="1" applyAlignment="1">
      <alignment horizontal="center" vertical="center"/>
    </xf>
    <xf numFmtId="0" fontId="11" fillId="0" borderId="0" xfId="0" applyFont="1"/>
    <xf numFmtId="0" fontId="11" fillId="0" borderId="25" xfId="0" applyFont="1" applyBorder="1"/>
    <xf numFmtId="9" fontId="11" fillId="0" borderId="25" xfId="15" applyFont="1" applyBorder="1" applyAlignment="1">
      <alignment horizontal="center"/>
    </xf>
    <xf numFmtId="167" fontId="11" fillId="0" borderId="25" xfId="0" applyNumberFormat="1" applyFont="1" applyBorder="1" applyAlignment="1">
      <alignment horizontal="center"/>
    </xf>
    <xf numFmtId="169" fontId="11" fillId="0" borderId="25" xfId="15" applyNumberFormat="1" applyFont="1" applyFill="1" applyBorder="1" applyAlignment="1">
      <alignment horizontal="center"/>
    </xf>
    <xf numFmtId="0" fontId="11" fillId="0" borderId="29" xfId="0" applyFont="1" applyBorder="1"/>
    <xf numFmtId="0" fontId="11" fillId="0" borderId="25" xfId="0" applyFont="1" applyBorder="1" applyAlignment="1">
      <alignment horizontal="left"/>
    </xf>
    <xf numFmtId="0" fontId="11" fillId="0" borderId="29" xfId="0" quotePrefix="1" applyFont="1" applyBorder="1"/>
    <xf numFmtId="0" fontId="11" fillId="0" borderId="25" xfId="0" quotePrefix="1" applyFont="1" applyBorder="1"/>
    <xf numFmtId="169" fontId="11" fillId="0" borderId="25" xfId="15" applyNumberFormat="1" applyFont="1" applyBorder="1" applyAlignment="1">
      <alignment horizontal="center"/>
    </xf>
    <xf numFmtId="170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70" fontId="11" fillId="0" borderId="25" xfId="15" applyNumberFormat="1" applyFont="1" applyFill="1" applyBorder="1" applyAlignment="1">
      <alignment horizontal="center"/>
    </xf>
    <xf numFmtId="167" fontId="38" fillId="0" borderId="0" xfId="0" applyNumberFormat="1" applyFont="1"/>
    <xf numFmtId="3" fontId="38" fillId="0" borderId="0" xfId="0" applyNumberFormat="1" applyFont="1"/>
    <xf numFmtId="0" fontId="47" fillId="0" borderId="0" xfId="0" applyFont="1" applyAlignment="1">
      <alignment vertical="top" wrapText="1"/>
    </xf>
    <xf numFmtId="170" fontId="38" fillId="0" borderId="0" xfId="15" applyNumberFormat="1" applyFont="1" applyFill="1"/>
    <xf numFmtId="9" fontId="38" fillId="0" borderId="0" xfId="15" applyFont="1" applyFill="1"/>
    <xf numFmtId="9" fontId="0" fillId="0" borderId="0" xfId="0" applyNumberFormat="1"/>
    <xf numFmtId="0" fontId="11" fillId="0" borderId="28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indent="1"/>
    </xf>
    <xf numFmtId="0" fontId="11" fillId="0" borderId="29" xfId="0" applyFont="1" applyBorder="1" applyAlignment="1">
      <alignment horizontal="center"/>
    </xf>
    <xf numFmtId="0" fontId="12" fillId="0" borderId="0" xfId="0" applyFont="1"/>
    <xf numFmtId="10" fontId="11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72" fontId="11" fillId="3" borderId="71" xfId="6" applyFont="1" applyBorder="1" applyAlignment="1">
      <alignment horizontal="right" vertical="center" wrapText="1"/>
    </xf>
    <xf numFmtId="172" fontId="11" fillId="3" borderId="72" xfId="6" applyFont="1" applyBorder="1" applyAlignment="1">
      <alignment horizontal="right" vertical="center" wrapText="1"/>
    </xf>
    <xf numFmtId="4" fontId="11" fillId="0" borderId="25" xfId="0" applyNumberFormat="1" applyFont="1" applyBorder="1" applyAlignment="1">
      <alignment horizontal="center"/>
    </xf>
    <xf numFmtId="14" fontId="11" fillId="0" borderId="25" xfId="0" applyNumberFormat="1" applyFont="1" applyBorder="1" applyAlignment="1">
      <alignment horizontal="center"/>
    </xf>
    <xf numFmtId="171" fontId="11" fillId="0" borderId="25" xfId="15" applyNumberFormat="1" applyFont="1" applyBorder="1" applyAlignment="1">
      <alignment horizontal="center"/>
    </xf>
    <xf numFmtId="170" fontId="11" fillId="0" borderId="30" xfId="15" applyNumberFormat="1" applyFont="1" applyFill="1" applyBorder="1" applyAlignment="1">
      <alignment horizontal="center"/>
    </xf>
    <xf numFmtId="9" fontId="11" fillId="0" borderId="30" xfId="15" applyFont="1" applyBorder="1" applyAlignment="1">
      <alignment horizontal="center"/>
    </xf>
    <xf numFmtId="169" fontId="11" fillId="0" borderId="0" xfId="0" applyNumberFormat="1" applyFont="1"/>
    <xf numFmtId="0" fontId="52" fillId="0" borderId="0" xfId="10" applyFont="1" applyFill="1" applyAlignment="1" applyProtection="1"/>
    <xf numFmtId="169" fontId="38" fillId="0" borderId="0" xfId="0" applyNumberFormat="1" applyFont="1"/>
    <xf numFmtId="0" fontId="0" fillId="0" borderId="67" xfId="0" applyBorder="1" applyAlignment="1">
      <alignment horizontal="left"/>
    </xf>
    <xf numFmtId="2" fontId="11" fillId="0" borderId="25" xfId="15" applyNumberFormat="1" applyFont="1" applyBorder="1" applyAlignment="1">
      <alignment horizontal="center"/>
    </xf>
    <xf numFmtId="2" fontId="15" fillId="7" borderId="0" xfId="0" applyNumberFormat="1" applyFont="1" applyFill="1" applyAlignment="1">
      <alignment horizontal="center"/>
    </xf>
    <xf numFmtId="2" fontId="15" fillId="0" borderId="0" xfId="0" applyNumberFormat="1" applyFont="1" applyAlignment="1">
      <alignment horizontal="center"/>
    </xf>
    <xf numFmtId="170" fontId="11" fillId="0" borderId="30" xfId="15" quotePrefix="1" applyNumberFormat="1" applyFont="1" applyFill="1" applyBorder="1" applyAlignment="1">
      <alignment horizontal="center"/>
    </xf>
    <xf numFmtId="0" fontId="11" fillId="0" borderId="44" xfId="0" applyFont="1" applyBorder="1" applyAlignment="1">
      <alignment horizontal="left" vertical="center"/>
    </xf>
    <xf numFmtId="0" fontId="11" fillId="0" borderId="40" xfId="0" applyFont="1" applyBorder="1" applyAlignment="1">
      <alignment horizontal="left" vertical="center"/>
    </xf>
    <xf numFmtId="9" fontId="38" fillId="0" borderId="0" xfId="15" applyFont="1"/>
    <xf numFmtId="9" fontId="47" fillId="0" borderId="0" xfId="15" applyFont="1" applyAlignment="1">
      <alignment vertical="top" wrapText="1"/>
    </xf>
    <xf numFmtId="167" fontId="50" fillId="0" borderId="25" xfId="0" applyNumberFormat="1" applyFont="1" applyBorder="1" applyAlignment="1">
      <alignment horizontal="center"/>
    </xf>
    <xf numFmtId="2" fontId="50" fillId="0" borderId="25" xfId="15" applyNumberFormat="1" applyFont="1" applyBorder="1" applyAlignment="1">
      <alignment horizontal="center"/>
    </xf>
    <xf numFmtId="170" fontId="49" fillId="0" borderId="25" xfId="15" applyNumberFormat="1" applyFont="1" applyBorder="1" applyAlignment="1">
      <alignment horizontal="center"/>
    </xf>
    <xf numFmtId="170" fontId="49" fillId="0" borderId="25" xfId="15" applyNumberFormat="1" applyFont="1" applyFill="1" applyBorder="1" applyAlignment="1">
      <alignment horizontal="center"/>
    </xf>
    <xf numFmtId="9" fontId="11" fillId="0" borderId="0" xfId="15" applyFont="1"/>
    <xf numFmtId="0" fontId="11" fillId="0" borderId="40" xfId="0" applyFont="1" applyBorder="1" applyAlignment="1">
      <alignment vertical="center"/>
    </xf>
    <xf numFmtId="170" fontId="50" fillId="0" borderId="25" xfId="15" applyNumberFormat="1" applyFont="1" applyBorder="1" applyAlignment="1">
      <alignment horizontal="center"/>
    </xf>
    <xf numFmtId="169" fontId="50" fillId="0" borderId="25" xfId="0" applyNumberFormat="1" applyFont="1" applyBorder="1" applyAlignment="1">
      <alignment horizontal="center"/>
    </xf>
    <xf numFmtId="0" fontId="49" fillId="0" borderId="30" xfId="0" applyFont="1" applyBorder="1" applyAlignment="1">
      <alignment horizontal="center"/>
    </xf>
    <xf numFmtId="2" fontId="49" fillId="0" borderId="30" xfId="15" applyNumberFormat="1" applyFont="1" applyBorder="1" applyAlignment="1">
      <alignment horizontal="center"/>
    </xf>
    <xf numFmtId="171" fontId="49" fillId="0" borderId="30" xfId="15" applyNumberFormat="1" applyFont="1" applyBorder="1" applyAlignment="1">
      <alignment horizontal="center"/>
    </xf>
    <xf numFmtId="171" fontId="49" fillId="0" borderId="30" xfId="0" applyNumberFormat="1" applyFont="1" applyBorder="1" applyAlignment="1">
      <alignment horizontal="center"/>
    </xf>
    <xf numFmtId="171" fontId="50" fillId="0" borderId="30" xfId="0" applyNumberFormat="1" applyFont="1" applyBorder="1" applyAlignment="1">
      <alignment horizontal="center"/>
    </xf>
    <xf numFmtId="169" fontId="37" fillId="0" borderId="25" xfId="0" applyNumberFormat="1" applyFont="1" applyBorder="1" applyAlignment="1">
      <alignment horizontal="center"/>
    </xf>
    <xf numFmtId="170" fontId="37" fillId="0" borderId="25" xfId="15" applyNumberFormat="1" applyFont="1" applyFill="1" applyBorder="1" applyAlignment="1">
      <alignment horizontal="center"/>
    </xf>
    <xf numFmtId="169" fontId="49" fillId="0" borderId="25" xfId="0" applyNumberFormat="1" applyFont="1" applyBorder="1" applyAlignment="1">
      <alignment horizontal="center"/>
    </xf>
    <xf numFmtId="170" fontId="50" fillId="0" borderId="30" xfId="15" applyNumberFormat="1" applyFont="1" applyBorder="1" applyAlignment="1">
      <alignment horizontal="center"/>
    </xf>
    <xf numFmtId="9" fontId="49" fillId="0" borderId="25" xfId="15" applyFont="1" applyBorder="1" applyAlignment="1">
      <alignment horizontal="center"/>
    </xf>
    <xf numFmtId="9" fontId="49" fillId="0" borderId="25" xfId="15" applyFont="1" applyFill="1" applyBorder="1" applyAlignment="1">
      <alignment horizontal="center"/>
    </xf>
    <xf numFmtId="170" fontId="53" fillId="0" borderId="25" xfId="15" applyNumberFormat="1" applyFont="1" applyBorder="1" applyAlignment="1">
      <alignment horizontal="center"/>
    </xf>
    <xf numFmtId="0" fontId="54" fillId="0" borderId="67" xfId="0" applyFont="1" applyBorder="1" applyAlignment="1">
      <alignment horizontal="left"/>
    </xf>
    <xf numFmtId="3" fontId="23" fillId="3" borderId="7" xfId="5" applyBorder="1">
      <alignment horizontal="right"/>
    </xf>
    <xf numFmtId="3" fontId="23" fillId="0" borderId="7" xfId="5" applyFill="1" applyBorder="1">
      <alignment horizontal="right"/>
    </xf>
    <xf numFmtId="3" fontId="23" fillId="3" borderId="11" xfId="5" applyBorder="1">
      <alignment horizontal="right"/>
    </xf>
    <xf numFmtId="0" fontId="11" fillId="3" borderId="19" xfId="9" applyFont="1" applyBorder="1" applyAlignment="1">
      <alignment horizontal="right"/>
    </xf>
    <xf numFmtId="172" fontId="11" fillId="3" borderId="19" xfId="6" applyFont="1" applyBorder="1">
      <alignment horizontal="right"/>
    </xf>
    <xf numFmtId="172" fontId="11" fillId="9" borderId="71" xfId="6" applyFont="1" applyFill="1" applyBorder="1" applyAlignment="1">
      <alignment horizontal="right" vertical="center" wrapText="1"/>
    </xf>
    <xf numFmtId="0" fontId="11" fillId="3" borderId="7" xfId="9" applyFont="1" applyBorder="1" applyAlignment="1">
      <alignment horizontal="right"/>
    </xf>
    <xf numFmtId="3" fontId="16" fillId="3" borderId="7" xfId="5" applyFont="1" applyBorder="1">
      <alignment horizontal="right"/>
    </xf>
    <xf numFmtId="4" fontId="11" fillId="0" borderId="19" xfId="7" applyFont="1" applyFill="1" applyBorder="1">
      <alignment horizontal="right"/>
    </xf>
    <xf numFmtId="3" fontId="16" fillId="3" borderId="11" xfId="5" applyFont="1" applyBorder="1" applyAlignment="1">
      <alignment horizontal="right" wrapText="1"/>
    </xf>
    <xf numFmtId="4" fontId="11" fillId="9" borderId="71" xfId="7" applyFont="1" applyFill="1" applyBorder="1" applyAlignment="1">
      <alignment horizontal="right" wrapText="1"/>
    </xf>
    <xf numFmtId="4" fontId="11" fillId="3" borderId="19" xfId="7" applyFont="1" applyBorder="1">
      <alignment horizontal="right"/>
    </xf>
    <xf numFmtId="4" fontId="11" fillId="3" borderId="71" xfId="7" applyFont="1" applyBorder="1" applyAlignment="1">
      <alignment horizontal="right" wrapText="1"/>
    </xf>
    <xf numFmtId="0" fontId="11" fillId="0" borderId="19" xfId="9" applyFont="1" applyFill="1" applyBorder="1" applyAlignment="1">
      <alignment horizontal="right"/>
    </xf>
    <xf numFmtId="4" fontId="11" fillId="5" borderId="19" xfId="7" applyFont="1" applyFill="1" applyBorder="1">
      <alignment horizontal="right"/>
    </xf>
    <xf numFmtId="0" fontId="11" fillId="0" borderId="71" xfId="19" applyFont="1" applyBorder="1" applyAlignment="1">
      <alignment horizontal="right" wrapText="1"/>
    </xf>
    <xf numFmtId="0" fontId="11" fillId="3" borderId="74" xfId="9" applyFont="1" applyBorder="1" applyAlignment="1">
      <alignment horizontal="right"/>
    </xf>
    <xf numFmtId="172" fontId="11" fillId="3" borderId="74" xfId="6" applyFont="1" applyBorder="1">
      <alignment horizontal="right"/>
    </xf>
    <xf numFmtId="3" fontId="16" fillId="3" borderId="19" xfId="5" applyFont="1" applyBorder="1">
      <alignment horizontal="right"/>
    </xf>
    <xf numFmtId="3" fontId="16" fillId="3" borderId="71" xfId="5" applyFont="1" applyBorder="1" applyAlignment="1">
      <alignment horizontal="right" wrapText="1"/>
    </xf>
    <xf numFmtId="4" fontId="11" fillId="0" borderId="71" xfId="7" applyFont="1" applyFill="1" applyBorder="1" applyAlignment="1">
      <alignment horizontal="right" wrapText="1"/>
    </xf>
    <xf numFmtId="4" fontId="11" fillId="5" borderId="21" xfId="7" applyFont="1" applyFill="1" applyBorder="1">
      <alignment horizontal="right"/>
    </xf>
    <xf numFmtId="4" fontId="11" fillId="3" borderId="21" xfId="7" applyFont="1" applyBorder="1">
      <alignment horizontal="right"/>
    </xf>
    <xf numFmtId="4" fontId="11" fillId="3" borderId="73" xfId="7" applyFont="1" applyBorder="1" applyAlignment="1">
      <alignment horizontal="right" wrapText="1"/>
    </xf>
    <xf numFmtId="170" fontId="37" fillId="0" borderId="25" xfId="15" applyNumberFormat="1" applyFont="1" applyBorder="1" applyAlignment="1">
      <alignment horizontal="center"/>
    </xf>
    <xf numFmtId="170" fontId="49" fillId="0" borderId="30" xfId="17" applyNumberFormat="1" applyFont="1" applyBorder="1" applyAlignment="1">
      <alignment horizontal="center"/>
    </xf>
    <xf numFmtId="0" fontId="13" fillId="0" borderId="0" xfId="10" applyAlignment="1" applyProtection="1"/>
    <xf numFmtId="0" fontId="54" fillId="0" borderId="1" xfId="0" applyFont="1" applyBorder="1"/>
    <xf numFmtId="0" fontId="0" fillId="0" borderId="1" xfId="0" applyBorder="1"/>
    <xf numFmtId="0" fontId="13" fillId="0" borderId="1" xfId="10" applyBorder="1" applyAlignment="1" applyProtection="1"/>
    <xf numFmtId="0" fontId="0" fillId="0" borderId="67" xfId="0" applyBorder="1"/>
    <xf numFmtId="4" fontId="37" fillId="3" borderId="71" xfId="7" applyFont="1" applyBorder="1" applyAlignment="1">
      <alignment horizontal="right" wrapText="1"/>
    </xf>
    <xf numFmtId="0" fontId="37" fillId="0" borderId="0" xfId="0" applyFont="1" applyAlignment="1">
      <alignment horizontal="center"/>
    </xf>
    <xf numFmtId="0" fontId="16" fillId="0" borderId="1" xfId="0" applyFont="1" applyBorder="1" applyAlignment="1">
      <alignment horizontal="left"/>
    </xf>
    <xf numFmtId="9" fontId="0" fillId="0" borderId="67" xfId="0" applyNumberFormat="1" applyBorder="1"/>
    <xf numFmtId="9" fontId="0" fillId="0" borderId="67" xfId="15" applyFont="1" applyBorder="1"/>
    <xf numFmtId="0" fontId="16" fillId="0" borderId="76" xfId="20" applyFont="1" applyBorder="1"/>
    <xf numFmtId="0" fontId="16" fillId="0" borderId="67" xfId="0" applyFont="1" applyBorder="1" applyAlignment="1">
      <alignment horizontal="left"/>
    </xf>
    <xf numFmtId="0" fontId="11" fillId="0" borderId="0" xfId="20"/>
    <xf numFmtId="0" fontId="37" fillId="0" borderId="0" xfId="20" applyFont="1"/>
    <xf numFmtId="0" fontId="16" fillId="0" borderId="15" xfId="20" applyFont="1" applyBorder="1"/>
    <xf numFmtId="0" fontId="16" fillId="0" borderId="67" xfId="20" applyFont="1" applyBorder="1" applyAlignment="1">
      <alignment horizontal="left"/>
    </xf>
    <xf numFmtId="0" fontId="16" fillId="0" borderId="67" xfId="20" applyFont="1" applyBorder="1"/>
    <xf numFmtId="9" fontId="11" fillId="0" borderId="67" xfId="20" applyNumberFormat="1" applyBorder="1"/>
    <xf numFmtId="170" fontId="40" fillId="5" borderId="0" xfId="15" applyNumberFormat="1" applyFont="1" applyFill="1"/>
    <xf numFmtId="0" fontId="16" fillId="0" borderId="76" xfId="0" applyFont="1" applyBorder="1"/>
    <xf numFmtId="2" fontId="0" fillId="0" borderId="0" xfId="0" applyNumberFormat="1"/>
    <xf numFmtId="0" fontId="11" fillId="0" borderId="0" xfId="0" applyFont="1" applyAlignment="1">
      <alignment horizontal="left" indent="1"/>
    </xf>
    <xf numFmtId="0" fontId="16" fillId="0" borderId="0" xfId="0" applyFont="1"/>
    <xf numFmtId="9" fontId="0" fillId="7" borderId="0" xfId="0" applyNumberFormat="1" applyFill="1"/>
    <xf numFmtId="170" fontId="40" fillId="5" borderId="0" xfId="0" applyNumberFormat="1" applyFont="1" applyFill="1" applyAlignment="1">
      <alignment horizontal="center"/>
    </xf>
    <xf numFmtId="0" fontId="57" fillId="12" borderId="78" xfId="0" applyFont="1" applyFill="1" applyBorder="1" applyAlignment="1">
      <alignment horizontal="center" vertical="center"/>
    </xf>
    <xf numFmtId="0" fontId="57" fillId="12" borderId="0" xfId="0" applyFont="1" applyFill="1" applyAlignment="1">
      <alignment horizontal="center" vertical="center"/>
    </xf>
    <xf numFmtId="0" fontId="11" fillId="0" borderId="0" xfId="24" applyAlignment="1">
      <alignment horizontal="center"/>
    </xf>
    <xf numFmtId="0" fontId="11" fillId="0" borderId="0" xfId="24"/>
    <xf numFmtId="0" fontId="16" fillId="0" borderId="0" xfId="24" applyFont="1" applyAlignment="1">
      <alignment horizontal="center"/>
    </xf>
    <xf numFmtId="0" fontId="12" fillId="0" borderId="0" xfId="24" applyFont="1"/>
    <xf numFmtId="0" fontId="60" fillId="0" borderId="0" xfId="24" applyFont="1"/>
    <xf numFmtId="0" fontId="61" fillId="0" borderId="0" xfId="24" applyFont="1"/>
    <xf numFmtId="3" fontId="61" fillId="0" borderId="0" xfId="24" applyNumberFormat="1" applyFont="1"/>
    <xf numFmtId="0" fontId="31" fillId="0" borderId="0" xfId="24" applyFont="1" applyAlignment="1">
      <alignment horizontal="left"/>
    </xf>
    <xf numFmtId="0" fontId="31" fillId="0" borderId="0" xfId="24" applyFont="1" applyAlignment="1">
      <alignment horizontal="center"/>
    </xf>
    <xf numFmtId="3" fontId="11" fillId="0" borderId="0" xfId="24" applyNumberFormat="1" applyAlignment="1">
      <alignment horizontal="center"/>
    </xf>
    <xf numFmtId="170" fontId="11" fillId="0" borderId="0" xfId="15" applyNumberFormat="1" applyFont="1" applyAlignment="1">
      <alignment horizontal="center"/>
    </xf>
    <xf numFmtId="9" fontId="11" fillId="0" borderId="0" xfId="15" applyFont="1" applyAlignment="1">
      <alignment horizontal="center"/>
    </xf>
    <xf numFmtId="9" fontId="11" fillId="0" borderId="0" xfId="15" applyFont="1" applyBorder="1" applyAlignment="1">
      <alignment horizontal="center"/>
    </xf>
    <xf numFmtId="0" fontId="62" fillId="0" borderId="0" xfId="24" applyFont="1"/>
    <xf numFmtId="9" fontId="59" fillId="0" borderId="0" xfId="15" applyFont="1" applyAlignment="1">
      <alignment horizontal="center"/>
    </xf>
    <xf numFmtId="0" fontId="61" fillId="0" borderId="84" xfId="24" applyFont="1" applyBorder="1"/>
    <xf numFmtId="3" fontId="11" fillId="0" borderId="85" xfId="24" applyNumberFormat="1" applyBorder="1" applyAlignment="1">
      <alignment horizontal="center"/>
    </xf>
    <xf numFmtId="0" fontId="61" fillId="0" borderId="86" xfId="24" applyFont="1" applyBorder="1"/>
    <xf numFmtId="3" fontId="11" fillId="0" borderId="67" xfId="24" applyNumberFormat="1" applyBorder="1" applyAlignment="1">
      <alignment horizontal="center"/>
    </xf>
    <xf numFmtId="0" fontId="61" fillId="13" borderId="0" xfId="24" applyFont="1" applyFill="1"/>
    <xf numFmtId="3" fontId="11" fillId="13" borderId="0" xfId="24" applyNumberFormat="1" applyFill="1" applyAlignment="1">
      <alignment horizontal="center"/>
    </xf>
    <xf numFmtId="0" fontId="61" fillId="14" borderId="0" xfId="24" applyFont="1" applyFill="1"/>
    <xf numFmtId="3" fontId="11" fillId="14" borderId="0" xfId="24" applyNumberFormat="1" applyFill="1" applyAlignment="1">
      <alignment horizontal="center"/>
    </xf>
    <xf numFmtId="0" fontId="61" fillId="0" borderId="0" xfId="24" applyFont="1" applyAlignment="1">
      <alignment horizontal="left"/>
    </xf>
    <xf numFmtId="0" fontId="31" fillId="0" borderId="0" xfId="24" applyFont="1"/>
    <xf numFmtId="0" fontId="16" fillId="0" borderId="0" xfId="24" applyFont="1"/>
    <xf numFmtId="3" fontId="16" fillId="0" borderId="0" xfId="24" applyNumberFormat="1" applyFont="1" applyAlignment="1">
      <alignment horizontal="center"/>
    </xf>
    <xf numFmtId="0" fontId="63" fillId="0" borderId="0" xfId="24" applyFont="1"/>
    <xf numFmtId="171" fontId="61" fillId="0" borderId="0" xfId="24" applyNumberFormat="1" applyFont="1" applyAlignment="1">
      <alignment horizontal="center"/>
    </xf>
    <xf numFmtId="171" fontId="11" fillId="0" borderId="0" xfId="24" applyNumberFormat="1" applyAlignment="1">
      <alignment horizontal="center"/>
    </xf>
    <xf numFmtId="2" fontId="11" fillId="0" borderId="0" xfId="15" applyNumberFormat="1" applyFont="1" applyAlignment="1">
      <alignment horizontal="center"/>
    </xf>
    <xf numFmtId="0" fontId="64" fillId="0" borderId="0" xfId="24" applyFont="1"/>
    <xf numFmtId="3" fontId="64" fillId="0" borderId="0" xfId="24" applyNumberFormat="1" applyFont="1" applyAlignment="1">
      <alignment horizontal="center"/>
    </xf>
    <xf numFmtId="0" fontId="33" fillId="0" borderId="0" xfId="24" applyFont="1"/>
    <xf numFmtId="0" fontId="64" fillId="15" borderId="0" xfId="24" applyFont="1" applyFill="1"/>
    <xf numFmtId="3" fontId="64" fillId="15" borderId="0" xfId="24" applyNumberFormat="1" applyFont="1" applyFill="1" applyAlignment="1">
      <alignment horizontal="center"/>
    </xf>
    <xf numFmtId="3" fontId="64" fillId="0" borderId="0" xfId="24" applyNumberFormat="1" applyFont="1"/>
    <xf numFmtId="172" fontId="33" fillId="0" borderId="0" xfId="24" applyNumberFormat="1" applyFont="1" applyAlignment="1">
      <alignment horizontal="center"/>
    </xf>
    <xf numFmtId="3" fontId="33" fillId="0" borderId="0" xfId="24" applyNumberFormat="1" applyFont="1" applyAlignment="1">
      <alignment horizontal="center"/>
    </xf>
    <xf numFmtId="3" fontId="33" fillId="0" borderId="0" xfId="24" applyNumberFormat="1" applyFont="1"/>
    <xf numFmtId="172" fontId="64" fillId="15" borderId="0" xfId="24" applyNumberFormat="1" applyFont="1" applyFill="1" applyAlignment="1">
      <alignment horizontal="left"/>
    </xf>
    <xf numFmtId="0" fontId="64" fillId="13" borderId="0" xfId="24" applyFont="1" applyFill="1"/>
    <xf numFmtId="3" fontId="33" fillId="15" borderId="0" xfId="24" applyNumberFormat="1" applyFont="1" applyFill="1" applyAlignment="1">
      <alignment horizontal="center"/>
    </xf>
    <xf numFmtId="0" fontId="33" fillId="15" borderId="0" xfId="24" applyFont="1" applyFill="1"/>
    <xf numFmtId="167" fontId="11" fillId="0" borderId="75" xfId="0" applyNumberFormat="1" applyFont="1" applyBorder="1"/>
    <xf numFmtId="0" fontId="12" fillId="0" borderId="0" xfId="0" applyFont="1" applyAlignment="1">
      <alignment horizontal="center"/>
    </xf>
    <xf numFmtId="10" fontId="0" fillId="0" borderId="0" xfId="0" applyNumberFormat="1"/>
    <xf numFmtId="4" fontId="0" fillId="0" borderId="0" xfId="0" applyNumberFormat="1" applyAlignment="1">
      <alignment horizontal="center"/>
    </xf>
    <xf numFmtId="10" fontId="11" fillId="0" borderId="0" xfId="0" applyNumberFormat="1" applyFont="1"/>
    <xf numFmtId="10" fontId="0" fillId="0" borderId="85" xfId="0" applyNumberFormat="1" applyBorder="1" applyAlignment="1">
      <alignment horizontal="center"/>
    </xf>
    <xf numFmtId="10" fontId="0" fillId="0" borderId="8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11" fillId="0" borderId="88" xfId="0" applyNumberFormat="1" applyFont="1" applyBorder="1" applyAlignment="1">
      <alignment horizontal="center"/>
    </xf>
    <xf numFmtId="164" fontId="0" fillId="0" borderId="67" xfId="0" applyNumberFormat="1" applyBorder="1" applyAlignment="1">
      <alignment horizontal="center"/>
    </xf>
    <xf numFmtId="164" fontId="11" fillId="0" borderId="89" xfId="0" applyNumberFormat="1" applyFont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0" fontId="11" fillId="0" borderId="84" xfId="0" applyFont="1" applyBorder="1" applyAlignment="1">
      <alignment horizontal="center"/>
    </xf>
    <xf numFmtId="4" fontId="0" fillId="0" borderId="0" xfId="0" applyNumberFormat="1"/>
    <xf numFmtId="0" fontId="0" fillId="0" borderId="0" xfId="15" applyNumberFormat="1" applyFont="1" applyAlignment="1">
      <alignment horizontal="center"/>
    </xf>
    <xf numFmtId="170" fontId="0" fillId="0" borderId="0" xfId="0" applyNumberFormat="1"/>
    <xf numFmtId="3" fontId="0" fillId="0" borderId="0" xfId="15" applyNumberFormat="1" applyFont="1" applyAlignment="1">
      <alignment horizontal="center"/>
    </xf>
    <xf numFmtId="2" fontId="8" fillId="0" borderId="0" xfId="32" applyNumberFormat="1" applyAlignment="1">
      <alignment horizontal="center"/>
    </xf>
    <xf numFmtId="0" fontId="61" fillId="0" borderId="0" xfId="24" applyFont="1" applyAlignment="1">
      <alignment horizontal="center"/>
    </xf>
    <xf numFmtId="0" fontId="64" fillId="0" borderId="0" xfId="24" applyFont="1" applyAlignment="1">
      <alignment horizontal="center"/>
    </xf>
    <xf numFmtId="0" fontId="33" fillId="0" borderId="0" xfId="24" applyFont="1" applyAlignment="1">
      <alignment horizontal="center"/>
    </xf>
    <xf numFmtId="0" fontId="16" fillId="16" borderId="29" xfId="0" applyFont="1" applyFill="1" applyBorder="1" applyAlignment="1">
      <alignment horizontal="center"/>
    </xf>
    <xf numFmtId="169" fontId="11" fillId="16" borderId="25" xfId="0" applyNumberFormat="1" applyFont="1" applyFill="1" applyBorder="1" applyAlignment="1">
      <alignment horizontal="center"/>
    </xf>
    <xf numFmtId="169" fontId="49" fillId="16" borderId="25" xfId="0" applyNumberFormat="1" applyFont="1" applyFill="1" applyBorder="1" applyAlignment="1">
      <alignment horizontal="center"/>
    </xf>
    <xf numFmtId="9" fontId="49" fillId="16" borderId="25" xfId="15" applyFont="1" applyFill="1" applyBorder="1" applyAlignment="1">
      <alignment horizontal="center"/>
    </xf>
    <xf numFmtId="169" fontId="11" fillId="0" borderId="30" xfId="0" applyNumberFormat="1" applyFont="1" applyBorder="1" applyAlignment="1">
      <alignment horizontal="center"/>
    </xf>
    <xf numFmtId="3" fontId="11" fillId="0" borderId="30" xfId="0" applyNumberFormat="1" applyFont="1" applyBorder="1" applyAlignment="1">
      <alignment horizontal="center"/>
    </xf>
    <xf numFmtId="169" fontId="16" fillId="0" borderId="25" xfId="0" applyNumberFormat="1" applyFont="1" applyBorder="1" applyAlignment="1">
      <alignment horizontal="center"/>
    </xf>
    <xf numFmtId="169" fontId="16" fillId="0" borderId="30" xfId="0" applyNumberFormat="1" applyFont="1" applyBorder="1" applyAlignment="1">
      <alignment horizontal="center"/>
    </xf>
    <xf numFmtId="0" fontId="0" fillId="0" borderId="25" xfId="0" applyBorder="1"/>
    <xf numFmtId="9" fontId="11" fillId="0" borderId="25" xfId="26" applyBorder="1" applyAlignment="1">
      <alignment horizontal="center"/>
    </xf>
    <xf numFmtId="170" fontId="11" fillId="0" borderId="30" xfId="26" applyNumberFormat="1" applyBorder="1" applyAlignment="1">
      <alignment horizontal="center"/>
    </xf>
    <xf numFmtId="171" fontId="0" fillId="0" borderId="25" xfId="0" applyNumberFormat="1" applyBorder="1" applyAlignment="1">
      <alignment horizontal="center"/>
    </xf>
    <xf numFmtId="171" fontId="0" fillId="0" borderId="30" xfId="0" applyNumberFormat="1" applyBorder="1" applyAlignment="1">
      <alignment horizontal="center"/>
    </xf>
    <xf numFmtId="0" fontId="46" fillId="4" borderId="0" xfId="0" applyFont="1" applyFill="1" applyAlignment="1">
      <alignment horizontal="center"/>
    </xf>
    <xf numFmtId="9" fontId="28" fillId="0" borderId="0" xfId="15" applyFont="1" applyBorder="1"/>
    <xf numFmtId="9" fontId="11" fillId="0" borderId="0" xfId="15" applyFont="1" applyBorder="1"/>
    <xf numFmtId="9" fontId="16" fillId="0" borderId="0" xfId="15" applyFont="1" applyBorder="1"/>
    <xf numFmtId="10" fontId="11" fillId="0" borderId="44" xfId="0" applyNumberFormat="1" applyFont="1" applyBorder="1" applyAlignment="1">
      <alignment horizontal="center" vertical="center"/>
    </xf>
    <xf numFmtId="170" fontId="11" fillId="16" borderId="25" xfId="15" applyNumberFormat="1" applyFont="1" applyFill="1" applyBorder="1" applyAlignment="1">
      <alignment horizontal="center"/>
    </xf>
    <xf numFmtId="0" fontId="7" fillId="0" borderId="0" xfId="33"/>
    <xf numFmtId="0" fontId="7" fillId="0" borderId="0" xfId="33" applyAlignment="1">
      <alignment horizontal="center"/>
    </xf>
    <xf numFmtId="0" fontId="16" fillId="0" borderId="0" xfId="33" applyFont="1" applyAlignment="1">
      <alignment horizontal="left"/>
    </xf>
    <xf numFmtId="0" fontId="65" fillId="0" borderId="90" xfId="33" applyFont="1" applyBorder="1"/>
    <xf numFmtId="0" fontId="66" fillId="0" borderId="90" xfId="33" applyFont="1" applyBorder="1"/>
    <xf numFmtId="170" fontId="16" fillId="0" borderId="90" xfId="34" applyNumberFormat="1" applyFont="1" applyBorder="1" applyAlignment="1">
      <alignment horizontal="center"/>
    </xf>
    <xf numFmtId="0" fontId="16" fillId="0" borderId="90" xfId="33" applyFont="1" applyBorder="1" applyAlignment="1">
      <alignment horizontal="center"/>
    </xf>
    <xf numFmtId="0" fontId="16" fillId="0" borderId="90" xfId="33" applyFont="1" applyBorder="1" applyAlignment="1">
      <alignment horizontal="center" vertical="center"/>
    </xf>
    <xf numFmtId="0" fontId="16" fillId="17" borderId="90" xfId="33" applyFont="1" applyFill="1" applyBorder="1"/>
    <xf numFmtId="170" fontId="38" fillId="18" borderId="90" xfId="34" applyNumberFormat="1" applyFont="1" applyFill="1" applyBorder="1" applyAlignment="1">
      <alignment horizontal="center"/>
    </xf>
    <xf numFmtId="170" fontId="11" fillId="0" borderId="90" xfId="33" applyNumberFormat="1" applyFont="1" applyBorder="1" applyAlignment="1">
      <alignment horizontal="center"/>
    </xf>
    <xf numFmtId="170" fontId="11" fillId="0" borderId="0" xfId="33" applyNumberFormat="1" applyFont="1" applyAlignment="1">
      <alignment horizontal="center"/>
    </xf>
    <xf numFmtId="0" fontId="38" fillId="0" borderId="0" xfId="33" applyFont="1"/>
    <xf numFmtId="169" fontId="11" fillId="17" borderId="90" xfId="33" applyNumberFormat="1" applyFont="1" applyFill="1" applyBorder="1"/>
    <xf numFmtId="169" fontId="7" fillId="18" borderId="90" xfId="34" applyNumberFormat="1" applyFill="1" applyBorder="1" applyAlignment="1">
      <alignment horizontal="center"/>
    </xf>
    <xf numFmtId="169" fontId="7" fillId="0" borderId="90" xfId="33" applyNumberFormat="1" applyBorder="1" applyAlignment="1">
      <alignment horizontal="center"/>
    </xf>
    <xf numFmtId="169" fontId="7" fillId="0" borderId="0" xfId="33" applyNumberFormat="1"/>
    <xf numFmtId="170" fontId="38" fillId="18" borderId="90" xfId="35" applyNumberFormat="1" applyFont="1" applyFill="1" applyBorder="1" applyAlignment="1">
      <alignment horizontal="center"/>
    </xf>
    <xf numFmtId="0" fontId="11" fillId="0" borderId="90" xfId="33" applyFont="1" applyBorder="1"/>
    <xf numFmtId="169" fontId="7" fillId="0" borderId="0" xfId="33" applyNumberFormat="1" applyAlignment="1">
      <alignment horizontal="center"/>
    </xf>
    <xf numFmtId="0" fontId="11" fillId="17" borderId="90" xfId="33" applyFont="1" applyFill="1" applyBorder="1"/>
    <xf numFmtId="169" fontId="11" fillId="0" borderId="90" xfId="33" applyNumberFormat="1" applyFont="1" applyBorder="1"/>
    <xf numFmtId="169" fontId="7" fillId="18" borderId="90" xfId="33" applyNumberFormat="1" applyFill="1" applyBorder="1" applyAlignment="1">
      <alignment horizontal="center"/>
    </xf>
    <xf numFmtId="169" fontId="11" fillId="0" borderId="90" xfId="33" applyNumberFormat="1" applyFont="1" applyBorder="1" applyAlignment="1">
      <alignment horizontal="center"/>
    </xf>
    <xf numFmtId="169" fontId="68" fillId="18" borderId="90" xfId="33" applyNumberFormat="1" applyFont="1" applyFill="1" applyBorder="1" applyAlignment="1">
      <alignment horizontal="center"/>
    </xf>
    <xf numFmtId="169" fontId="11" fillId="13" borderId="0" xfId="33" applyNumberFormat="1" applyFont="1" applyFill="1"/>
    <xf numFmtId="169" fontId="7" fillId="13" borderId="0" xfId="33" applyNumberFormat="1" applyFill="1" applyAlignment="1">
      <alignment horizontal="center"/>
    </xf>
    <xf numFmtId="169" fontId="11" fillId="13" borderId="0" xfId="33" applyNumberFormat="1" applyFont="1" applyFill="1" applyAlignment="1">
      <alignment horizontal="center"/>
    </xf>
    <xf numFmtId="169" fontId="11" fillId="17" borderId="90" xfId="33" applyNumberFormat="1" applyFont="1" applyFill="1" applyBorder="1" applyAlignment="1">
      <alignment vertical="center"/>
    </xf>
    <xf numFmtId="169" fontId="68" fillId="7" borderId="90" xfId="33" applyNumberFormat="1" applyFont="1" applyFill="1" applyBorder="1" applyAlignment="1">
      <alignment horizontal="center" vertical="center"/>
    </xf>
    <xf numFmtId="169" fontId="67" fillId="0" borderId="90" xfId="33" applyNumberFormat="1" applyFont="1" applyBorder="1" applyAlignment="1">
      <alignment horizontal="center" vertical="center"/>
    </xf>
    <xf numFmtId="169" fontId="68" fillId="7" borderId="90" xfId="33" applyNumberFormat="1" applyFont="1" applyFill="1" applyBorder="1" applyAlignment="1">
      <alignment horizontal="center"/>
    </xf>
    <xf numFmtId="169" fontId="16" fillId="14" borderId="90" xfId="33" quotePrefix="1" applyNumberFormat="1" applyFont="1" applyFill="1" applyBorder="1" applyAlignment="1">
      <alignment vertical="center"/>
    </xf>
    <xf numFmtId="169" fontId="7" fillId="14" borderId="90" xfId="33" applyNumberFormat="1" applyFill="1" applyBorder="1" applyAlignment="1">
      <alignment horizontal="center"/>
    </xf>
    <xf numFmtId="169" fontId="68" fillId="0" borderId="90" xfId="33" applyNumberFormat="1" applyFont="1" applyBorder="1" applyAlignment="1">
      <alignment horizontal="center"/>
    </xf>
    <xf numFmtId="169" fontId="68" fillId="14" borderId="90" xfId="33" applyNumberFormat="1" applyFont="1" applyFill="1" applyBorder="1" applyAlignment="1">
      <alignment horizontal="center"/>
    </xf>
    <xf numFmtId="169" fontId="7" fillId="7" borderId="90" xfId="33" applyNumberFormat="1" applyFill="1" applyBorder="1" applyAlignment="1">
      <alignment horizontal="center"/>
    </xf>
    <xf numFmtId="0" fontId="11" fillId="0" borderId="0" xfId="33" applyFont="1"/>
    <xf numFmtId="169" fontId="11" fillId="17" borderId="90" xfId="33" applyNumberFormat="1" applyFont="1" applyFill="1" applyBorder="1" applyAlignment="1">
      <alignment horizontal="left" vertical="center"/>
    </xf>
    <xf numFmtId="169" fontId="69" fillId="7" borderId="90" xfId="33" applyNumberFormat="1" applyFont="1" applyFill="1" applyBorder="1" applyAlignment="1">
      <alignment horizontal="center"/>
    </xf>
    <xf numFmtId="168" fontId="7" fillId="0" borderId="90" xfId="33" applyNumberFormat="1" applyBorder="1" applyAlignment="1">
      <alignment horizontal="center"/>
    </xf>
    <xf numFmtId="169" fontId="67" fillId="0" borderId="90" xfId="33" applyNumberFormat="1" applyFont="1" applyBorder="1" applyAlignment="1">
      <alignment horizontal="center"/>
    </xf>
    <xf numFmtId="0" fontId="65" fillId="0" borderId="90" xfId="33" applyFont="1" applyBorder="1" applyAlignment="1">
      <alignment vertical="center"/>
    </xf>
    <xf numFmtId="169" fontId="7" fillId="7" borderId="90" xfId="33" applyNumberFormat="1" applyFill="1" applyBorder="1" applyAlignment="1">
      <alignment horizontal="center" vertical="center"/>
    </xf>
    <xf numFmtId="169" fontId="69" fillId="0" borderId="90" xfId="36" applyNumberFormat="1" applyFont="1" applyBorder="1" applyAlignment="1">
      <alignment horizontal="center" vertical="center"/>
    </xf>
    <xf numFmtId="169" fontId="69" fillId="7" borderId="90" xfId="33" applyNumberFormat="1" applyFont="1" applyFill="1" applyBorder="1" applyAlignment="1">
      <alignment horizontal="center" vertical="center"/>
    </xf>
    <xf numFmtId="169" fontId="68" fillId="0" borderId="90" xfId="36" applyNumberFormat="1" applyFont="1" applyBorder="1" applyAlignment="1">
      <alignment horizontal="center" vertical="center"/>
    </xf>
    <xf numFmtId="0" fontId="16" fillId="0" borderId="87" xfId="33" applyFont="1" applyBorder="1" applyAlignment="1">
      <alignment horizontal="center" vertical="center"/>
    </xf>
    <xf numFmtId="0" fontId="16" fillId="0" borderId="89" xfId="33" applyFont="1" applyBorder="1" applyAlignment="1">
      <alignment horizontal="center" vertical="center"/>
    </xf>
    <xf numFmtId="0" fontId="7" fillId="0" borderId="90" xfId="33" applyBorder="1"/>
    <xf numFmtId="0" fontId="16" fillId="0" borderId="0" xfId="33" applyFont="1" applyAlignment="1">
      <alignment horizontal="center" vertical="center"/>
    </xf>
    <xf numFmtId="4" fontId="7" fillId="0" borderId="90" xfId="33" applyNumberFormat="1" applyBorder="1" applyAlignment="1">
      <alignment horizontal="center"/>
    </xf>
    <xf numFmtId="0" fontId="7" fillId="13" borderId="0" xfId="33" applyFill="1"/>
    <xf numFmtId="169" fontId="7" fillId="13" borderId="0" xfId="33" applyNumberFormat="1" applyFill="1"/>
    <xf numFmtId="0" fontId="7" fillId="13" borderId="0" xfId="33" applyFill="1" applyAlignment="1">
      <alignment horizontal="center"/>
    </xf>
    <xf numFmtId="0" fontId="7" fillId="0" borderId="84" xfId="33" applyBorder="1"/>
    <xf numFmtId="167" fontId="7" fillId="0" borderId="85" xfId="33" applyNumberFormat="1" applyBorder="1" applyAlignment="1">
      <alignment horizontal="center"/>
    </xf>
    <xf numFmtId="169" fontId="65" fillId="0" borderId="85" xfId="33" applyNumberFormat="1" applyFont="1" applyBorder="1" applyAlignment="1">
      <alignment horizontal="center"/>
    </xf>
    <xf numFmtId="166" fontId="7" fillId="0" borderId="87" xfId="22" applyFont="1" applyBorder="1" applyAlignment="1">
      <alignment horizontal="center" vertical="center"/>
    </xf>
    <xf numFmtId="0" fontId="7" fillId="0" borderId="5" xfId="33" applyBorder="1"/>
    <xf numFmtId="167" fontId="38" fillId="4" borderId="0" xfId="24" applyNumberFormat="1" applyFont="1" applyFill="1" applyAlignment="1">
      <alignment horizontal="center"/>
    </xf>
    <xf numFmtId="167" fontId="38" fillId="4" borderId="88" xfId="24" applyNumberFormat="1" applyFont="1" applyFill="1" applyBorder="1" applyAlignment="1">
      <alignment horizontal="center"/>
    </xf>
    <xf numFmtId="0" fontId="7" fillId="0" borderId="86" xfId="33" applyBorder="1"/>
    <xf numFmtId="169" fontId="7" fillId="0" borderId="67" xfId="33" applyNumberFormat="1" applyBorder="1"/>
    <xf numFmtId="2" fontId="7" fillId="0" borderId="67" xfId="33" applyNumberFormat="1" applyBorder="1" applyAlignment="1">
      <alignment horizontal="center"/>
    </xf>
    <xf numFmtId="2" fontId="7" fillId="0" borderId="89" xfId="33" applyNumberFormat="1" applyBorder="1" applyAlignment="1">
      <alignment horizontal="center"/>
    </xf>
    <xf numFmtId="0" fontId="65" fillId="0" borderId="87" xfId="33" applyFont="1" applyBorder="1" applyAlignment="1">
      <alignment horizontal="center"/>
    </xf>
    <xf numFmtId="0" fontId="65" fillId="0" borderId="86" xfId="33" applyFont="1" applyBorder="1"/>
    <xf numFmtId="10" fontId="0" fillId="0" borderId="67" xfId="36" applyNumberFormat="1" applyFont="1" applyBorder="1" applyAlignment="1">
      <alignment horizontal="center"/>
    </xf>
    <xf numFmtId="10" fontId="0" fillId="0" borderId="89" xfId="36" applyNumberFormat="1" applyFont="1" applyBorder="1" applyAlignment="1">
      <alignment horizontal="center"/>
    </xf>
    <xf numFmtId="167" fontId="7" fillId="0" borderId="0" xfId="33" applyNumberFormat="1"/>
    <xf numFmtId="10" fontId="0" fillId="0" borderId="0" xfId="36" applyNumberFormat="1" applyFont="1"/>
    <xf numFmtId="10" fontId="11" fillId="0" borderId="0" xfId="36" applyNumberFormat="1" applyFont="1"/>
    <xf numFmtId="9" fontId="7" fillId="0" borderId="0" xfId="15" applyFont="1" applyAlignment="1">
      <alignment horizontal="center"/>
    </xf>
    <xf numFmtId="10" fontId="0" fillId="0" borderId="0" xfId="36" applyNumberFormat="1" applyFont="1" applyBorder="1" applyAlignment="1">
      <alignment horizontal="center"/>
    </xf>
    <xf numFmtId="169" fontId="7" fillId="0" borderId="88" xfId="33" applyNumberFormat="1" applyBorder="1" applyAlignment="1">
      <alignment horizontal="left"/>
    </xf>
    <xf numFmtId="170" fontId="7" fillId="0" borderId="0" xfId="15" applyNumberFormat="1" applyFont="1" applyAlignment="1">
      <alignment horizontal="center"/>
    </xf>
    <xf numFmtId="0" fontId="7" fillId="0" borderId="88" xfId="33" applyBorder="1" applyAlignment="1">
      <alignment horizontal="left"/>
    </xf>
    <xf numFmtId="169" fontId="7" fillId="0" borderId="89" xfId="33" applyNumberFormat="1" applyBorder="1" applyAlignment="1">
      <alignment horizontal="left"/>
    </xf>
    <xf numFmtId="0" fontId="7" fillId="0" borderId="90" xfId="33" applyBorder="1" applyAlignment="1">
      <alignment horizontal="center"/>
    </xf>
    <xf numFmtId="9" fontId="0" fillId="0" borderId="90" xfId="36" applyFont="1" applyBorder="1" applyAlignment="1">
      <alignment horizontal="center"/>
    </xf>
    <xf numFmtId="0" fontId="7" fillId="0" borderId="0" xfId="33" applyAlignment="1">
      <alignment horizontal="left"/>
    </xf>
    <xf numFmtId="0" fontId="65" fillId="0" borderId="91" xfId="33" applyFont="1" applyBorder="1"/>
    <xf numFmtId="170" fontId="65" fillId="0" borderId="1" xfId="36" applyNumberFormat="1" applyFont="1" applyBorder="1" applyAlignment="1">
      <alignment horizontal="center"/>
    </xf>
    <xf numFmtId="0" fontId="65" fillId="0" borderId="92" xfId="33" applyFont="1" applyBorder="1"/>
    <xf numFmtId="167" fontId="65" fillId="0" borderId="1" xfId="33" applyNumberFormat="1" applyFont="1" applyBorder="1" applyAlignment="1">
      <alignment horizontal="center"/>
    </xf>
    <xf numFmtId="0" fontId="7" fillId="0" borderId="92" xfId="33" applyBorder="1"/>
    <xf numFmtId="10" fontId="7" fillId="0" borderId="0" xfId="33" applyNumberFormat="1"/>
    <xf numFmtId="170" fontId="7" fillId="0" borderId="0" xfId="15" applyNumberFormat="1" applyFont="1"/>
    <xf numFmtId="2" fontId="7" fillId="0" borderId="0" xfId="33" applyNumberFormat="1" applyAlignment="1">
      <alignment horizontal="center"/>
    </xf>
    <xf numFmtId="167" fontId="7" fillId="0" borderId="0" xfId="33" applyNumberFormat="1" applyAlignment="1">
      <alignment horizontal="center"/>
    </xf>
    <xf numFmtId="169" fontId="68" fillId="18" borderId="90" xfId="34" applyNumberFormat="1" applyFont="1" applyFill="1" applyBorder="1" applyAlignment="1">
      <alignment horizontal="center"/>
    </xf>
    <xf numFmtId="169" fontId="11" fillId="18" borderId="90" xfId="33" applyNumberFormat="1" applyFont="1" applyFill="1" applyBorder="1" applyAlignment="1">
      <alignment horizontal="center"/>
    </xf>
    <xf numFmtId="0" fontId="61" fillId="0" borderId="5" xfId="24" applyFont="1" applyBorder="1"/>
    <xf numFmtId="170" fontId="11" fillId="0" borderId="0" xfId="15" applyNumberFormat="1" applyFont="1" applyBorder="1" applyAlignment="1">
      <alignment horizontal="center"/>
    </xf>
    <xf numFmtId="165" fontId="64" fillId="0" borderId="0" xfId="24" applyNumberFormat="1" applyFont="1"/>
    <xf numFmtId="3" fontId="70" fillId="0" borderId="0" xfId="24" applyNumberFormat="1" applyFont="1"/>
    <xf numFmtId="9" fontId="64" fillId="0" borderId="0" xfId="24" applyNumberFormat="1" applyFont="1"/>
    <xf numFmtId="173" fontId="64" fillId="0" borderId="0" xfId="24" applyNumberFormat="1" applyFont="1" applyAlignment="1">
      <alignment horizontal="center"/>
    </xf>
    <xf numFmtId="4" fontId="64" fillId="0" borderId="0" xfId="24" applyNumberFormat="1" applyFont="1"/>
    <xf numFmtId="170" fontId="64" fillId="15" borderId="0" xfId="15" applyNumberFormat="1" applyFont="1" applyFill="1" applyAlignment="1">
      <alignment horizontal="center"/>
    </xf>
    <xf numFmtId="170" fontId="64" fillId="15" borderId="0" xfId="15" applyNumberFormat="1" applyFont="1" applyFill="1" applyBorder="1" applyAlignment="1">
      <alignment horizontal="center"/>
    </xf>
    <xf numFmtId="9" fontId="64" fillId="0" borderId="0" xfId="15" applyFont="1" applyFill="1" applyBorder="1" applyAlignment="1">
      <alignment horizontal="center"/>
    </xf>
    <xf numFmtId="9" fontId="33" fillId="0" borderId="0" xfId="15" applyFont="1" applyFill="1" applyBorder="1" applyAlignment="1">
      <alignment horizontal="center"/>
    </xf>
    <xf numFmtId="170" fontId="33" fillId="0" borderId="0" xfId="15" applyNumberFormat="1" applyFont="1" applyFill="1" applyBorder="1" applyAlignment="1">
      <alignment horizontal="center"/>
    </xf>
    <xf numFmtId="170" fontId="64" fillId="0" borderId="0" xfId="15" applyNumberFormat="1" applyFont="1" applyFill="1" applyBorder="1" applyAlignment="1">
      <alignment horizontal="center"/>
    </xf>
    <xf numFmtId="172" fontId="64" fillId="15" borderId="0" xfId="24" applyNumberFormat="1" applyFont="1" applyFill="1" applyAlignment="1">
      <alignment horizontal="center"/>
    </xf>
    <xf numFmtId="172" fontId="64" fillId="0" borderId="0" xfId="24" applyNumberFormat="1" applyFont="1" applyAlignment="1">
      <alignment horizontal="center"/>
    </xf>
    <xf numFmtId="4" fontId="64" fillId="15" borderId="0" xfId="24" applyNumberFormat="1" applyFont="1" applyFill="1" applyAlignment="1">
      <alignment horizontal="center"/>
    </xf>
    <xf numFmtId="170" fontId="64" fillId="15" borderId="0" xfId="24" applyNumberFormat="1" applyFont="1" applyFill="1" applyAlignment="1">
      <alignment horizontal="center"/>
    </xf>
    <xf numFmtId="43" fontId="7" fillId="0" borderId="0" xfId="37" applyFont="1"/>
    <xf numFmtId="170" fontId="6" fillId="0" borderId="0" xfId="15" applyNumberFormat="1" applyFont="1"/>
    <xf numFmtId="4" fontId="6" fillId="0" borderId="90" xfId="38" applyNumberFormat="1" applyBorder="1" applyAlignment="1">
      <alignment horizontal="center"/>
    </xf>
    <xf numFmtId="4" fontId="6" fillId="0" borderId="85" xfId="38" applyNumberFormat="1" applyBorder="1" applyAlignment="1">
      <alignment horizontal="center"/>
    </xf>
    <xf numFmtId="4" fontId="6" fillId="0" borderId="87" xfId="38" applyNumberFormat="1" applyBorder="1" applyAlignment="1">
      <alignment horizontal="center"/>
    </xf>
    <xf numFmtId="4" fontId="6" fillId="0" borderId="0" xfId="38" applyNumberFormat="1" applyAlignment="1">
      <alignment horizontal="center"/>
    </xf>
    <xf numFmtId="170" fontId="0" fillId="0" borderId="67" xfId="15" applyNumberFormat="1" applyFont="1" applyBorder="1"/>
    <xf numFmtId="170" fontId="40" fillId="5" borderId="1" xfId="15" applyNumberFormat="1" applyFont="1" applyFill="1" applyBorder="1"/>
    <xf numFmtId="170" fontId="11" fillId="0" borderId="0" xfId="20" applyNumberFormat="1"/>
    <xf numFmtId="170" fontId="0" fillId="0" borderId="67" xfId="0" applyNumberFormat="1" applyBorder="1"/>
    <xf numFmtId="170" fontId="11" fillId="0" borderId="0" xfId="0" applyNumberFormat="1" applyFont="1"/>
    <xf numFmtId="0" fontId="5" fillId="0" borderId="0" xfId="33" applyFont="1"/>
    <xf numFmtId="171" fontId="0" fillId="0" borderId="0" xfId="15" applyNumberFormat="1" applyFont="1" applyFill="1" applyBorder="1" applyAlignment="1">
      <alignment horizontal="center"/>
    </xf>
    <xf numFmtId="0" fontId="0" fillId="0" borderId="0" xfId="0" quotePrefix="1"/>
    <xf numFmtId="174" fontId="0" fillId="0" borderId="0" xfId="0" applyNumberFormat="1"/>
    <xf numFmtId="2" fontId="4" fillId="0" borderId="67" xfId="33" applyNumberFormat="1" applyFont="1" applyBorder="1" applyAlignment="1">
      <alignment horizontal="center"/>
    </xf>
    <xf numFmtId="167" fontId="4" fillId="0" borderId="85" xfId="33" applyNumberFormat="1" applyFont="1" applyBorder="1" applyAlignment="1">
      <alignment horizontal="center"/>
    </xf>
    <xf numFmtId="9" fontId="11" fillId="0" borderId="25" xfId="15" applyFont="1" applyFill="1" applyBorder="1" applyAlignment="1">
      <alignment horizontal="center"/>
    </xf>
    <xf numFmtId="10" fontId="11" fillId="0" borderId="25" xfId="0" applyNumberFormat="1" applyFont="1" applyBorder="1" applyAlignment="1">
      <alignment horizontal="center"/>
    </xf>
    <xf numFmtId="0" fontId="15" fillId="0" borderId="41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10" fontId="11" fillId="19" borderId="0" xfId="0" applyNumberFormat="1" applyFont="1" applyFill="1"/>
    <xf numFmtId="0" fontId="77" fillId="0" borderId="0" xfId="20" applyFont="1" applyAlignment="1">
      <alignment horizontal="left" wrapText="1" readingOrder="1"/>
    </xf>
    <xf numFmtId="0" fontId="78" fillId="0" borderId="0" xfId="0" applyFont="1" applyAlignment="1">
      <alignment vertical="top" wrapText="1"/>
    </xf>
    <xf numFmtId="0" fontId="73" fillId="0" borderId="0" xfId="0" applyFont="1"/>
    <xf numFmtId="3" fontId="78" fillId="0" borderId="0" xfId="0" applyNumberFormat="1" applyFont="1" applyAlignment="1">
      <alignment vertical="top" wrapText="1"/>
    </xf>
    <xf numFmtId="0" fontId="79" fillId="0" borderId="0" xfId="0" applyFont="1"/>
    <xf numFmtId="0" fontId="79" fillId="0" borderId="0" xfId="0" applyFont="1" applyAlignment="1">
      <alignment horizontal="center"/>
    </xf>
    <xf numFmtId="4" fontId="51" fillId="0" borderId="19" xfId="7" applyFont="1" applyFill="1" applyBorder="1">
      <alignment horizontal="right"/>
    </xf>
    <xf numFmtId="4" fontId="51" fillId="0" borderId="74" xfId="7" applyFont="1" applyFill="1" applyBorder="1">
      <alignment horizontal="right"/>
    </xf>
    <xf numFmtId="4" fontId="55" fillId="0" borderId="19" xfId="7" applyFont="1" applyFill="1" applyBorder="1">
      <alignment horizontal="right"/>
    </xf>
    <xf numFmtId="4" fontId="37" fillId="0" borderId="19" xfId="7" applyFont="1" applyFill="1" applyBorder="1">
      <alignment horizontal="right"/>
    </xf>
    <xf numFmtId="4" fontId="37" fillId="0" borderId="21" xfId="7" applyFont="1" applyFill="1" applyBorder="1">
      <alignment horizontal="right"/>
    </xf>
    <xf numFmtId="14" fontId="11" fillId="0" borderId="26" xfId="0" applyNumberFormat="1" applyFont="1" applyBorder="1" applyAlignment="1">
      <alignment horizontal="center" vertical="center" wrapText="1"/>
    </xf>
    <xf numFmtId="3" fontId="7" fillId="0" borderId="90" xfId="33" applyNumberFormat="1" applyBorder="1" applyAlignment="1">
      <alignment horizontal="center"/>
    </xf>
    <xf numFmtId="4" fontId="51" fillId="8" borderId="79" xfId="7" applyFont="1" applyFill="1" applyBorder="1" applyAlignment="1">
      <alignment horizontal="center"/>
    </xf>
    <xf numFmtId="4" fontId="51" fillId="8" borderId="0" xfId="7" applyFont="1" applyFill="1" applyBorder="1" applyAlignment="1">
      <alignment horizontal="center"/>
    </xf>
    <xf numFmtId="4" fontId="51" fillId="8" borderId="80" xfId="7" applyFont="1" applyFill="1" applyBorder="1" applyAlignment="1">
      <alignment horizontal="center"/>
    </xf>
    <xf numFmtId="4" fontId="11" fillId="6" borderId="81" xfId="7" applyFont="1" applyFill="1" applyBorder="1" applyAlignment="1">
      <alignment horizontal="center"/>
    </xf>
    <xf numFmtId="4" fontId="11" fillId="6" borderId="82" xfId="7" applyFont="1" applyFill="1" applyBorder="1" applyAlignment="1">
      <alignment horizontal="center"/>
    </xf>
    <xf numFmtId="4" fontId="11" fillId="6" borderId="83" xfId="7" applyFont="1" applyFill="1" applyBorder="1" applyAlignment="1">
      <alignment horizontal="center"/>
    </xf>
    <xf numFmtId="169" fontId="3" fillId="0" borderId="90" xfId="33" applyNumberFormat="1" applyFont="1" applyBorder="1" applyAlignment="1">
      <alignment horizontal="center"/>
    </xf>
    <xf numFmtId="169" fontId="3" fillId="18" borderId="90" xfId="34" applyNumberFormat="1" applyFont="1" applyFill="1" applyBorder="1" applyAlignment="1">
      <alignment horizontal="center"/>
    </xf>
    <xf numFmtId="0" fontId="80" fillId="0" borderId="0" xfId="0" applyFont="1"/>
    <xf numFmtId="9" fontId="80" fillId="0" borderId="0" xfId="15" applyFont="1"/>
    <xf numFmtId="170" fontId="80" fillId="0" borderId="0" xfId="15" applyNumberFormat="1" applyFont="1"/>
    <xf numFmtId="10" fontId="65" fillId="0" borderId="0" xfId="33" applyNumberFormat="1" applyFont="1"/>
    <xf numFmtId="0" fontId="3" fillId="0" borderId="4" xfId="33" applyFont="1" applyBorder="1"/>
    <xf numFmtId="0" fontId="3" fillId="0" borderId="2" xfId="33" applyFont="1" applyBorder="1"/>
    <xf numFmtId="0" fontId="3" fillId="0" borderId="0" xfId="33" applyFont="1"/>
    <xf numFmtId="0" fontId="3" fillId="0" borderId="0" xfId="32" applyFont="1"/>
    <xf numFmtId="0" fontId="3" fillId="0" borderId="0" xfId="33" applyFont="1" applyAlignment="1">
      <alignment horizontal="center"/>
    </xf>
    <xf numFmtId="9" fontId="3" fillId="0" borderId="0" xfId="15" applyFont="1"/>
    <xf numFmtId="9" fontId="3" fillId="0" borderId="0" xfId="15" applyFont="1" applyAlignment="1">
      <alignment horizontal="center"/>
    </xf>
    <xf numFmtId="9" fontId="3" fillId="0" borderId="0" xfId="33" applyNumberFormat="1" applyFont="1" applyAlignment="1">
      <alignment horizontal="center"/>
    </xf>
    <xf numFmtId="9" fontId="7" fillId="0" borderId="0" xfId="15" applyFont="1"/>
    <xf numFmtId="170" fontId="3" fillId="0" borderId="0" xfId="15" applyNumberFormat="1" applyFont="1"/>
    <xf numFmtId="10" fontId="7" fillId="0" borderId="0" xfId="15" applyNumberFormat="1" applyFont="1"/>
    <xf numFmtId="10" fontId="3" fillId="0" borderId="0" xfId="15" applyNumberFormat="1" applyFont="1"/>
    <xf numFmtId="10" fontId="7" fillId="0" borderId="0" xfId="15" applyNumberFormat="1" applyFont="1" applyAlignment="1">
      <alignment horizontal="center"/>
    </xf>
    <xf numFmtId="0" fontId="81" fillId="0" borderId="0" xfId="33" applyFont="1" applyAlignment="1">
      <alignment horizontal="center"/>
    </xf>
    <xf numFmtId="10" fontId="70" fillId="20" borderId="4" xfId="15" applyNumberFormat="1" applyFont="1" applyFill="1" applyBorder="1" applyAlignment="1">
      <alignment horizontal="right"/>
    </xf>
    <xf numFmtId="10" fontId="3" fillId="0" borderId="0" xfId="15" applyNumberFormat="1" applyFont="1" applyAlignment="1">
      <alignment horizontal="center"/>
    </xf>
    <xf numFmtId="167" fontId="81" fillId="0" borderId="0" xfId="33" applyNumberFormat="1" applyFont="1" applyAlignment="1">
      <alignment horizontal="center"/>
    </xf>
    <xf numFmtId="170" fontId="7" fillId="0" borderId="0" xfId="33" applyNumberFormat="1" applyAlignment="1">
      <alignment horizontal="center"/>
    </xf>
    <xf numFmtId="10" fontId="7" fillId="0" borderId="0" xfId="33" applyNumberFormat="1" applyAlignment="1">
      <alignment horizontal="center"/>
    </xf>
    <xf numFmtId="167" fontId="3" fillId="0" borderId="0" xfId="33" applyNumberFormat="1" applyFont="1" applyAlignment="1">
      <alignment horizontal="center"/>
    </xf>
    <xf numFmtId="0" fontId="65" fillId="0" borderId="0" xfId="33" applyFont="1"/>
    <xf numFmtId="1" fontId="81" fillId="0" borderId="0" xfId="33" applyNumberFormat="1" applyFont="1" applyAlignment="1">
      <alignment horizontal="center"/>
    </xf>
    <xf numFmtId="0" fontId="81" fillId="0" borderId="0" xfId="33" applyFont="1"/>
    <xf numFmtId="0" fontId="3" fillId="21" borderId="99" xfId="33" applyFont="1" applyFill="1" applyBorder="1"/>
    <xf numFmtId="0" fontId="3" fillId="22" borderId="100" xfId="32" applyFont="1" applyFill="1" applyBorder="1"/>
    <xf numFmtId="0" fontId="3" fillId="22" borderId="99" xfId="33" applyFont="1" applyFill="1" applyBorder="1"/>
    <xf numFmtId="0" fontId="3" fillId="21" borderId="100" xfId="33" applyFont="1" applyFill="1" applyBorder="1"/>
    <xf numFmtId="0" fontId="3" fillId="22" borderId="100" xfId="33" applyFont="1" applyFill="1" applyBorder="1"/>
    <xf numFmtId="0" fontId="3" fillId="22" borderId="101" xfId="33" applyFont="1" applyFill="1" applyBorder="1"/>
    <xf numFmtId="0" fontId="82" fillId="0" borderId="0" xfId="33" applyFont="1"/>
    <xf numFmtId="169" fontId="0" fillId="0" borderId="25" xfId="0" applyNumberFormat="1" applyBorder="1" applyAlignment="1">
      <alignment horizontal="center"/>
    </xf>
    <xf numFmtId="0" fontId="0" fillId="0" borderId="29" xfId="0" applyBorder="1"/>
    <xf numFmtId="167" fontId="0" fillId="0" borderId="25" xfId="0" applyNumberFormat="1" applyBorder="1" applyAlignment="1">
      <alignment horizontal="center"/>
    </xf>
    <xf numFmtId="170" fontId="0" fillId="0" borderId="90" xfId="33" applyNumberFormat="1" applyFont="1" applyBorder="1" applyAlignment="1">
      <alignment horizontal="center"/>
    </xf>
    <xf numFmtId="170" fontId="7" fillId="0" borderId="0" xfId="33" applyNumberFormat="1"/>
    <xf numFmtId="170" fontId="3" fillId="0" borderId="0" xfId="33" applyNumberFormat="1" applyFont="1"/>
    <xf numFmtId="169" fontId="3" fillId="7" borderId="90" xfId="33" applyNumberFormat="1" applyFont="1" applyFill="1" applyBorder="1" applyAlignment="1">
      <alignment horizontal="center" vertical="center"/>
    </xf>
    <xf numFmtId="0" fontId="65" fillId="0" borderId="0" xfId="33" applyFont="1" applyAlignment="1">
      <alignment horizontal="center"/>
    </xf>
    <xf numFmtId="170" fontId="0" fillId="0" borderId="0" xfId="15" applyNumberFormat="1" applyFont="1" applyFill="1" applyBorder="1" applyAlignment="1">
      <alignment horizontal="center"/>
    </xf>
    <xf numFmtId="0" fontId="0" fillId="0" borderId="84" xfId="0" applyBorder="1" applyAlignment="1">
      <alignment horizontal="left" vertical="center"/>
    </xf>
    <xf numFmtId="0" fontId="0" fillId="0" borderId="85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170" fontId="0" fillId="0" borderId="88" xfId="15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88" xfId="0" applyNumberFormat="1" applyBorder="1" applyAlignment="1">
      <alignment horizontal="center"/>
    </xf>
    <xf numFmtId="171" fontId="0" fillId="0" borderId="88" xfId="15" applyNumberFormat="1" applyFont="1" applyFill="1" applyBorder="1" applyAlignment="1">
      <alignment horizontal="center"/>
    </xf>
    <xf numFmtId="0" fontId="0" fillId="0" borderId="5" xfId="0" applyBorder="1"/>
    <xf numFmtId="0" fontId="11" fillId="0" borderId="5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171" fontId="0" fillId="0" borderId="0" xfId="0" applyNumberFormat="1" applyAlignment="1">
      <alignment horizontal="center"/>
    </xf>
    <xf numFmtId="171" fontId="0" fillId="0" borderId="88" xfId="0" applyNumberFormat="1" applyBorder="1" applyAlignment="1">
      <alignment horizontal="center"/>
    </xf>
    <xf numFmtId="0" fontId="0" fillId="0" borderId="86" xfId="0" applyBorder="1" applyAlignment="1">
      <alignment horizontal="left" vertical="center"/>
    </xf>
    <xf numFmtId="0" fontId="0" fillId="0" borderId="88" xfId="0" applyBorder="1" applyAlignment="1">
      <alignment horizontal="center"/>
    </xf>
    <xf numFmtId="0" fontId="0" fillId="0" borderId="67" xfId="0" applyBorder="1" applyAlignment="1">
      <alignment horizontal="center"/>
    </xf>
    <xf numFmtId="2" fontId="0" fillId="0" borderId="0" xfId="15" applyNumberFormat="1" applyFont="1" applyFill="1" applyBorder="1" applyAlignment="1">
      <alignment horizontal="center"/>
    </xf>
    <xf numFmtId="2" fontId="0" fillId="0" borderId="88" xfId="15" applyNumberFormat="1" applyFont="1" applyFill="1" applyBorder="1" applyAlignment="1">
      <alignment horizontal="center"/>
    </xf>
    <xf numFmtId="0" fontId="11" fillId="0" borderId="103" xfId="0" applyFont="1" applyBorder="1"/>
    <xf numFmtId="0" fontId="16" fillId="0" borderId="104" xfId="0" applyFont="1" applyBorder="1" applyAlignment="1">
      <alignment horizontal="center"/>
    </xf>
    <xf numFmtId="0" fontId="16" fillId="0" borderId="105" xfId="0" applyFont="1" applyBorder="1" applyAlignment="1">
      <alignment horizontal="center"/>
    </xf>
    <xf numFmtId="0" fontId="11" fillId="0" borderId="106" xfId="0" applyFont="1" applyBorder="1"/>
    <xf numFmtId="9" fontId="0" fillId="0" borderId="0" xfId="15" applyFont="1" applyBorder="1"/>
    <xf numFmtId="169" fontId="11" fillId="0" borderId="0" xfId="0" applyNumberFormat="1" applyFont="1" applyAlignment="1">
      <alignment horizontal="center"/>
    </xf>
    <xf numFmtId="0" fontId="11" fillId="0" borderId="106" xfId="0" applyFont="1" applyBorder="1" applyAlignment="1">
      <alignment horizontal="left" indent="1"/>
    </xf>
    <xf numFmtId="169" fontId="15" fillId="0" borderId="0" xfId="0" quotePrefix="1" applyNumberFormat="1" applyFont="1" applyAlignment="1">
      <alignment horizontal="center"/>
    </xf>
    <xf numFmtId="169" fontId="11" fillId="0" borderId="0" xfId="0" quotePrefix="1" applyNumberFormat="1" applyFont="1" applyAlignment="1">
      <alignment horizontal="center"/>
    </xf>
    <xf numFmtId="0" fontId="0" fillId="0" borderId="88" xfId="0" applyBorder="1"/>
    <xf numFmtId="0" fontId="16" fillId="0" borderId="107" xfId="0" applyFont="1" applyBorder="1"/>
    <xf numFmtId="169" fontId="16" fillId="0" borderId="0" xfId="0" applyNumberFormat="1" applyFont="1" applyAlignment="1">
      <alignment horizontal="center"/>
    </xf>
    <xf numFmtId="0" fontId="16" fillId="0" borderId="108" xfId="0" applyFont="1" applyBorder="1"/>
    <xf numFmtId="169" fontId="16" fillId="0" borderId="109" xfId="0" applyNumberFormat="1" applyFont="1" applyBorder="1" applyAlignment="1">
      <alignment horizontal="center"/>
    </xf>
    <xf numFmtId="9" fontId="16" fillId="0" borderId="109" xfId="15" applyFont="1" applyBorder="1"/>
    <xf numFmtId="9" fontId="16" fillId="0" borderId="110" xfId="15" applyFont="1" applyBorder="1"/>
    <xf numFmtId="9" fontId="28" fillId="0" borderId="88" xfId="15" applyFont="1" applyBorder="1" applyAlignment="1">
      <alignment horizontal="center"/>
    </xf>
    <xf numFmtId="9" fontId="11" fillId="0" borderId="88" xfId="15" applyFont="1" applyBorder="1" applyAlignment="1">
      <alignment horizontal="center"/>
    </xf>
    <xf numFmtId="170" fontId="16" fillId="9" borderId="109" xfId="15" applyNumberFormat="1" applyFont="1" applyFill="1" applyBorder="1" applyAlignment="1">
      <alignment horizontal="center"/>
    </xf>
    <xf numFmtId="1" fontId="11" fillId="0" borderId="0" xfId="20" applyNumberFormat="1"/>
    <xf numFmtId="9" fontId="11" fillId="3" borderId="19" xfId="9" applyNumberFormat="1" applyFont="1" applyBorder="1" applyAlignment="1">
      <alignment horizontal="right"/>
    </xf>
    <xf numFmtId="1" fontId="11" fillId="3" borderId="19" xfId="9" applyNumberFormat="1" applyFont="1" applyBorder="1" applyAlignment="1">
      <alignment horizontal="right"/>
    </xf>
    <xf numFmtId="172" fontId="11" fillId="3" borderId="65" xfId="6" applyFont="1" applyBorder="1">
      <alignment horizontal="right"/>
    </xf>
    <xf numFmtId="4" fontId="11" fillId="3" borderId="65" xfId="7" applyFont="1" applyBorder="1">
      <alignment horizontal="right"/>
    </xf>
    <xf numFmtId="4" fontId="11" fillId="9" borderId="14" xfId="7" applyFont="1" applyFill="1" applyBorder="1" applyAlignment="1">
      <alignment horizontal="right" wrapText="1"/>
    </xf>
    <xf numFmtId="4" fontId="11" fillId="3" borderId="14" xfId="7" applyFont="1" applyBorder="1" applyAlignment="1">
      <alignment horizontal="right" wrapText="1"/>
    </xf>
    <xf numFmtId="4" fontId="11" fillId="6" borderId="4" xfId="7" applyFont="1" applyFill="1" applyAlignment="1">
      <alignment horizontal="center"/>
    </xf>
    <xf numFmtId="4" fontId="51" fillId="8" borderId="4" xfId="7" applyFont="1" applyFill="1" applyAlignment="1">
      <alignment horizontal="center"/>
    </xf>
    <xf numFmtId="4" fontId="0" fillId="0" borderId="18" xfId="0" applyNumberFormat="1" applyBorder="1" applyAlignment="1">
      <alignment horizontal="center"/>
    </xf>
    <xf numFmtId="170" fontId="11" fillId="0" borderId="30" xfId="0" applyNumberFormat="1" applyFont="1" applyBorder="1" applyAlignment="1">
      <alignment horizontal="center"/>
    </xf>
    <xf numFmtId="170" fontId="11" fillId="0" borderId="18" xfId="17" applyNumberFormat="1" applyFont="1" applyFill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1" fillId="0" borderId="40" xfId="0" applyFont="1" applyBorder="1"/>
    <xf numFmtId="4" fontId="11" fillId="6" borderId="90" xfId="7" applyFont="1" applyFill="1" applyBorder="1" applyAlignment="1">
      <alignment horizontal="center"/>
    </xf>
    <xf numFmtId="9" fontId="11" fillId="0" borderId="67" xfId="0" applyNumberFormat="1" applyFont="1" applyBorder="1" applyAlignment="1">
      <alignment horizontal="center"/>
    </xf>
    <xf numFmtId="9" fontId="0" fillId="0" borderId="67" xfId="0" applyNumberFormat="1" applyBorder="1" applyAlignment="1">
      <alignment horizontal="center"/>
    </xf>
    <xf numFmtId="9" fontId="0" fillId="0" borderId="89" xfId="0" applyNumberFormat="1" applyBorder="1" applyAlignment="1">
      <alignment horizontal="center"/>
    </xf>
    <xf numFmtId="10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15" applyNumberFormat="1" applyFont="1" applyFill="1" applyBorder="1" applyAlignment="1">
      <alignment horizontal="center"/>
    </xf>
    <xf numFmtId="171" fontId="0" fillId="6" borderId="0" xfId="0" applyNumberFormat="1" applyFill="1" applyAlignment="1">
      <alignment horizontal="center"/>
    </xf>
    <xf numFmtId="171" fontId="0" fillId="10" borderId="0" xfId="0" applyNumberFormat="1" applyFill="1" applyAlignment="1">
      <alignment horizontal="center"/>
    </xf>
    <xf numFmtId="3" fontId="0" fillId="0" borderId="85" xfId="0" applyNumberFormat="1" applyBorder="1" applyAlignment="1">
      <alignment horizontal="center"/>
    </xf>
    <xf numFmtId="175" fontId="0" fillId="10" borderId="0" xfId="15" applyNumberFormat="1" applyFont="1" applyFill="1" applyBorder="1" applyAlignment="1">
      <alignment horizontal="center"/>
    </xf>
    <xf numFmtId="2" fontId="0" fillId="0" borderId="85" xfId="0" applyNumberFormat="1" applyBorder="1" applyAlignment="1">
      <alignment horizontal="center"/>
    </xf>
    <xf numFmtId="2" fontId="0" fillId="0" borderId="87" xfId="0" applyNumberFormat="1" applyBorder="1" applyAlignment="1">
      <alignment horizontal="center"/>
    </xf>
    <xf numFmtId="171" fontId="0" fillId="13" borderId="0" xfId="0" applyNumberFormat="1" applyFill="1" applyAlignment="1">
      <alignment horizontal="center"/>
    </xf>
    <xf numFmtId="0" fontId="11" fillId="0" borderId="5" xfId="0" applyFont="1" applyBorder="1"/>
    <xf numFmtId="10" fontId="0" fillId="10" borderId="0" xfId="0" applyNumberFormat="1" applyFill="1" applyAlignment="1">
      <alignment horizontal="center"/>
    </xf>
    <xf numFmtId="10" fontId="0" fillId="0" borderId="0" xfId="15" applyNumberFormat="1" applyFont="1" applyFill="1" applyBorder="1" applyAlignment="1">
      <alignment horizontal="center"/>
    </xf>
    <xf numFmtId="10" fontId="0" fillId="0" borderId="112" xfId="0" applyNumberFormat="1" applyBorder="1" applyAlignment="1">
      <alignment horizontal="center"/>
    </xf>
    <xf numFmtId="10" fontId="0" fillId="0" borderId="113" xfId="0" applyNumberFormat="1" applyBorder="1" applyAlignment="1">
      <alignment horizontal="center"/>
    </xf>
    <xf numFmtId="0" fontId="16" fillId="24" borderId="111" xfId="0" applyFont="1" applyFill="1" applyBorder="1" applyAlignment="1">
      <alignment horizontal="center"/>
    </xf>
    <xf numFmtId="2" fontId="0" fillId="0" borderId="112" xfId="0" applyNumberFormat="1" applyBorder="1" applyAlignment="1">
      <alignment horizontal="center"/>
    </xf>
    <xf numFmtId="0" fontId="2" fillId="0" borderId="0" xfId="33" applyFont="1" applyAlignment="1">
      <alignment horizontal="center"/>
    </xf>
    <xf numFmtId="9" fontId="2" fillId="0" borderId="0" xfId="15" applyFont="1" applyAlignment="1">
      <alignment horizontal="center"/>
    </xf>
    <xf numFmtId="10" fontId="2" fillId="0" borderId="0" xfId="15" applyNumberFormat="1" applyFont="1" applyAlignment="1">
      <alignment horizontal="center"/>
    </xf>
    <xf numFmtId="10" fontId="0" fillId="0" borderId="0" xfId="15" applyNumberFormat="1" applyFont="1" applyAlignment="1">
      <alignment horizontal="center"/>
    </xf>
    <xf numFmtId="10" fontId="69" fillId="23" borderId="102" xfId="15" applyNumberFormat="1" applyFont="1" applyFill="1" applyBorder="1" applyAlignment="1">
      <alignment horizontal="center"/>
    </xf>
    <xf numFmtId="10" fontId="0" fillId="10" borderId="0" xfId="36" applyNumberFormat="1" applyFont="1" applyFill="1" applyBorder="1" applyAlignment="1">
      <alignment horizontal="center"/>
    </xf>
    <xf numFmtId="0" fontId="1" fillId="0" borderId="0" xfId="33" applyFont="1" applyAlignment="1">
      <alignment horizontal="center"/>
    </xf>
    <xf numFmtId="0" fontId="7" fillId="0" borderId="4" xfId="33" applyBorder="1"/>
    <xf numFmtId="0" fontId="7" fillId="0" borderId="91" xfId="33" applyBorder="1"/>
    <xf numFmtId="0" fontId="65" fillId="0" borderId="1" xfId="33" applyFont="1" applyBorder="1" applyAlignment="1">
      <alignment horizontal="center"/>
    </xf>
    <xf numFmtId="0" fontId="65" fillId="0" borderId="92" xfId="33" applyFont="1" applyBorder="1" applyAlignment="1">
      <alignment horizontal="center"/>
    </xf>
    <xf numFmtId="10" fontId="80" fillId="10" borderId="0" xfId="15" applyNumberFormat="1" applyFont="1" applyFill="1"/>
    <xf numFmtId="169" fontId="7" fillId="10" borderId="88" xfId="33" applyNumberFormat="1" applyFill="1" applyBorder="1" applyAlignment="1">
      <alignment horizontal="left"/>
    </xf>
    <xf numFmtId="0" fontId="45" fillId="4" borderId="25" xfId="0" applyFont="1" applyFill="1" applyBorder="1" applyAlignment="1">
      <alignment horizontal="center"/>
    </xf>
    <xf numFmtId="0" fontId="11" fillId="0" borderId="29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40" fillId="4" borderId="38" xfId="0" applyFont="1" applyFill="1" applyBorder="1" applyAlignment="1">
      <alignment horizontal="left"/>
    </xf>
    <xf numFmtId="0" fontId="40" fillId="4" borderId="39" xfId="0" applyFont="1" applyFill="1" applyBorder="1" applyAlignment="1">
      <alignment horizontal="left"/>
    </xf>
    <xf numFmtId="0" fontId="40" fillId="4" borderId="40" xfId="0" applyFont="1" applyFill="1" applyBorder="1" applyAlignment="1">
      <alignment horizontal="left"/>
    </xf>
    <xf numFmtId="0" fontId="12" fillId="0" borderId="45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29" fillId="0" borderId="25" xfId="0" applyFont="1" applyBorder="1" applyAlignment="1">
      <alignment horizontal="left" vertical="center" wrapText="1"/>
    </xf>
    <xf numFmtId="0" fontId="29" fillId="0" borderId="30" xfId="0" applyFont="1" applyBorder="1" applyAlignment="1">
      <alignment horizontal="left" vertical="center" wrapText="1"/>
    </xf>
    <xf numFmtId="0" fontId="25" fillId="0" borderId="29" xfId="0" applyFont="1" applyBorder="1" applyAlignment="1">
      <alignment horizontal="center" wrapText="1"/>
    </xf>
    <xf numFmtId="0" fontId="25" fillId="0" borderId="25" xfId="0" applyFont="1" applyBorder="1" applyAlignment="1">
      <alignment horizontal="center" wrapText="1"/>
    </xf>
    <xf numFmtId="9" fontId="12" fillId="0" borderId="30" xfId="15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left" vertical="center" wrapText="1"/>
    </xf>
    <xf numFmtId="0" fontId="30" fillId="0" borderId="30" xfId="0" applyFont="1" applyBorder="1" applyAlignment="1">
      <alignment horizontal="left" vertical="center" wrapText="1"/>
    </xf>
    <xf numFmtId="0" fontId="40" fillId="4" borderId="25" xfId="0" applyFont="1" applyFill="1" applyBorder="1" applyAlignment="1">
      <alignment horizontal="center"/>
    </xf>
    <xf numFmtId="0" fontId="40" fillId="4" borderId="30" xfId="0" applyFont="1" applyFill="1" applyBorder="1" applyAlignment="1">
      <alignment horizontal="center"/>
    </xf>
    <xf numFmtId="0" fontId="40" fillId="4" borderId="29" xfId="0" applyFont="1" applyFill="1" applyBorder="1" applyAlignment="1">
      <alignment horizontal="center"/>
    </xf>
    <xf numFmtId="0" fontId="11" fillId="0" borderId="38" xfId="0" applyFont="1" applyBorder="1" applyAlignment="1">
      <alignment horizontal="left" vertical="center" wrapText="1"/>
    </xf>
    <xf numFmtId="0" fontId="15" fillId="0" borderId="39" xfId="0" applyFont="1" applyBorder="1" applyAlignment="1">
      <alignment horizontal="left" vertical="center" wrapText="1"/>
    </xf>
    <xf numFmtId="0" fontId="15" fillId="0" borderId="40" xfId="0" applyFont="1" applyBorder="1" applyAlignment="1">
      <alignment horizontal="left" vertical="center" wrapText="1"/>
    </xf>
    <xf numFmtId="0" fontId="40" fillId="4" borderId="54" xfId="0" applyFont="1" applyFill="1" applyBorder="1" applyAlignment="1">
      <alignment horizontal="center"/>
    </xf>
    <xf numFmtId="0" fontId="11" fillId="0" borderId="48" xfId="0" applyFont="1" applyBorder="1" applyAlignment="1">
      <alignment horizontal="left" vertical="center" wrapText="1"/>
    </xf>
    <xf numFmtId="0" fontId="15" fillId="0" borderId="49" xfId="0" applyFont="1" applyBorder="1" applyAlignment="1">
      <alignment horizontal="left" vertical="center" wrapText="1"/>
    </xf>
    <xf numFmtId="0" fontId="15" fillId="0" borderId="50" xfId="0" applyFont="1" applyBorder="1" applyAlignment="1">
      <alignment horizontal="left" vertical="center" wrapText="1"/>
    </xf>
    <xf numFmtId="0" fontId="15" fillId="0" borderId="51" xfId="0" applyFont="1" applyBorder="1" applyAlignment="1">
      <alignment horizontal="left" vertical="center" wrapText="1"/>
    </xf>
    <xf numFmtId="0" fontId="15" fillId="0" borderId="52" xfId="0" applyFont="1" applyBorder="1" applyAlignment="1">
      <alignment horizontal="left" vertical="center" wrapText="1"/>
    </xf>
    <xf numFmtId="0" fontId="15" fillId="0" borderId="53" xfId="0" applyFont="1" applyBorder="1" applyAlignment="1">
      <alignment horizontal="left" vertical="center" wrapText="1"/>
    </xf>
    <xf numFmtId="0" fontId="11" fillId="8" borderId="54" xfId="0" applyFont="1" applyFill="1" applyBorder="1" applyAlignment="1">
      <alignment horizontal="center" vertical="center" wrapText="1"/>
    </xf>
    <xf numFmtId="0" fontId="15" fillId="8" borderId="55" xfId="0" applyFont="1" applyFill="1" applyBorder="1" applyAlignment="1">
      <alignment horizontal="center" vertical="center" wrapText="1"/>
    </xf>
    <xf numFmtId="0" fontId="16" fillId="0" borderId="6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6" fillId="0" borderId="66" xfId="0" applyFont="1" applyBorder="1" applyAlignment="1">
      <alignment horizontal="left" vertical="center" wrapText="1"/>
    </xf>
    <xf numFmtId="0" fontId="16" fillId="0" borderId="49" xfId="0" applyFont="1" applyBorder="1" applyAlignment="1">
      <alignment horizontal="left" vertical="center"/>
    </xf>
    <xf numFmtId="0" fontId="16" fillId="0" borderId="50" xfId="0" applyFont="1" applyBorder="1" applyAlignment="1">
      <alignment horizontal="left" vertical="center"/>
    </xf>
    <xf numFmtId="0" fontId="16" fillId="0" borderId="68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69" xfId="0" applyFont="1" applyBorder="1" applyAlignment="1">
      <alignment horizontal="left" vertical="center"/>
    </xf>
    <xf numFmtId="0" fontId="16" fillId="0" borderId="70" xfId="0" applyFont="1" applyBorder="1" applyAlignment="1">
      <alignment horizontal="left" vertical="center"/>
    </xf>
    <xf numFmtId="0" fontId="16" fillId="0" borderId="52" xfId="0" applyFont="1" applyBorder="1" applyAlignment="1">
      <alignment horizontal="left" vertical="center"/>
    </xf>
    <xf numFmtId="0" fontId="16" fillId="0" borderId="53" xfId="0" applyFont="1" applyBorder="1" applyAlignment="1">
      <alignment horizontal="left" vertical="center"/>
    </xf>
    <xf numFmtId="0" fontId="58" fillId="11" borderId="56" xfId="0" applyFont="1" applyFill="1" applyBorder="1" applyAlignment="1">
      <alignment horizontal="center" vertical="center" wrapText="1"/>
    </xf>
    <xf numFmtId="0" fontId="19" fillId="11" borderId="56" xfId="0" applyFont="1" applyFill="1" applyBorder="1" applyAlignment="1">
      <alignment horizontal="center" vertical="center" wrapText="1"/>
    </xf>
    <xf numFmtId="0" fontId="19" fillId="11" borderId="57" xfId="0" applyFont="1" applyFill="1" applyBorder="1" applyAlignment="1">
      <alignment horizontal="center" vertical="center" wrapText="1"/>
    </xf>
    <xf numFmtId="0" fontId="40" fillId="4" borderId="58" xfId="0" applyFont="1" applyFill="1" applyBorder="1" applyAlignment="1">
      <alignment horizontal="left"/>
    </xf>
    <xf numFmtId="0" fontId="40" fillId="4" borderId="59" xfId="0" applyFont="1" applyFill="1" applyBorder="1" applyAlignment="1">
      <alignment horizontal="left"/>
    </xf>
    <xf numFmtId="0" fontId="19" fillId="0" borderId="25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168" fontId="12" fillId="0" borderId="30" xfId="0" applyNumberFormat="1" applyFont="1" applyBorder="1" applyAlignment="1">
      <alignment horizontal="center" vertical="center"/>
    </xf>
    <xf numFmtId="0" fontId="40" fillId="4" borderId="29" xfId="0" applyFont="1" applyFill="1" applyBorder="1" applyAlignment="1">
      <alignment horizontal="left"/>
    </xf>
    <xf numFmtId="0" fontId="40" fillId="4" borderId="25" xfId="0" applyFont="1" applyFill="1" applyBorder="1" applyAlignment="1">
      <alignment horizontal="left"/>
    </xf>
    <xf numFmtId="0" fontId="12" fillId="0" borderId="0" xfId="24" applyFont="1" applyAlignment="1">
      <alignment horizontal="center"/>
    </xf>
    <xf numFmtId="0" fontId="61" fillId="0" borderId="0" xfId="24" applyFont="1" applyAlignment="1">
      <alignment horizontal="center"/>
    </xf>
    <xf numFmtId="0" fontId="12" fillId="0" borderId="0" xfId="0" applyFont="1" applyAlignment="1">
      <alignment horizontal="center"/>
    </xf>
    <xf numFmtId="0" fontId="46" fillId="4" borderId="22" xfId="0" applyFont="1" applyFill="1" applyBorder="1" applyAlignment="1">
      <alignment horizontal="center"/>
    </xf>
    <xf numFmtId="0" fontId="46" fillId="4" borderId="23" xfId="0" applyFont="1" applyFill="1" applyBorder="1" applyAlignment="1">
      <alignment horizontal="center"/>
    </xf>
    <xf numFmtId="0" fontId="46" fillId="4" borderId="24" xfId="0" applyFont="1" applyFill="1" applyBorder="1" applyAlignment="1">
      <alignment horizontal="center"/>
    </xf>
    <xf numFmtId="0" fontId="56" fillId="4" borderId="0" xfId="20" applyFont="1" applyFill="1" applyAlignment="1">
      <alignment horizontal="center"/>
    </xf>
    <xf numFmtId="0" fontId="57" fillId="12" borderId="77" xfId="0" applyFont="1" applyFill="1" applyBorder="1" applyAlignment="1">
      <alignment horizontal="center" vertical="center"/>
    </xf>
    <xf numFmtId="0" fontId="57" fillId="12" borderId="79" xfId="0" applyFont="1" applyFill="1" applyBorder="1" applyAlignment="1">
      <alignment horizontal="center" vertical="center"/>
    </xf>
    <xf numFmtId="4" fontId="51" fillId="8" borderId="79" xfId="7" applyFont="1" applyFill="1" applyBorder="1" applyAlignment="1">
      <alignment horizontal="center"/>
    </xf>
    <xf numFmtId="4" fontId="51" fillId="8" borderId="0" xfId="7" applyFont="1" applyFill="1" applyBorder="1" applyAlignment="1">
      <alignment horizontal="center"/>
    </xf>
    <xf numFmtId="4" fontId="51" fillId="8" borderId="80" xfId="7" applyFont="1" applyFill="1" applyBorder="1" applyAlignment="1">
      <alignment horizontal="center"/>
    </xf>
    <xf numFmtId="4" fontId="51" fillId="10" borderId="97" xfId="7" applyFont="1" applyFill="1" applyBorder="1" applyAlignment="1">
      <alignment horizontal="center"/>
    </xf>
    <xf numFmtId="4" fontId="51" fillId="10" borderId="93" xfId="7" applyFont="1" applyFill="1" applyBorder="1" applyAlignment="1">
      <alignment horizontal="center"/>
    </xf>
    <xf numFmtId="4" fontId="51" fillId="10" borderId="98" xfId="7" applyFont="1" applyFill="1" applyBorder="1" applyAlignment="1">
      <alignment horizontal="center"/>
    </xf>
    <xf numFmtId="4" fontId="11" fillId="6" borderId="81" xfId="7" applyFont="1" applyFill="1" applyBorder="1" applyAlignment="1">
      <alignment horizontal="center"/>
    </xf>
    <xf numFmtId="4" fontId="11" fillId="6" borderId="82" xfId="7" applyFont="1" applyFill="1" applyBorder="1" applyAlignment="1">
      <alignment horizontal="center"/>
    </xf>
    <xf numFmtId="4" fontId="11" fillId="6" borderId="83" xfId="7" applyFont="1" applyFill="1" applyBorder="1" applyAlignment="1">
      <alignment horizontal="center"/>
    </xf>
    <xf numFmtId="0" fontId="40" fillId="4" borderId="60" xfId="0" applyFont="1" applyFill="1" applyBorder="1" applyAlignment="1">
      <alignment horizontal="center" vertical="center"/>
    </xf>
    <xf numFmtId="0" fontId="40" fillId="4" borderId="61" xfId="0" applyFont="1" applyFill="1" applyBorder="1" applyAlignment="1">
      <alignment horizontal="center" vertical="center"/>
    </xf>
    <xf numFmtId="0" fontId="40" fillId="4" borderId="62" xfId="0" applyFont="1" applyFill="1" applyBorder="1" applyAlignment="1">
      <alignment horizontal="center" vertical="center"/>
    </xf>
    <xf numFmtId="0" fontId="21" fillId="4" borderId="22" xfId="1" applyFill="1" applyBorder="1" applyAlignment="1">
      <alignment horizontal="center" vertical="center" readingOrder="1"/>
    </xf>
    <xf numFmtId="0" fontId="21" fillId="4" borderId="23" xfId="1" applyFill="1" applyBorder="1" applyAlignment="1">
      <alignment horizontal="center" vertical="center" readingOrder="1"/>
    </xf>
    <xf numFmtId="0" fontId="21" fillId="4" borderId="24" xfId="1" applyFill="1" applyBorder="1" applyAlignment="1">
      <alignment horizontal="center" vertical="center" readingOrder="1"/>
    </xf>
    <xf numFmtId="0" fontId="40" fillId="4" borderId="8" xfId="0" applyFont="1" applyFill="1" applyBorder="1" applyAlignment="1">
      <alignment horizontal="center"/>
    </xf>
    <xf numFmtId="0" fontId="40" fillId="4" borderId="63" xfId="0" applyFont="1" applyFill="1" applyBorder="1" applyAlignment="1">
      <alignment horizontal="center"/>
    </xf>
    <xf numFmtId="0" fontId="42" fillId="0" borderId="14" xfId="0" applyFont="1" applyBorder="1" applyAlignment="1">
      <alignment horizontal="center" vertical="center" wrapText="1"/>
    </xf>
    <xf numFmtId="0" fontId="42" fillId="0" borderId="64" xfId="0" applyFont="1" applyBorder="1" applyAlignment="1">
      <alignment horizontal="center" vertical="center" wrapText="1"/>
    </xf>
    <xf numFmtId="0" fontId="40" fillId="4" borderId="94" xfId="0" applyFont="1" applyFill="1" applyBorder="1" applyAlignment="1">
      <alignment horizontal="center" vertical="center"/>
    </xf>
    <xf numFmtId="0" fontId="40" fillId="4" borderId="95" xfId="0" applyFont="1" applyFill="1" applyBorder="1" applyAlignment="1">
      <alignment horizontal="center" vertical="center"/>
    </xf>
    <xf numFmtId="0" fontId="40" fillId="4" borderId="96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46" fillId="4" borderId="0" xfId="0" applyFont="1" applyFill="1" applyAlignment="1">
      <alignment horizontal="center"/>
    </xf>
    <xf numFmtId="17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5" fillId="0" borderId="3" xfId="33" applyFont="1" applyBorder="1" applyAlignment="1">
      <alignment horizontal="center" vertical="center" wrapText="1"/>
    </xf>
    <xf numFmtId="0" fontId="65" fillId="0" borderId="4" xfId="33" applyFont="1" applyBorder="1" applyAlignment="1">
      <alignment horizontal="center" vertical="center" wrapText="1"/>
    </xf>
    <xf numFmtId="0" fontId="65" fillId="0" borderId="2" xfId="33" applyFont="1" applyBorder="1" applyAlignment="1">
      <alignment horizontal="center" vertical="center" wrapText="1"/>
    </xf>
    <xf numFmtId="0" fontId="65" fillId="0" borderId="3" xfId="33" applyFont="1" applyBorder="1" applyAlignment="1">
      <alignment horizontal="left" vertical="center"/>
    </xf>
    <xf numFmtId="0" fontId="65" fillId="0" borderId="4" xfId="33" applyFont="1" applyBorder="1" applyAlignment="1">
      <alignment horizontal="left" vertical="center"/>
    </xf>
    <xf numFmtId="0" fontId="65" fillId="0" borderId="2" xfId="33" applyFont="1" applyBorder="1" applyAlignment="1">
      <alignment horizontal="left" vertical="center"/>
    </xf>
    <xf numFmtId="0" fontId="46" fillId="4" borderId="0" xfId="33" applyFont="1" applyFill="1" applyAlignment="1">
      <alignment horizontal="center"/>
    </xf>
    <xf numFmtId="0" fontId="16" fillId="0" borderId="90" xfId="33" applyFont="1" applyBorder="1" applyAlignment="1">
      <alignment horizontal="center" vertical="center" wrapText="1"/>
    </xf>
    <xf numFmtId="0" fontId="65" fillId="0" borderId="3" xfId="33" applyFont="1" applyBorder="1" applyAlignment="1">
      <alignment horizontal="center" vertical="center"/>
    </xf>
    <xf numFmtId="0" fontId="65" fillId="0" borderId="4" xfId="33" applyFont="1" applyBorder="1" applyAlignment="1">
      <alignment horizontal="center" vertical="center"/>
    </xf>
    <xf numFmtId="0" fontId="65" fillId="0" borderId="2" xfId="33" applyFont="1" applyBorder="1" applyAlignment="1">
      <alignment horizontal="center" vertical="center"/>
    </xf>
    <xf numFmtId="0" fontId="65" fillId="0" borderId="90" xfId="33" applyFont="1" applyBorder="1" applyAlignment="1">
      <alignment horizontal="left" vertical="center" wrapText="1"/>
    </xf>
    <xf numFmtId="0" fontId="64" fillId="0" borderId="0" xfId="24" applyFont="1" applyAlignment="1">
      <alignment horizontal="center"/>
    </xf>
  </cellXfs>
  <cellStyles count="39">
    <cellStyle name="blp_title_header_row_left" xfId="1" xr:uid="{00000000-0005-0000-0000-000000000000}"/>
    <cellStyle name="Comma" xfId="37" builtinId="3"/>
    <cellStyle name="fa_column_header_bottom_left 2" xfId="2" xr:uid="{00000000-0005-0000-0000-000002000000}"/>
    <cellStyle name="fa_column_header_top 2" xfId="3" xr:uid="{00000000-0005-0000-0000-000003000000}"/>
    <cellStyle name="fa_column_header_top_left 2" xfId="4" xr:uid="{00000000-0005-0000-0000-000004000000}"/>
    <cellStyle name="fa_data_bold_0_grouped" xfId="5" xr:uid="{00000000-0005-0000-0000-000005000000}"/>
    <cellStyle name="fa_data_standard_1_grouped" xfId="6" xr:uid="{00000000-0005-0000-0000-000006000000}"/>
    <cellStyle name="fa_data_standard_2_grouped" xfId="7" xr:uid="{00000000-0005-0000-0000-000007000000}"/>
    <cellStyle name="fa_row_header_bold 2" xfId="8" xr:uid="{00000000-0005-0000-0000-000008000000}"/>
    <cellStyle name="fa_row_header_standard 2" xfId="9" xr:uid="{00000000-0005-0000-0000-000009000000}"/>
    <cellStyle name="Hyperlink" xfId="10" builtinId="8"/>
    <cellStyle name="Millares 2" xfId="29" xr:uid="{00000000-0005-0000-0000-00000B000000}"/>
    <cellStyle name="Moneda 2" xfId="11" xr:uid="{00000000-0005-0000-0000-00000C000000}"/>
    <cellStyle name="Moneda 2 2" xfId="12" xr:uid="{00000000-0005-0000-0000-00000D000000}"/>
    <cellStyle name="Moneda 2 2 2" xfId="22" xr:uid="{00000000-0005-0000-0000-00000E000000}"/>
    <cellStyle name="Moneda 2 3" xfId="21" xr:uid="{00000000-0005-0000-0000-00000F000000}"/>
    <cellStyle name="Moneda 3" xfId="30" xr:uid="{00000000-0005-0000-0000-000010000000}"/>
    <cellStyle name="Normal" xfId="0" builtinId="0"/>
    <cellStyle name="Normal 2" xfId="13" xr:uid="{00000000-0005-0000-0000-000012000000}"/>
    <cellStyle name="Normal 2 2" xfId="14" xr:uid="{00000000-0005-0000-0000-000013000000}"/>
    <cellStyle name="Normal 2 2 2" xfId="24" xr:uid="{00000000-0005-0000-0000-000014000000}"/>
    <cellStyle name="Normal 2 3" xfId="19" xr:uid="{00000000-0005-0000-0000-000015000000}"/>
    <cellStyle name="Normal 2 3 2" xfId="28" xr:uid="{00000000-0005-0000-0000-000016000000}"/>
    <cellStyle name="Normal 2 4" xfId="23" xr:uid="{00000000-0005-0000-0000-000017000000}"/>
    <cellStyle name="Normal 2 4 2" xfId="31" xr:uid="{00000000-0005-0000-0000-000018000000}"/>
    <cellStyle name="Normal 3" xfId="38" xr:uid="{00000000-0005-0000-0000-000019000000}"/>
    <cellStyle name="Normal 3 2" xfId="20" xr:uid="{00000000-0005-0000-0000-00001A000000}"/>
    <cellStyle name="Normal 3 3" xfId="32" xr:uid="{00000000-0005-0000-0000-00001B000000}"/>
    <cellStyle name="Normal 3 3 2" xfId="33" xr:uid="{00000000-0005-0000-0000-00001C000000}"/>
    <cellStyle name="Normal 5" xfId="34" xr:uid="{00000000-0005-0000-0000-00001D000000}"/>
    <cellStyle name="Per cent" xfId="15" builtinId="5"/>
    <cellStyle name="Porcentaje 2" xfId="16" xr:uid="{00000000-0005-0000-0000-00001F000000}"/>
    <cellStyle name="Porcentaje 2 2" xfId="17" xr:uid="{00000000-0005-0000-0000-000020000000}"/>
    <cellStyle name="Porcentaje 2 2 2" xfId="26" xr:uid="{00000000-0005-0000-0000-000021000000}"/>
    <cellStyle name="Porcentaje 2 3" xfId="25" xr:uid="{00000000-0005-0000-0000-000022000000}"/>
    <cellStyle name="Porcentaje 3" xfId="18" xr:uid="{00000000-0005-0000-0000-000023000000}"/>
    <cellStyle name="Porcentaje 3 2" xfId="27" xr:uid="{00000000-0005-0000-0000-000024000000}"/>
    <cellStyle name="Porcentaje 4 2" xfId="36" xr:uid="{00000000-0005-0000-0000-000025000000}"/>
    <cellStyle name="Porcentaje 5" xfId="35" xr:uid="{00000000-0005-0000-0000-000026000000}"/>
  </cellStyles>
  <dxfs count="1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3399"/>
      <color rgb="FFE838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22/10/relationships/richValueRel" Target="richData/richValueRel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D6-40DE-82A1-0FA536C64509}"/>
              </c:ext>
            </c:extLst>
          </c:dPt>
          <c:dPt>
            <c:idx val="3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D6-40DE-82A1-0FA536C64509}"/>
              </c:ext>
            </c:extLst>
          </c:dPt>
          <c:dPt>
            <c:idx val="4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D6-40DE-82A1-0FA536C64509}"/>
              </c:ext>
            </c:extLst>
          </c:dPt>
          <c:cat>
            <c:strRef>
              <c:f>DCF!$B$35:$F$35</c:f>
              <c:strCache>
                <c:ptCount val="5"/>
                <c:pt idx="0">
                  <c:v>2019 (Real)</c:v>
                </c:pt>
                <c:pt idx="1">
                  <c:v>2020 (Real)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DCF!$B$37:$F$37</c:f>
              <c:numCache>
                <c:formatCode>"$"#,##0</c:formatCode>
                <c:ptCount val="5"/>
                <c:pt idx="0">
                  <c:v>1906.7</c:v>
                </c:pt>
                <c:pt idx="1">
                  <c:v>2065.6</c:v>
                </c:pt>
                <c:pt idx="2">
                  <c:v>2574.0450000000001</c:v>
                </c:pt>
                <c:pt idx="3">
                  <c:v>2661.5625300000002</c:v>
                </c:pt>
                <c:pt idx="4">
                  <c:v>2914.4109703500003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D6-40DE-82A1-0FA536C64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295536"/>
        <c:axId val="469723232"/>
      </c:lineChart>
      <c:catAx>
        <c:axId val="46829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PT"/>
          </a:p>
        </c:txPr>
        <c:crossAx val="469723232"/>
        <c:crosses val="autoZero"/>
        <c:auto val="0"/>
        <c:lblAlgn val="ctr"/>
        <c:lblOffset val="100"/>
        <c:noMultiLvlLbl val="0"/>
      </c:catAx>
      <c:valAx>
        <c:axId val="469723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PT"/>
          </a:p>
        </c:txPr>
        <c:crossAx val="4682955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52-4BF1-A341-E431ACE2ED99}"/>
              </c:ext>
            </c:extLst>
          </c:dPt>
          <c:dPt>
            <c:idx val="3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52-4BF1-A341-E431ACE2ED99}"/>
              </c:ext>
            </c:extLst>
          </c:dPt>
          <c:dPt>
            <c:idx val="4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52-4BF1-A341-E431ACE2ED99}"/>
              </c:ext>
            </c:extLst>
          </c:dPt>
          <c:cat>
            <c:strRef>
              <c:f>DCF!$B$35:$F$35</c:f>
              <c:strCache>
                <c:ptCount val="5"/>
                <c:pt idx="0">
                  <c:v>2019 (Real)</c:v>
                </c:pt>
                <c:pt idx="1">
                  <c:v>2020 (Real)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DCF!$B$38:$F$38</c:f>
              <c:numCache>
                <c:formatCode>0.0%</c:formatCode>
                <c:ptCount val="5"/>
                <c:pt idx="0">
                  <c:v>0.26920858026957567</c:v>
                </c:pt>
                <c:pt idx="1">
                  <c:v>0.28693841982958951</c:v>
                </c:pt>
                <c:pt idx="2">
                  <c:v>0.29593021537936248</c:v>
                </c:pt>
                <c:pt idx="3">
                  <c:v>0.28617540807249875</c:v>
                </c:pt>
                <c:pt idx="4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52-4BF1-A341-E431ACE2E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725472"/>
        <c:axId val="469726032"/>
      </c:lineChart>
      <c:catAx>
        <c:axId val="46972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PT"/>
          </a:p>
        </c:txPr>
        <c:crossAx val="469726032"/>
        <c:crosses val="autoZero"/>
        <c:auto val="1"/>
        <c:lblAlgn val="ctr"/>
        <c:lblOffset val="100"/>
        <c:noMultiLvlLbl val="0"/>
      </c:catAx>
      <c:valAx>
        <c:axId val="469726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PT"/>
          </a:p>
        </c:txPr>
        <c:crossAx val="4697254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92336380204484"/>
          <c:y val="3.5969349607330517E-2"/>
          <c:w val="0.84839388374040381"/>
          <c:h val="0.7760427785426625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90B-4B55-856C-0152686CCD41}"/>
              </c:ext>
            </c:extLst>
          </c:dPt>
          <c:dPt>
            <c:idx val="3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0B-4B55-856C-0152686CCD41}"/>
              </c:ext>
            </c:extLst>
          </c:dPt>
          <c:dPt>
            <c:idx val="4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90B-4B55-856C-0152686CCD41}"/>
              </c:ext>
            </c:extLst>
          </c:dPt>
          <c:cat>
            <c:strRef>
              <c:f>DCF!$B$35:$F$35</c:f>
              <c:strCache>
                <c:ptCount val="5"/>
                <c:pt idx="0">
                  <c:v>2019 (Real)</c:v>
                </c:pt>
                <c:pt idx="1">
                  <c:v>2020 (Real)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DCF!$B$47:$F$47</c:f>
              <c:numCache>
                <c:formatCode>"$"#,##0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10000</c:v>
                </c:pt>
                <c:pt idx="3">
                  <c:v>10408</c:v>
                </c:pt>
                <c:pt idx="4">
                  <c:v>11594.511999999999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0B-4B55-856C-0152686C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728272"/>
        <c:axId val="469728832"/>
      </c:lineChart>
      <c:catAx>
        <c:axId val="46972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PT"/>
          </a:p>
        </c:txPr>
        <c:crossAx val="469728832"/>
        <c:crosses val="autoZero"/>
        <c:auto val="0"/>
        <c:lblAlgn val="ctr"/>
        <c:lblOffset val="100"/>
        <c:noMultiLvlLbl val="0"/>
      </c:catAx>
      <c:valAx>
        <c:axId val="469728832"/>
        <c:scaling>
          <c:orientation val="minMax"/>
          <c:max val="2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PT"/>
          </a:p>
        </c:txPr>
        <c:crossAx val="4697282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BB-4662-B16E-6E91A3BCDBBD}"/>
              </c:ext>
            </c:extLst>
          </c:dPt>
          <c:dPt>
            <c:idx val="3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BB-4662-B16E-6E91A3BCDBBD}"/>
              </c:ext>
            </c:extLst>
          </c:dPt>
          <c:dPt>
            <c:idx val="4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BB-4662-B16E-6E91A3BCDBBD}"/>
              </c:ext>
            </c:extLst>
          </c:dPt>
          <c:cat>
            <c:strRef>
              <c:f>DCF!$B$35:$F$35</c:f>
              <c:strCache>
                <c:ptCount val="5"/>
                <c:pt idx="0">
                  <c:v>2019 (Real)</c:v>
                </c:pt>
                <c:pt idx="1">
                  <c:v>2020 (Real)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DCF!$B$46:$F$46</c:f>
              <c:numCache>
                <c:formatCode>"$"#,##0</c:formatCode>
                <c:ptCount val="5"/>
                <c:pt idx="0">
                  <c:v>58073</c:v>
                </c:pt>
                <c:pt idx="1">
                  <c:v>61045</c:v>
                </c:pt>
                <c:pt idx="2">
                  <c:v>-2292.8583239155255</c:v>
                </c:pt>
                <c:pt idx="3">
                  <c:v>-2366.1001704247542</c:v>
                </c:pt>
                <c:pt idx="4">
                  <c:v>-2528.9198257405951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BB-4662-B16E-6E91A3BCD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143824"/>
        <c:axId val="471144384"/>
      </c:lineChart>
      <c:catAx>
        <c:axId val="47114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PT"/>
          </a:p>
        </c:txPr>
        <c:crossAx val="471144384"/>
        <c:crosses val="autoZero"/>
        <c:auto val="1"/>
        <c:lblAlgn val="ctr"/>
        <c:lblOffset val="100"/>
        <c:noMultiLvlLbl val="0"/>
      </c:catAx>
      <c:valAx>
        <c:axId val="471144384"/>
        <c:scaling>
          <c:orientation val="minMax"/>
          <c:min val="-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PT"/>
          </a:p>
        </c:txPr>
        <c:crossAx val="4711438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PT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14</xdr:col>
      <xdr:colOff>304800</xdr:colOff>
      <xdr:row>3</xdr:row>
      <xdr:rowOff>304800</xdr:rowOff>
    </xdr:to>
    <xdr:sp macro="" textlink="">
      <xdr:nvSpPr>
        <xdr:cNvPr id="2096" name="AutoShape 48" descr="Resultado de imagen para heidelbergcement">
          <a:extLst>
            <a:ext uri="{FF2B5EF4-FFF2-40B4-BE49-F238E27FC236}">
              <a16:creationId xmlns:a16="http://schemas.microsoft.com/office/drawing/2014/main" id="{EBAF9DAF-18D3-4875-8FFF-AEB741FF11AC}"/>
            </a:ext>
          </a:extLst>
        </xdr:cNvPr>
        <xdr:cNvSpPr>
          <a:spLocks noChangeAspect="1" noChangeArrowheads="1"/>
        </xdr:cNvSpPr>
      </xdr:nvSpPr>
      <xdr:spPr bwMode="auto">
        <a:xfrm>
          <a:off x="15001875" y="8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304800</xdr:colOff>
      <xdr:row>3</xdr:row>
      <xdr:rowOff>304800</xdr:rowOff>
    </xdr:to>
    <xdr:sp macro="" textlink="">
      <xdr:nvSpPr>
        <xdr:cNvPr id="2097" name="AutoShape 49" descr="Resultado de imagen para heidelbergcement">
          <a:extLst>
            <a:ext uri="{FF2B5EF4-FFF2-40B4-BE49-F238E27FC236}">
              <a16:creationId xmlns:a16="http://schemas.microsoft.com/office/drawing/2014/main" id="{1AED6D21-AC79-48CB-9928-5DBD43CA26F1}"/>
            </a:ext>
          </a:extLst>
        </xdr:cNvPr>
        <xdr:cNvSpPr>
          <a:spLocks noChangeAspect="1" noChangeArrowheads="1"/>
        </xdr:cNvSpPr>
      </xdr:nvSpPr>
      <xdr:spPr bwMode="auto">
        <a:xfrm>
          <a:off x="15001875" y="8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38100</xdr:rowOff>
    </xdr:from>
    <xdr:to>
      <xdr:col>5</xdr:col>
      <xdr:colOff>695325</xdr:colOff>
      <xdr:row>21</xdr:row>
      <xdr:rowOff>161924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F9330C-25CE-45E1-BA4E-66296A4EDD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381" t="20576" r="25833" b="16526"/>
        <a:stretch/>
      </xdr:blipFill>
      <xdr:spPr>
        <a:xfrm>
          <a:off x="0" y="361950"/>
          <a:ext cx="4505325" cy="3200399"/>
        </a:xfrm>
        <a:prstGeom prst="rect">
          <a:avLst/>
        </a:prstGeom>
      </xdr:spPr>
    </xdr:pic>
    <xdr:clientData/>
  </xdr:twoCellAnchor>
  <xdr:twoCellAnchor editAs="oneCell">
    <xdr:from>
      <xdr:col>5</xdr:col>
      <xdr:colOff>742951</xdr:colOff>
      <xdr:row>2</xdr:row>
      <xdr:rowOff>19050</xdr:rowOff>
    </xdr:from>
    <xdr:to>
      <xdr:col>12</xdr:col>
      <xdr:colOff>590550</xdr:colOff>
      <xdr:row>26</xdr:row>
      <xdr:rowOff>17452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3DB5B5-D2AB-4357-9042-072F61CBB8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5436" t="14585" r="5186" b="6238"/>
        <a:stretch/>
      </xdr:blipFill>
      <xdr:spPr>
        <a:xfrm>
          <a:off x="4552951" y="342900"/>
          <a:ext cx="5181599" cy="3884602"/>
        </a:xfrm>
        <a:prstGeom prst="rect">
          <a:avLst/>
        </a:prstGeom>
      </xdr:spPr>
    </xdr:pic>
    <xdr:clientData/>
  </xdr:twoCellAnchor>
  <xdr:twoCellAnchor editAs="oneCell">
    <xdr:from>
      <xdr:col>12</xdr:col>
      <xdr:colOff>733424</xdr:colOff>
      <xdr:row>1</xdr:row>
      <xdr:rowOff>152399</xdr:rowOff>
    </xdr:from>
    <xdr:to>
      <xdr:col>19</xdr:col>
      <xdr:colOff>200025</xdr:colOff>
      <xdr:row>25</xdr:row>
      <xdr:rowOff>104774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F698728-CF09-4265-A947-5121BAAFCF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7645" t="21877" r="37108" b="5196"/>
        <a:stretch/>
      </xdr:blipFill>
      <xdr:spPr>
        <a:xfrm>
          <a:off x="9877424" y="314324"/>
          <a:ext cx="4800601" cy="3838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22</xdr:row>
      <xdr:rowOff>0</xdr:rowOff>
    </xdr:from>
    <xdr:to>
      <xdr:col>4</xdr:col>
      <xdr:colOff>304800</xdr:colOff>
      <xdr:row>23</xdr:row>
      <xdr:rowOff>142875</xdr:rowOff>
    </xdr:to>
    <xdr:sp macro="" textlink="">
      <xdr:nvSpPr>
        <xdr:cNvPr id="914922" name="AutoShape 232" descr="Resultado de imagen para beer consumption trend">
          <a:extLst>
            <a:ext uri="{FF2B5EF4-FFF2-40B4-BE49-F238E27FC236}">
              <a16:creationId xmlns:a16="http://schemas.microsoft.com/office/drawing/2014/main" id="{290ADD27-FE0C-4C99-AF77-3098E89BD849}"/>
            </a:ext>
          </a:extLst>
        </xdr:cNvPr>
        <xdr:cNvSpPr>
          <a:spLocks noChangeAspect="1" noChangeArrowheads="1"/>
        </xdr:cNvSpPr>
      </xdr:nvSpPr>
      <xdr:spPr bwMode="auto">
        <a:xfrm>
          <a:off x="7829550" y="12001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304800</xdr:colOff>
      <xdr:row>23</xdr:row>
      <xdr:rowOff>139065</xdr:rowOff>
    </xdr:to>
    <xdr:sp macro="" textlink="">
      <xdr:nvSpPr>
        <xdr:cNvPr id="914923" name="AutoShape 233" descr="Resultado de imagen para beer consumption trend">
          <a:extLst>
            <a:ext uri="{FF2B5EF4-FFF2-40B4-BE49-F238E27FC236}">
              <a16:creationId xmlns:a16="http://schemas.microsoft.com/office/drawing/2014/main" id="{76C615DC-9449-489C-838D-7501FF91B816}"/>
            </a:ext>
          </a:extLst>
        </xdr:cNvPr>
        <xdr:cNvSpPr>
          <a:spLocks noChangeAspect="1" noChangeArrowheads="1"/>
        </xdr:cNvSpPr>
      </xdr:nvSpPr>
      <xdr:spPr bwMode="auto">
        <a:xfrm>
          <a:off x="7067550" y="2181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35</xdr:row>
      <xdr:rowOff>0</xdr:rowOff>
    </xdr:from>
    <xdr:to>
      <xdr:col>7</xdr:col>
      <xdr:colOff>5072063</xdr:colOff>
      <xdr:row>61</xdr:row>
      <xdr:rowOff>106383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A04FAF-FEC6-EDBE-0172-4EAA3709C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3876" y="5905500"/>
          <a:ext cx="8858250" cy="4440259"/>
        </a:xfrm>
        <a:prstGeom prst="rect">
          <a:avLst/>
        </a:prstGeom>
      </xdr:spPr>
    </xdr:pic>
    <xdr:clientData/>
  </xdr:twoCellAnchor>
  <xdr:twoCellAnchor editAs="oneCell">
    <xdr:from>
      <xdr:col>7</xdr:col>
      <xdr:colOff>5343270</xdr:colOff>
      <xdr:row>37</xdr:row>
      <xdr:rowOff>19048</xdr:rowOff>
    </xdr:from>
    <xdr:to>
      <xdr:col>21</xdr:col>
      <xdr:colOff>144678</xdr:colOff>
      <xdr:row>46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75A3B9-0839-332D-69F5-6EE9A00F1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58570" y="6400800"/>
          <a:ext cx="13337060" cy="1543050"/>
        </a:xfrm>
        <a:prstGeom prst="rect">
          <a:avLst/>
        </a:prstGeom>
      </xdr:spPr>
    </xdr:pic>
    <xdr:clientData/>
  </xdr:twoCellAnchor>
  <xdr:twoCellAnchor editAs="oneCell">
    <xdr:from>
      <xdr:col>7</xdr:col>
      <xdr:colOff>5069760</xdr:colOff>
      <xdr:row>48</xdr:row>
      <xdr:rowOff>122901</xdr:rowOff>
    </xdr:from>
    <xdr:to>
      <xdr:col>11</xdr:col>
      <xdr:colOff>37115</xdr:colOff>
      <xdr:row>82</xdr:row>
      <xdr:rowOff>93338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C8CB59-EE16-5182-74AE-123B04653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81373" y="8027116"/>
          <a:ext cx="4638303" cy="5454993"/>
        </a:xfrm>
        <a:prstGeom prst="rect">
          <a:avLst/>
        </a:prstGeom>
      </xdr:spPr>
    </xdr:pic>
    <xdr:clientData/>
  </xdr:twoCellAnchor>
  <xdr:twoCellAnchor editAs="oneCell">
    <xdr:from>
      <xdr:col>1</xdr:col>
      <xdr:colOff>2081673</xdr:colOff>
      <xdr:row>35</xdr:row>
      <xdr:rowOff>23046</xdr:rowOff>
    </xdr:from>
    <xdr:to>
      <xdr:col>2</xdr:col>
      <xdr:colOff>293260</xdr:colOff>
      <xdr:row>85</xdr:row>
      <xdr:rowOff>61451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9414EF-2A1A-DEDA-DC55-C94505857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170" y="5830223"/>
          <a:ext cx="2459429" cy="810393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64</xdr:row>
      <xdr:rowOff>0</xdr:rowOff>
    </xdr:from>
    <xdr:to>
      <xdr:col>7</xdr:col>
      <xdr:colOff>2485464</xdr:colOff>
      <xdr:row>78</xdr:row>
      <xdr:rowOff>37498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B2E58D-2147-614E-8425-31B8F77E6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14860" y="10485182"/>
          <a:ext cx="4782217" cy="22958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161925</xdr:rowOff>
    </xdr:from>
    <xdr:to>
      <xdr:col>3</xdr:col>
      <xdr:colOff>438150</xdr:colOff>
      <xdr:row>14</xdr:row>
      <xdr:rowOff>95250</xdr:rowOff>
    </xdr:to>
    <xdr:graphicFrame macro="">
      <xdr:nvGraphicFramePr>
        <xdr:cNvPr id="69183" name="Gráfico 1">
          <a:extLst>
            <a:ext uri="{FF2B5EF4-FFF2-40B4-BE49-F238E27FC236}">
              <a16:creationId xmlns:a16="http://schemas.microsoft.com/office/drawing/2014/main" id="{77D8D2A6-31C8-436A-8BAC-BCB6DD15A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523875</xdr:colOff>
      <xdr:row>3</xdr:row>
      <xdr:rowOff>19050</xdr:rowOff>
    </xdr:from>
    <xdr:to>
      <xdr:col>9</xdr:col>
      <xdr:colOff>0</xdr:colOff>
      <xdr:row>14</xdr:row>
      <xdr:rowOff>85725</xdr:rowOff>
    </xdr:to>
    <xdr:graphicFrame macro="">
      <xdr:nvGraphicFramePr>
        <xdr:cNvPr id="69184" name="Gráfico 2">
          <a:extLst>
            <a:ext uri="{FF2B5EF4-FFF2-40B4-BE49-F238E27FC236}">
              <a16:creationId xmlns:a16="http://schemas.microsoft.com/office/drawing/2014/main" id="{9B781514-F142-49A5-BB8C-98E772FF4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16</xdr:row>
      <xdr:rowOff>28575</xdr:rowOff>
    </xdr:from>
    <xdr:to>
      <xdr:col>3</xdr:col>
      <xdr:colOff>457200</xdr:colOff>
      <xdr:row>27</xdr:row>
      <xdr:rowOff>123825</xdr:rowOff>
    </xdr:to>
    <xdr:graphicFrame macro="">
      <xdr:nvGraphicFramePr>
        <xdr:cNvPr id="69185" name="Gráfico 4">
          <a:extLst>
            <a:ext uri="{FF2B5EF4-FFF2-40B4-BE49-F238E27FC236}">
              <a16:creationId xmlns:a16="http://schemas.microsoft.com/office/drawing/2014/main" id="{F1BF886D-8D8C-489D-980F-D5383E1E7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542925</xdr:colOff>
      <xdr:row>16</xdr:row>
      <xdr:rowOff>38100</xdr:rowOff>
    </xdr:from>
    <xdr:to>
      <xdr:col>9</xdr:col>
      <xdr:colOff>19050</xdr:colOff>
      <xdr:row>27</xdr:row>
      <xdr:rowOff>104775</xdr:rowOff>
    </xdr:to>
    <xdr:graphicFrame macro="">
      <xdr:nvGraphicFramePr>
        <xdr:cNvPr id="69186" name="Gráfico 5">
          <a:extLst>
            <a:ext uri="{FF2B5EF4-FFF2-40B4-BE49-F238E27FC236}">
              <a16:creationId xmlns:a16="http://schemas.microsoft.com/office/drawing/2014/main" id="{AB6311A8-5D3E-4293-82B3-E0C5B246C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206792</xdr:colOff>
      <xdr:row>49</xdr:row>
      <xdr:rowOff>170032</xdr:rowOff>
    </xdr:from>
    <xdr:to>
      <xdr:col>26</xdr:col>
      <xdr:colOff>469982</xdr:colOff>
      <xdr:row>73</xdr:row>
      <xdr:rowOff>95106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EC4228-4392-B59F-4712-F75D1D88B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40312" y="9118519"/>
          <a:ext cx="6993355" cy="42865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stemas/AppData/Local/Temp/Bloomberg/data/XID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CapH"/>
      <sheetName val="PricesH"/>
      <sheetName val="ControlsH"/>
      <sheetName val="DataH"/>
      <sheetName val="Overview"/>
      <sheetName val="Peers"/>
      <sheetName val="Owners"/>
      <sheetName val="Help"/>
      <sheetName val="Indices"/>
      <sheetName val="Financials"/>
      <sheetName val="Ratings"/>
      <sheetName val="EST Brokers"/>
      <sheetName val="EST Detail"/>
      <sheetName val="VAL Graphs"/>
    </sheetNames>
    <sheetDataSet>
      <sheetData sheetId="0" refreshError="1"/>
      <sheetData sheetId="1" refreshError="1"/>
      <sheetData sheetId="2" refreshError="1">
        <row r="3">
          <cell r="B3" t="str">
            <v>SPX</v>
          </cell>
          <cell r="C3" t="e">
            <v>#REF!</v>
          </cell>
          <cell r="E3">
            <v>1</v>
          </cell>
          <cell r="F3">
            <v>1</v>
          </cell>
          <cell r="G3">
            <v>1</v>
          </cell>
          <cell r="H3">
            <v>1</v>
          </cell>
          <cell r="I3">
            <v>1</v>
          </cell>
        </row>
        <row r="4">
          <cell r="B4" t="e">
            <v>#REF!</v>
          </cell>
          <cell r="C4" t="e">
            <v>#REF!</v>
          </cell>
        </row>
        <row r="5">
          <cell r="B5" t="e">
            <v>#REF!</v>
          </cell>
          <cell r="C5" t="e">
            <v>#REF!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</row>
        <row r="6">
          <cell r="B6" t="str">
            <v>APPLE INC</v>
          </cell>
        </row>
        <row r="9">
          <cell r="B9" t="str">
            <v>USD</v>
          </cell>
        </row>
        <row r="13">
          <cell r="B13" t="str">
            <v>Equal Weight</v>
          </cell>
        </row>
        <row r="15">
          <cell r="B15" t="str">
            <v>AAPL US</v>
          </cell>
        </row>
        <row r="21">
          <cell r="B21" t="str">
            <v>Local</v>
          </cell>
        </row>
        <row r="22">
          <cell r="B22" t="str">
            <v>Euro</v>
          </cell>
        </row>
        <row r="23">
          <cell r="B23" t="str">
            <v>U.S. Dollar</v>
          </cell>
        </row>
        <row r="24">
          <cell r="B24" t="str">
            <v>British Pounds</v>
          </cell>
        </row>
        <row r="25">
          <cell r="B25" t="str">
            <v>Canadian Dollar</v>
          </cell>
        </row>
        <row r="26">
          <cell r="B26" t="str">
            <v>Japanese Yen</v>
          </cell>
        </row>
        <row r="27">
          <cell r="B27" t="str">
            <v>Afghanistan Afghani</v>
          </cell>
        </row>
        <row r="28">
          <cell r="B28" t="str">
            <v>Albanian Lek</v>
          </cell>
        </row>
        <row r="29">
          <cell r="B29" t="str">
            <v>Algerian Dinar</v>
          </cell>
        </row>
        <row r="30">
          <cell r="B30" t="str">
            <v>Angolan New Kwanza</v>
          </cell>
        </row>
        <row r="31">
          <cell r="B31" t="str">
            <v>Argentine Peso</v>
          </cell>
        </row>
        <row r="32">
          <cell r="B32" t="str">
            <v>Armenia Dram</v>
          </cell>
        </row>
        <row r="33">
          <cell r="B33" t="str">
            <v>Aruban Guilder</v>
          </cell>
        </row>
        <row r="34">
          <cell r="B34" t="str">
            <v>Australian Dollar</v>
          </cell>
          <cell r="G34" t="str">
            <v>2020-12-31</v>
          </cell>
        </row>
        <row r="35">
          <cell r="B35" t="str">
            <v>Austrian Schilling *</v>
          </cell>
          <cell r="F35" t="str">
            <v>Equal Weight</v>
          </cell>
        </row>
        <row r="36">
          <cell r="B36" t="str">
            <v>Azerbaijan Manat</v>
          </cell>
          <cell r="F36" t="str">
            <v>Market Cap Weight</v>
          </cell>
        </row>
        <row r="37">
          <cell r="B37" t="str">
            <v>Bahamas Dollar</v>
          </cell>
        </row>
        <row r="38">
          <cell r="B38" t="str">
            <v>Bahraini Dinar</v>
          </cell>
        </row>
        <row r="39">
          <cell r="B39" t="str">
            <v>Bangladesh Taka</v>
          </cell>
        </row>
        <row r="40">
          <cell r="B40" t="str">
            <v>Barbados Dollar</v>
          </cell>
        </row>
        <row r="41">
          <cell r="B41" t="str">
            <v>Belarus Rouble</v>
          </cell>
        </row>
        <row r="42">
          <cell r="B42" t="str">
            <v>Belgian Franc *</v>
          </cell>
        </row>
        <row r="43">
          <cell r="B43" t="str">
            <v>Belize Dollar</v>
          </cell>
        </row>
        <row r="44">
          <cell r="B44" t="str">
            <v>Bermuda Dollar</v>
          </cell>
        </row>
        <row r="45">
          <cell r="B45" t="str">
            <v>British Pence</v>
          </cell>
        </row>
        <row r="46">
          <cell r="B46" t="str">
            <v>Bhutan Ngultrum</v>
          </cell>
        </row>
        <row r="47">
          <cell r="B47" t="str">
            <v>Bolivian Boliviano</v>
          </cell>
        </row>
        <row r="48">
          <cell r="B48" t="str">
            <v>Botswana Pula</v>
          </cell>
        </row>
        <row r="49">
          <cell r="B49" t="str">
            <v>Brazilian Real</v>
          </cell>
        </row>
        <row r="50">
          <cell r="B50" t="str">
            <v>Brunei Dollar</v>
          </cell>
        </row>
        <row r="51">
          <cell r="B51" t="str">
            <v>Bulgarian Lev</v>
          </cell>
        </row>
        <row r="52">
          <cell r="B52" t="str">
            <v>Burundi Franc</v>
          </cell>
        </row>
        <row r="53">
          <cell r="B53" t="str">
            <v>C.F.A Franc</v>
          </cell>
        </row>
        <row r="54">
          <cell r="B54" t="str">
            <v>C.F.P Franc</v>
          </cell>
        </row>
        <row r="55">
          <cell r="B55" t="str">
            <v>Cambodian Riel</v>
          </cell>
        </row>
        <row r="56">
          <cell r="B56" t="str">
            <v>Cape Verde Is. Escudo</v>
          </cell>
        </row>
        <row r="57">
          <cell r="B57" t="str">
            <v>Cayman Islands Dollar</v>
          </cell>
        </row>
        <row r="58">
          <cell r="B58" t="str">
            <v>Chilean Peso</v>
          </cell>
        </row>
        <row r="59">
          <cell r="B59" t="str">
            <v>Chile U.F.</v>
          </cell>
        </row>
        <row r="60">
          <cell r="B60" t="str">
            <v>China Renminbi</v>
          </cell>
        </row>
        <row r="61">
          <cell r="B61" t="str">
            <v>Colombian Peso</v>
          </cell>
        </row>
        <row r="62">
          <cell r="B62" t="str">
            <v>Comoros Franc</v>
          </cell>
        </row>
        <row r="63">
          <cell r="B63" t="str">
            <v>Costa Rica Colon</v>
          </cell>
        </row>
        <row r="64">
          <cell r="B64" t="str">
            <v>Croation Kuna</v>
          </cell>
        </row>
        <row r="65">
          <cell r="B65" t="str">
            <v>Cuban Peso</v>
          </cell>
        </row>
        <row r="66">
          <cell r="B66" t="str">
            <v>Cyprus Pound</v>
          </cell>
        </row>
        <row r="67">
          <cell r="B67" t="str">
            <v>Czechoslovakia Koruna</v>
          </cell>
        </row>
        <row r="68">
          <cell r="B68" t="str">
            <v>Danish Krone</v>
          </cell>
        </row>
        <row r="69">
          <cell r="B69" t="str">
            <v>Djibouti Franc</v>
          </cell>
        </row>
        <row r="70">
          <cell r="B70" t="str">
            <v>Dominican Republic Peso</v>
          </cell>
        </row>
        <row r="71">
          <cell r="B71" t="str">
            <v>East Caribbean Dollar</v>
          </cell>
        </row>
        <row r="72">
          <cell r="B72" t="str">
            <v>East German Ostmark</v>
          </cell>
        </row>
        <row r="73">
          <cell r="B73" t="str">
            <v>Ecuador Sucre</v>
          </cell>
        </row>
        <row r="74">
          <cell r="B74" t="str">
            <v>Egyptian Pound</v>
          </cell>
        </row>
        <row r="75">
          <cell r="B75" t="str">
            <v>El Salvador Colon</v>
          </cell>
        </row>
        <row r="76">
          <cell r="B76" t="str">
            <v>Estonian Kroon</v>
          </cell>
        </row>
        <row r="77">
          <cell r="B77" t="str">
            <v>Ethiopian Birr</v>
          </cell>
        </row>
        <row r="78">
          <cell r="B78" t="str">
            <v>Falkland Island Pound</v>
          </cell>
        </row>
        <row r="79">
          <cell r="B79" t="str">
            <v>Fiji Dollar</v>
          </cell>
        </row>
        <row r="80">
          <cell r="B80" t="str">
            <v>Finnish Markka *</v>
          </cell>
        </row>
        <row r="81">
          <cell r="B81" t="str">
            <v>French Franc *</v>
          </cell>
        </row>
        <row r="82">
          <cell r="B82" t="str">
            <v>Gambia Dalasi</v>
          </cell>
        </row>
        <row r="83">
          <cell r="B83" t="str">
            <v>Georgian Coupon</v>
          </cell>
        </row>
        <row r="84">
          <cell r="B84" t="str">
            <v>German Deutschemark *</v>
          </cell>
        </row>
        <row r="85">
          <cell r="B85" t="str">
            <v>Ghana Cedi</v>
          </cell>
        </row>
        <row r="86">
          <cell r="B86" t="str">
            <v>Gibraltar Pound</v>
          </cell>
        </row>
        <row r="87">
          <cell r="B87" t="str">
            <v>Greek Drachma *</v>
          </cell>
        </row>
        <row r="88">
          <cell r="B88" t="str">
            <v>Guatemala Quentzal</v>
          </cell>
        </row>
        <row r="89">
          <cell r="B89" t="str">
            <v>Guinea Franc</v>
          </cell>
        </row>
        <row r="90">
          <cell r="B90" t="str">
            <v>Guinea-Bissau Peso</v>
          </cell>
        </row>
        <row r="91">
          <cell r="B91" t="str">
            <v>Guyana Dollar</v>
          </cell>
        </row>
        <row r="92">
          <cell r="B92" t="str">
            <v>Haiti Gourde</v>
          </cell>
        </row>
        <row r="93">
          <cell r="B93" t="str">
            <v>Honduras Lempira</v>
          </cell>
        </row>
        <row r="94">
          <cell r="B94" t="str">
            <v>Hong Kong Dollar</v>
          </cell>
        </row>
        <row r="95">
          <cell r="B95" t="str">
            <v>Hungarian Forint</v>
          </cell>
        </row>
        <row r="96">
          <cell r="B96" t="str">
            <v>Icelandic Krona</v>
          </cell>
        </row>
        <row r="97">
          <cell r="B97" t="str">
            <v>Indian Rupee</v>
          </cell>
        </row>
        <row r="98">
          <cell r="B98" t="str">
            <v>Indonesian Rupiah</v>
          </cell>
        </row>
        <row r="99">
          <cell r="B99" t="str">
            <v>Iran Rial</v>
          </cell>
        </row>
        <row r="100">
          <cell r="B100" t="str">
            <v>Iraqi Dinar</v>
          </cell>
        </row>
        <row r="101">
          <cell r="B101" t="str">
            <v>Irish Punt</v>
          </cell>
        </row>
        <row r="102">
          <cell r="B102" t="str">
            <v>Israeli Shekel</v>
          </cell>
        </row>
        <row r="103">
          <cell r="B103" t="str">
            <v>Italian Lire *</v>
          </cell>
        </row>
        <row r="104">
          <cell r="B104" t="str">
            <v>Jamaican Dollar</v>
          </cell>
        </row>
        <row r="105">
          <cell r="B105" t="str">
            <v>Jordanian Diner</v>
          </cell>
        </row>
        <row r="106">
          <cell r="B106" t="str">
            <v>Kazakhstan Tenge</v>
          </cell>
        </row>
        <row r="107">
          <cell r="B107" t="str">
            <v>Kenya Shilling</v>
          </cell>
        </row>
        <row r="108">
          <cell r="B108" t="str">
            <v>Kuwait Dinar</v>
          </cell>
        </row>
        <row r="109">
          <cell r="B109" t="str">
            <v>Kyrgystan Som</v>
          </cell>
        </row>
        <row r="110">
          <cell r="B110" t="str">
            <v>Laos New Kip</v>
          </cell>
        </row>
        <row r="111">
          <cell r="B111" t="str">
            <v>Latvian Lats</v>
          </cell>
        </row>
        <row r="112">
          <cell r="B112" t="str">
            <v>Lebanese Pound</v>
          </cell>
        </row>
        <row r="113">
          <cell r="B113" t="str">
            <v>Legacy National Currency</v>
          </cell>
        </row>
        <row r="114">
          <cell r="B114" t="str">
            <v>Lesotho Loit</v>
          </cell>
        </row>
        <row r="115">
          <cell r="B115" t="str">
            <v>Liberian Dollar</v>
          </cell>
        </row>
        <row r="116">
          <cell r="B116" t="str">
            <v>Libyan Dinar</v>
          </cell>
        </row>
        <row r="117">
          <cell r="B117" t="str">
            <v>Lithuanian Litas</v>
          </cell>
        </row>
        <row r="118">
          <cell r="B118" t="str">
            <v>Luxembourg Franc *</v>
          </cell>
        </row>
        <row r="119">
          <cell r="B119" t="str">
            <v>Macau Pataca</v>
          </cell>
        </row>
        <row r="120">
          <cell r="B120" t="str">
            <v>Macedonian Denar</v>
          </cell>
        </row>
        <row r="121">
          <cell r="B121" t="str">
            <v>Malagasy Franc</v>
          </cell>
        </row>
        <row r="122">
          <cell r="B122" t="str">
            <v>Malawi Kwacha</v>
          </cell>
        </row>
        <row r="123">
          <cell r="B123" t="str">
            <v>Malaysian Ringgit</v>
          </cell>
        </row>
        <row r="124">
          <cell r="B124" t="str">
            <v>Madive Island Rufiyaa</v>
          </cell>
        </row>
        <row r="125">
          <cell r="B125" t="str">
            <v>Maltese Lirea</v>
          </cell>
        </row>
        <row r="126">
          <cell r="B126" t="str">
            <v>Mauritania Ouguiya</v>
          </cell>
        </row>
        <row r="127">
          <cell r="B127" t="str">
            <v>Mauritan Rupee</v>
          </cell>
        </row>
        <row r="128">
          <cell r="B128" t="str">
            <v>Mexican Peso</v>
          </cell>
        </row>
        <row r="129">
          <cell r="B129" t="str">
            <v>Moldovan Leu</v>
          </cell>
        </row>
        <row r="130">
          <cell r="B130" t="str">
            <v>Mongolian Tugrik</v>
          </cell>
        </row>
        <row r="131">
          <cell r="B131" t="str">
            <v>Moroccan Dirham</v>
          </cell>
        </row>
        <row r="132">
          <cell r="B132" t="str">
            <v>Mozambique Metical</v>
          </cell>
        </row>
        <row r="133">
          <cell r="B133" t="str">
            <v>Myanmar (Burma) Kyat</v>
          </cell>
        </row>
        <row r="134">
          <cell r="B134" t="str">
            <v>Namibian Dollar</v>
          </cell>
        </row>
        <row r="135">
          <cell r="B135" t="str">
            <v>Nepalese Rupee</v>
          </cell>
        </row>
        <row r="136">
          <cell r="B136" t="str">
            <v>Netherlands Antilles Guilder</v>
          </cell>
        </row>
        <row r="137">
          <cell r="B137" t="str">
            <v>Netherlands Guilder *</v>
          </cell>
        </row>
        <row r="138">
          <cell r="B138" t="str">
            <v>New Zealand Dollar</v>
          </cell>
        </row>
        <row r="139">
          <cell r="B139" t="str">
            <v>Nicaragua Cordoba Oro</v>
          </cell>
        </row>
        <row r="140">
          <cell r="B140" t="str">
            <v>Nigerian Naira</v>
          </cell>
        </row>
        <row r="141">
          <cell r="B141" t="str">
            <v>North Korean Won</v>
          </cell>
        </row>
        <row r="142">
          <cell r="B142" t="str">
            <v>Norwegian Krone</v>
          </cell>
        </row>
        <row r="143">
          <cell r="B143" t="str">
            <v>Oman Rial</v>
          </cell>
        </row>
        <row r="144">
          <cell r="B144" t="str">
            <v>Pakistan Rupee</v>
          </cell>
        </row>
        <row r="145">
          <cell r="B145" t="str">
            <v>Panama Balboa</v>
          </cell>
        </row>
        <row r="146">
          <cell r="B146" t="str">
            <v>Papua and New Guinea Kina</v>
          </cell>
        </row>
        <row r="147">
          <cell r="B147" t="str">
            <v>Paraguay Guarani</v>
          </cell>
        </row>
        <row r="148">
          <cell r="B148" t="str">
            <v>Peruvian New Sol</v>
          </cell>
        </row>
        <row r="149">
          <cell r="B149" t="str">
            <v>Philippines Peso</v>
          </cell>
        </row>
        <row r="150">
          <cell r="B150" t="str">
            <v>Polish Zloty</v>
          </cell>
        </row>
        <row r="151">
          <cell r="B151" t="str">
            <v>Portuguese Escudo *</v>
          </cell>
        </row>
        <row r="152">
          <cell r="B152" t="str">
            <v>Qatari Rial</v>
          </cell>
        </row>
        <row r="153">
          <cell r="B153" t="str">
            <v>Romanian Leu</v>
          </cell>
        </row>
        <row r="154">
          <cell r="B154" t="str">
            <v>Russian Rouble</v>
          </cell>
        </row>
        <row r="155">
          <cell r="B155" t="str">
            <v>Rwanda Franc</v>
          </cell>
        </row>
        <row r="156">
          <cell r="B156" t="str">
            <v>Sao Tome &amp; Principe Dobra</v>
          </cell>
        </row>
        <row r="157">
          <cell r="B157" t="str">
            <v>Saudi Arabian Riyal</v>
          </cell>
        </row>
        <row r="158">
          <cell r="B158" t="str">
            <v>Seychelles Rupee</v>
          </cell>
        </row>
        <row r="159">
          <cell r="B159" t="str">
            <v>Sierra Leone Leone</v>
          </cell>
        </row>
        <row r="160">
          <cell r="B160" t="str">
            <v>Singapore Dollar</v>
          </cell>
        </row>
        <row r="161">
          <cell r="B161" t="str">
            <v>Slovakia Koruna</v>
          </cell>
        </row>
        <row r="162">
          <cell r="B162" t="str">
            <v>Slovenian Tolar</v>
          </cell>
        </row>
        <row r="163">
          <cell r="B163" t="str">
            <v>Solomon Island Dollar</v>
          </cell>
        </row>
        <row r="164">
          <cell r="B164" t="str">
            <v>Somali Shilling</v>
          </cell>
        </row>
        <row r="165">
          <cell r="B165" t="str">
            <v>South African Ran</v>
          </cell>
        </row>
        <row r="166">
          <cell r="B166" t="str">
            <v>South Korean Won</v>
          </cell>
        </row>
        <row r="167">
          <cell r="B167" t="str">
            <v>Spanish Peseta *</v>
          </cell>
        </row>
        <row r="168">
          <cell r="B168" t="str">
            <v>Sri Lanka Rupee</v>
          </cell>
        </row>
        <row r="169">
          <cell r="B169" t="str">
            <v>St. Helena Pound</v>
          </cell>
        </row>
        <row r="170">
          <cell r="B170" t="str">
            <v>Sudanese Pound</v>
          </cell>
        </row>
        <row r="171">
          <cell r="B171" t="str">
            <v>Surinam Guilder</v>
          </cell>
        </row>
        <row r="172">
          <cell r="B172" t="str">
            <v>Swaziland Lilangeni</v>
          </cell>
        </row>
        <row r="173">
          <cell r="B173" t="str">
            <v>Swedish Krona</v>
          </cell>
        </row>
        <row r="174">
          <cell r="B174" t="str">
            <v>Swiss Franc</v>
          </cell>
        </row>
        <row r="175">
          <cell r="B175" t="str">
            <v>Syrian Pound</v>
          </cell>
        </row>
        <row r="176">
          <cell r="B176" t="str">
            <v>Taiwan Dollar</v>
          </cell>
        </row>
        <row r="177">
          <cell r="B177" t="str">
            <v>Tajikistan Rouble</v>
          </cell>
        </row>
        <row r="178">
          <cell r="B178" t="str">
            <v>Tanzania Shilling</v>
          </cell>
        </row>
        <row r="179">
          <cell r="B179" t="str">
            <v>Thailand Baht</v>
          </cell>
        </row>
        <row r="180">
          <cell r="B180" t="str">
            <v>Tonga Pa'anga</v>
          </cell>
        </row>
        <row r="181">
          <cell r="B181" t="str">
            <v>Trinidad and Tobago Dollar</v>
          </cell>
        </row>
        <row r="182">
          <cell r="B182" t="str">
            <v>Tunisian Dinar</v>
          </cell>
        </row>
        <row r="183">
          <cell r="B183" t="str">
            <v>Old Turkish Lira</v>
          </cell>
        </row>
        <row r="184">
          <cell r="B184" t="str">
            <v>New Turkish Lira</v>
          </cell>
        </row>
        <row r="185">
          <cell r="B185" t="str">
            <v>Turkmenistan Manet</v>
          </cell>
        </row>
        <row r="186">
          <cell r="B186" t="str">
            <v>UAE Dirham</v>
          </cell>
        </row>
        <row r="187">
          <cell r="B187" t="str">
            <v>Uganda Shilling</v>
          </cell>
        </row>
        <row r="188">
          <cell r="B188" t="str">
            <v>Ukraine Karbovanets</v>
          </cell>
        </row>
        <row r="189">
          <cell r="B189" t="str">
            <v>Uruguay Peso</v>
          </cell>
        </row>
        <row r="190">
          <cell r="B190" t="str">
            <v>Uzbekistan Sum</v>
          </cell>
        </row>
        <row r="191">
          <cell r="B191" t="str">
            <v>Vanuatu Vatu</v>
          </cell>
        </row>
        <row r="192">
          <cell r="B192" t="str">
            <v>Venezualan Bolivar</v>
          </cell>
        </row>
        <row r="193">
          <cell r="B193" t="str">
            <v>Vietnam Dong</v>
          </cell>
        </row>
        <row r="194">
          <cell r="B194" t="str">
            <v>Western Somoa Tala</v>
          </cell>
        </row>
        <row r="195">
          <cell r="B195" t="str">
            <v>Yemeni Rial</v>
          </cell>
        </row>
        <row r="196">
          <cell r="B196" t="str">
            <v>Yugoslav New Dinar</v>
          </cell>
        </row>
        <row r="197">
          <cell r="B197" t="str">
            <v>Zaire Zaire</v>
          </cell>
        </row>
        <row r="198">
          <cell r="B198" t="str">
            <v>Zambian Kwacha</v>
          </cell>
        </row>
        <row r="199">
          <cell r="B199" t="str">
            <v>Zimbabwe Dollar</v>
          </cell>
        </row>
      </sheetData>
      <sheetData sheetId="3" refreshError="1"/>
      <sheetData sheetId="4" refreshError="1">
        <row r="8">
          <cell r="D8" t="str">
            <v>AAPL US</v>
          </cell>
        </row>
        <row r="11">
          <cell r="D11" t="str">
            <v>English</v>
          </cell>
        </row>
        <row r="13">
          <cell r="O13" t="str">
            <v>Consolidated</v>
          </cell>
          <cell r="U13" t="str">
            <v>-1FY</v>
          </cell>
        </row>
        <row r="16">
          <cell r="Q16">
            <v>213883</v>
          </cell>
          <cell r="W16">
            <v>116914</v>
          </cell>
        </row>
        <row r="19">
          <cell r="E19">
            <v>125.6242980957031</v>
          </cell>
        </row>
        <row r="30">
          <cell r="D30" t="str">
            <v>Fiscal Year</v>
          </cell>
        </row>
      </sheetData>
      <sheetData sheetId="5" refreshError="1">
        <row r="11">
          <cell r="S11">
            <v>2017</v>
          </cell>
        </row>
        <row r="18">
          <cell r="C18" t="str">
            <v>005930 KS</v>
          </cell>
        </row>
        <row r="19">
          <cell r="C19" t="str">
            <v>2498 TT</v>
          </cell>
        </row>
      </sheetData>
      <sheetData sheetId="6" refreshError="1">
        <row r="24">
          <cell r="E24" t="str">
            <v>TOP 20 ALL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sario la Spina" id="{9C37CAB4-B819-4B00-8431-2C9B1087783D}" userId="S::Rosario@aln.iseg.ulisboa.pt::dcacb765-8901-4eb5-afea-17e638acc936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98DEA6-0125-4E81-AA61-628390823C70}" name="Table1" displayName="Table1" ref="C70:H78" totalsRowShown="0" headerRowDxfId="18" dataDxfId="17" headerRowCellStyle="Normal 3 3 2">
  <autoFilter ref="C70:H78" xr:uid="{D598DEA6-0125-4E81-AA61-628390823C70}"/>
  <tableColumns count="6">
    <tableColumn id="1" xr3:uid="{D9690D15-6BE0-4852-A257-15BBE75A5DE4}" name="calculations for ST ratios (4y)" dataDxfId="16" dataCellStyle="Normal 3 3 2"/>
    <tableColumn id="2" xr3:uid="{8FD8C4C1-7AE2-4AA3-8BCB-80FA6F005CB2}" name="2020" dataDxfId="15"/>
    <tableColumn id="3" xr3:uid="{DF0ED405-5E4C-4B02-A76E-B06779C331C2}" name="2021" dataDxfId="14"/>
    <tableColumn id="4" xr3:uid="{73264C05-38A9-4D29-A42F-5BE285A99389}" name="2022" dataDxfId="13"/>
    <tableColumn id="5" xr3:uid="{F2C548EF-CB18-4B5A-8715-DCC02C5D1F52}" name="2023" dataDxfId="12"/>
    <tableColumn id="6" xr3:uid="{7551995C-B3B3-4068-866E-8E945CD7F74E}" name="ST average" dataDxfId="11">
      <calculatedColumnFormula>AVERAGE(D71:G71)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BAE1D8-D798-40EE-B2E7-BB0F0D242A89}" name="Table2" displayName="Table2" ref="C80:N88" totalsRowShown="0" headerRowDxfId="10" dataDxfId="9" headerRowCellStyle="Normal 3 3 2" dataCellStyle="Normal 3 3 2">
  <autoFilter ref="C80:N88" xr:uid="{C2BAE1D8-D798-40EE-B2E7-BB0F0D242A89}"/>
  <tableColumns count="12">
    <tableColumn id="1" xr3:uid="{BB8B6A4D-3933-464B-BA19-9ADE10BC05CF}" name="calculations for LT ratios (10y)"/>
    <tableColumn id="2" xr3:uid="{F462B6FD-981E-4B71-B7FE-F072FAAB98B1}" name="2014" dataCellStyle="Normal 3 3 2"/>
    <tableColumn id="3" xr3:uid="{88E62DAC-67FE-4358-A33B-E48D6BCCA3D6}" name="2015" dataCellStyle="Normal 3 3 2"/>
    <tableColumn id="4" xr3:uid="{1630D5AA-CAF3-4AAD-97F5-0161E0ACF899}" name="2016" dataDxfId="8" dataCellStyle="Normal 3 3 2"/>
    <tableColumn id="5" xr3:uid="{7CE129AF-53FB-4E7B-8634-4C34316BA89B}" name="2017" dataDxfId="7" dataCellStyle="Normal 3 3 2"/>
    <tableColumn id="6" xr3:uid="{622CCAFD-E06D-44A9-BBA1-9DB531995C72}" name="2018" dataDxfId="6" dataCellStyle="Normal 3 3 2"/>
    <tableColumn id="7" xr3:uid="{4E8E2A48-B00D-4D94-A469-DE76FFD5B34A}" name="2019" dataDxfId="5" dataCellStyle="Normal 3 3 2"/>
    <tableColumn id="8" xr3:uid="{76A7D606-460E-42DD-931E-CEE372A07E0D}" name="2020" dataDxfId="4" dataCellStyle="Normal 3 3 2"/>
    <tableColumn id="9" xr3:uid="{54998D74-EC19-492C-AC45-0DE1DBC35DDE}" name="2021" dataDxfId="3" dataCellStyle="Normal 3 3 2"/>
    <tableColumn id="10" xr3:uid="{8267521C-91DD-4379-ABDA-C6C908566348}" name="2022" dataDxfId="2" dataCellStyle="Normal 3 3 2"/>
    <tableColumn id="11" xr3:uid="{3B75E181-070D-4B29-9EAD-7E4AB633C173}" name="2023" dataDxfId="1" dataCellStyle="Normal 3 3 2"/>
    <tableColumn id="12" xr3:uid="{8182B776-A1B8-47DE-AABE-CD3F2FFD5774}" name="LT average" dataDxfId="0" dataCellStyle="Normal 3 3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5-02-23T00:53:35.52" personId="{9C37CAB4-B819-4B00-8431-2C9B1087783D}" id="{1CA00E8C-8D55-4618-AAEC-56C1D03A6070}">
    <text xml:space="preserve">Net Sales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6" dT="2025-02-23T12:52:35.96" personId="{9C37CAB4-B819-4B00-8431-2C9B1087783D}" id="{9EE07E83-C2A3-42BC-818F-4436C4D45E7A}">
    <text>Values in mn</text>
  </threadedComment>
  <threadedComment ref="A18" dT="2025-02-23T12:47:52.60" personId="{9C37CAB4-B819-4B00-8431-2C9B1087783D}" id="{FE97EF2D-89A5-43F9-B98A-EEB7AF516D16}">
    <text xml:space="preserve">TTM
</text>
  </threadedComment>
  <threadedComment ref="A19" dT="2025-02-23T12:48:43.39" personId="{9C37CAB4-B819-4B00-8431-2C9B1087783D}" id="{DD69098E-B037-42C9-A3C2-A00EA0CBF61B}">
    <text xml:space="preserve">24FY
</text>
  </threadedComment>
  <threadedComment ref="A20" dT="2025-02-23T12:48:07.13" personId="{9C37CAB4-B819-4B00-8431-2C9B1087783D}" id="{E5F02BB5-40DB-4392-9DFB-4A4C906991C1}">
    <text>24FY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crumors.com/guide/covid-19-coronavirus/" TargetMode="External"/><Relationship Id="rId2" Type="http://schemas.openxmlformats.org/officeDocument/2006/relationships/hyperlink" Target="https://glg.it/articles/how-might-the-wuhan-coronavirus-impact-apples-supply-chain/" TargetMode="External"/><Relationship Id="rId1" Type="http://schemas.openxmlformats.org/officeDocument/2006/relationships/hyperlink" Target="https://www.apple.com/newsroom/2020/03/apples-covid-19-response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www.cnbc.com/2020/02/18/the-significance-of-apples-coronavirus-warning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VPN*@i%25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2060"/>
    <pageSetUpPr fitToPage="1"/>
  </sheetPr>
  <dimension ref="A1:BT58"/>
  <sheetViews>
    <sheetView showGridLines="0" tabSelected="1" topLeftCell="A17" zoomScale="85" zoomScaleNormal="85" workbookViewId="0">
      <selection activeCell="G26" sqref="G26"/>
    </sheetView>
  </sheetViews>
  <sheetFormatPr defaultColWidth="11.46484375" defaultRowHeight="12.75" x14ac:dyDescent="0.35"/>
  <cols>
    <col min="1" max="1" width="0.59765625" customWidth="1"/>
    <col min="2" max="2" width="19.06640625" customWidth="1"/>
    <col min="3" max="3" width="29.59765625" customWidth="1"/>
    <col min="4" max="4" width="23.33203125" customWidth="1"/>
    <col min="5" max="5" width="15.59765625" customWidth="1"/>
    <col min="6" max="6" width="13.59765625" customWidth="1"/>
    <col min="7" max="7" width="14.46484375" customWidth="1"/>
    <col min="8" max="8" width="20.46484375" customWidth="1"/>
    <col min="9" max="9" width="17.59765625" customWidth="1"/>
    <col min="10" max="10" width="24.46484375" customWidth="1"/>
    <col min="11" max="11" width="20.06640625" customWidth="1"/>
    <col min="12" max="12" width="16.33203125" bestFit="1" customWidth="1"/>
    <col min="13" max="13" width="1" customWidth="1"/>
    <col min="14" max="14" width="7.59765625" style="19" customWidth="1"/>
    <col min="15" max="15" width="15.46484375" style="143" bestFit="1" customWidth="1"/>
    <col min="16" max="16" width="11.46484375" style="19"/>
    <col min="21" max="30" width="11.46484375" style="11" customWidth="1"/>
  </cols>
  <sheetData>
    <row r="1" spans="2:17" ht="3.75" customHeight="1" thickBot="1" x14ac:dyDescent="0.4"/>
    <row r="2" spans="2:17" ht="31.5" customHeight="1" x14ac:dyDescent="0.35">
      <c r="B2" s="446" t="s">
        <v>444</v>
      </c>
      <c r="C2" s="100" t="s">
        <v>266</v>
      </c>
      <c r="D2" s="97" t="s">
        <v>445</v>
      </c>
      <c r="E2" s="589" t="s">
        <v>447</v>
      </c>
      <c r="F2" s="590"/>
      <c r="G2" s="590"/>
      <c r="H2" s="590"/>
      <c r="I2" s="590"/>
      <c r="J2" s="591"/>
      <c r="K2" s="96" t="s">
        <v>446</v>
      </c>
      <c r="L2" s="120" t="s">
        <v>174</v>
      </c>
    </row>
    <row r="3" spans="2:17" ht="33.75" customHeight="1" x14ac:dyDescent="0.35">
      <c r="B3" s="597" t="e" vm="1">
        <v>#VALUE!</v>
      </c>
      <c r="C3" s="598"/>
      <c r="D3" s="592" t="s">
        <v>421</v>
      </c>
      <c r="E3" s="599"/>
      <c r="F3" s="599"/>
      <c r="G3" s="599"/>
      <c r="H3" s="599"/>
      <c r="I3" s="599"/>
      <c r="J3" s="599"/>
      <c r="K3" s="599"/>
      <c r="L3" s="600"/>
      <c r="O3" s="19"/>
    </row>
    <row r="4" spans="2:17" ht="71" customHeight="1" x14ac:dyDescent="0.35">
      <c r="B4" s="597"/>
      <c r="C4" s="598"/>
      <c r="D4" s="592" t="s">
        <v>422</v>
      </c>
      <c r="E4" s="592"/>
      <c r="F4" s="592"/>
      <c r="G4" s="592"/>
      <c r="H4" s="592"/>
      <c r="I4" s="592"/>
      <c r="J4" s="592"/>
      <c r="K4" s="592"/>
      <c r="L4" s="593"/>
    </row>
    <row r="5" spans="2:17" ht="15.75" customHeight="1" x14ac:dyDescent="0.35">
      <c r="B5" s="594" t="s">
        <v>181</v>
      </c>
      <c r="C5" s="595"/>
      <c r="D5" s="592"/>
      <c r="E5" s="592"/>
      <c r="F5" s="592"/>
      <c r="G5" s="592"/>
      <c r="H5" s="592"/>
      <c r="I5" s="592"/>
      <c r="J5" s="592"/>
      <c r="K5" s="592"/>
      <c r="L5" s="593"/>
      <c r="N5" s="134"/>
    </row>
    <row r="6" spans="2:17" ht="13.15" x14ac:dyDescent="0.4">
      <c r="B6" s="603" t="s">
        <v>104</v>
      </c>
      <c r="C6" s="601"/>
      <c r="D6" s="601" t="s">
        <v>170</v>
      </c>
      <c r="E6" s="601"/>
      <c r="F6" s="601" t="str">
        <f>Segments!B2</f>
        <v>Regions (2023)</v>
      </c>
      <c r="G6" s="601"/>
      <c r="H6" s="601"/>
      <c r="I6" s="601" t="s">
        <v>538</v>
      </c>
      <c r="J6" s="601"/>
      <c r="K6" s="601" t="s">
        <v>113</v>
      </c>
      <c r="L6" s="602"/>
    </row>
    <row r="7" spans="2:17" ht="13.15" x14ac:dyDescent="0.4">
      <c r="B7" s="106" t="s">
        <v>35</v>
      </c>
      <c r="C7" s="492">
        <v>334</v>
      </c>
      <c r="D7" s="107" t="s">
        <v>150</v>
      </c>
      <c r="E7" s="98">
        <f>Cifras_en_Millones!B45</f>
        <v>8051.4309999999996</v>
      </c>
      <c r="F7" s="616"/>
      <c r="G7" s="617"/>
      <c r="H7" s="94" t="s">
        <v>183</v>
      </c>
      <c r="I7" s="102" t="s">
        <v>115</v>
      </c>
      <c r="J7" s="129" t="s">
        <v>539</v>
      </c>
      <c r="K7" s="102" t="s">
        <v>26</v>
      </c>
      <c r="L7" s="545">
        <f>(96.87+0.61)/100</f>
        <v>0.9748</v>
      </c>
      <c r="Q7" s="101"/>
    </row>
    <row r="8" spans="2:17" ht="12.75" customHeight="1" x14ac:dyDescent="0.35">
      <c r="B8" s="491" t="s">
        <v>28</v>
      </c>
      <c r="C8" s="544">
        <v>87.45</v>
      </c>
      <c r="D8" s="292" t="s">
        <v>151</v>
      </c>
      <c r="E8" s="98">
        <f>Cifras_en_Millones!B57</f>
        <v>1096</v>
      </c>
      <c r="F8" s="141" t="str">
        <f>Segments!B4</f>
        <v>US</v>
      </c>
      <c r="G8" s="142"/>
      <c r="H8" s="113" t="str">
        <f>+Segments!J4</f>
        <v>49%; NA; 18%</v>
      </c>
      <c r="I8" s="102"/>
      <c r="J8" s="101"/>
      <c r="K8" s="102" t="s">
        <v>2</v>
      </c>
      <c r="L8" s="132">
        <v>6.1000000000000004E-3</v>
      </c>
      <c r="M8" s="11"/>
      <c r="O8" s="118"/>
      <c r="Q8" s="101"/>
    </row>
    <row r="9" spans="2:17" ht="12.75" customHeight="1" x14ac:dyDescent="0.4">
      <c r="B9" s="106" t="s">
        <v>29</v>
      </c>
      <c r="C9" s="490">
        <f>C7*C8</f>
        <v>29208.3</v>
      </c>
      <c r="D9" s="102" t="s">
        <v>37</v>
      </c>
      <c r="E9" s="145">
        <f>1000000*C11/C8</f>
        <v>16543659.233847912</v>
      </c>
      <c r="F9" s="141" t="str">
        <f>Segments!B5</f>
        <v>Germany</v>
      </c>
      <c r="G9" s="142"/>
      <c r="H9" s="113" t="str">
        <f>+Segments!J5</f>
        <v>8%; NA; 5%</v>
      </c>
      <c r="I9" s="102" t="s">
        <v>3</v>
      </c>
      <c r="J9" s="98"/>
      <c r="K9" s="64" t="s">
        <v>271</v>
      </c>
      <c r="L9" s="153">
        <v>1.1200000000000001</v>
      </c>
      <c r="O9" s="118"/>
      <c r="Q9" s="101"/>
    </row>
    <row r="10" spans="2:17" ht="12.75" customHeight="1" x14ac:dyDescent="0.35">
      <c r="B10" s="108" t="s">
        <v>36</v>
      </c>
      <c r="C10" s="98">
        <f>Cifras_en_Millones!B60</f>
        <v>86.93</v>
      </c>
      <c r="D10" s="102" t="s">
        <v>62</v>
      </c>
      <c r="E10" s="130"/>
      <c r="F10" s="141" t="str">
        <f>Segments!B6</f>
        <v>Japan</v>
      </c>
      <c r="G10" s="142"/>
      <c r="H10" s="113" t="str">
        <f>+Segments!J6</f>
        <v>7%; NA; -9%</v>
      </c>
      <c r="I10" s="109" t="s">
        <v>4</v>
      </c>
      <c r="J10" s="98">
        <f>Cifras_en_Millones!B17</f>
        <v>142.672</v>
      </c>
      <c r="K10" s="102" t="s">
        <v>16</v>
      </c>
      <c r="L10" s="131"/>
      <c r="O10" s="118"/>
      <c r="Q10" s="101"/>
    </row>
    <row r="11" spans="2:17" ht="12.75" customHeight="1" x14ac:dyDescent="0.35">
      <c r="B11" s="108" t="s">
        <v>48</v>
      </c>
      <c r="C11" s="98">
        <f>Cifras_en_Millones!B40</f>
        <v>1446.7429999999999</v>
      </c>
      <c r="D11" s="102" t="s">
        <v>67</v>
      </c>
      <c r="E11" s="146">
        <f>Cifras_en_Millones!B60/Cifras_en_Millones!B19</f>
        <v>0.10063625544683749</v>
      </c>
      <c r="F11" s="141" t="str">
        <f>Segments!B7</f>
        <v>China and Hong Kong</v>
      </c>
      <c r="G11" s="142"/>
      <c r="H11" s="113" t="str">
        <f>+Segments!J7</f>
        <v>5%; NA; 14%</v>
      </c>
      <c r="I11" s="109" t="s">
        <v>5</v>
      </c>
      <c r="J11" s="98">
        <f>J9+J10</f>
        <v>142.672</v>
      </c>
      <c r="K11" s="102" t="s">
        <v>7</v>
      </c>
      <c r="L11" s="154">
        <f>((C7*C8)/1000000)/(E7-E8)</f>
        <v>4.1993515570782026E-6</v>
      </c>
      <c r="Q11" s="101"/>
    </row>
    <row r="12" spans="2:17" ht="12.75" customHeight="1" x14ac:dyDescent="0.35">
      <c r="B12" s="108" t="s">
        <v>47</v>
      </c>
      <c r="C12" s="98">
        <f>C9+C10-C11</f>
        <v>27848.487000000001</v>
      </c>
      <c r="D12" s="102" t="s">
        <v>50</v>
      </c>
      <c r="E12" s="103">
        <f>Cifras_en_Millones!B44/Cifras_en_Millones!B45</f>
        <v>0.68213861610439175</v>
      </c>
      <c r="F12" s="141" t="str">
        <f>Segments!B8</f>
        <v>South Korea</v>
      </c>
      <c r="G12" s="142"/>
      <c r="H12" s="113" t="str">
        <f>+Segments!J8</f>
        <v>4%; NA; 6%</v>
      </c>
      <c r="I12" s="102" t="s">
        <v>41</v>
      </c>
      <c r="J12" s="110">
        <f>Cifras_en_Millones!B23</f>
        <v>575.69200000000001</v>
      </c>
      <c r="K12" s="102" t="s">
        <v>46</v>
      </c>
      <c r="L12" s="161">
        <f>J18/E7</f>
        <v>0</v>
      </c>
      <c r="Q12" s="101"/>
    </row>
    <row r="13" spans="2:17" ht="12.75" customHeight="1" x14ac:dyDescent="0.4">
      <c r="B13" s="108" t="s">
        <v>163</v>
      </c>
      <c r="C13" s="430"/>
      <c r="D13" s="102" t="s">
        <v>6</v>
      </c>
      <c r="E13" s="99">
        <f>C10/E7</f>
        <v>1.0796838475048722E-2</v>
      </c>
      <c r="F13" s="601" t="s">
        <v>540</v>
      </c>
      <c r="G13" s="601"/>
      <c r="H13" s="601"/>
      <c r="I13" s="102" t="s">
        <v>42</v>
      </c>
      <c r="J13" s="104">
        <f>1000000*J12/C8</f>
        <v>6583098.913664951</v>
      </c>
      <c r="K13" s="102" t="s">
        <v>24</v>
      </c>
      <c r="L13" s="155">
        <f>C9/J17</f>
        <v>54.772682948783341</v>
      </c>
      <c r="N13" s="19">
        <f>C10/J11</f>
        <v>0.60929965234944494</v>
      </c>
      <c r="Q13" s="101"/>
    </row>
    <row r="14" spans="2:17" ht="12.75" customHeight="1" x14ac:dyDescent="0.35">
      <c r="B14" s="106" t="s">
        <v>140</v>
      </c>
      <c r="C14" s="128"/>
      <c r="D14" s="102" t="s">
        <v>55</v>
      </c>
      <c r="E14" s="148">
        <f>Cifras_en_Millones!B12</f>
        <v>0.28223270440251574</v>
      </c>
      <c r="G14" s="142" t="s">
        <v>533</v>
      </c>
      <c r="H14" s="546" t="s">
        <v>533</v>
      </c>
      <c r="I14" s="102" t="s">
        <v>56</v>
      </c>
      <c r="J14" s="151">
        <f>J12/E7</f>
        <v>7.1501823713076604E-2</v>
      </c>
      <c r="K14" s="102" t="s">
        <v>49</v>
      </c>
      <c r="L14" s="156">
        <f>C12/E7</f>
        <v>3.4588245244851508</v>
      </c>
      <c r="Q14" s="101"/>
    </row>
    <row r="15" spans="2:17" ht="12.75" customHeight="1" x14ac:dyDescent="0.35">
      <c r="B15" s="106" t="s">
        <v>137</v>
      </c>
      <c r="C15" s="431">
        <v>1.9E-2</v>
      </c>
      <c r="D15" s="102" t="s">
        <v>38</v>
      </c>
      <c r="E15" s="147">
        <f>Cifras_en_Millones!B24</f>
        <v>0.22629402515723271</v>
      </c>
      <c r="F15" s="141"/>
      <c r="G15" s="142" t="s">
        <v>533</v>
      </c>
      <c r="H15" s="301" t="s">
        <v>533</v>
      </c>
      <c r="I15" s="102" t="s">
        <v>129</v>
      </c>
      <c r="J15" s="151">
        <f>J12/(E7-(E8-C10))</f>
        <v>8.1747016377036061E-2</v>
      </c>
      <c r="K15" s="102" t="s">
        <v>51</v>
      </c>
      <c r="L15" s="157">
        <f>C12/J16</f>
        <v>35.088332904942625</v>
      </c>
      <c r="Q15" s="101"/>
    </row>
    <row r="16" spans="2:17" ht="12.75" customHeight="1" x14ac:dyDescent="0.4">
      <c r="B16" s="603" t="s">
        <v>128</v>
      </c>
      <c r="C16" s="607"/>
      <c r="D16" s="102" t="s">
        <v>39</v>
      </c>
      <c r="E16" s="99">
        <f>Cifras_en_Millones!B19/Cifras_en_Millones!B5</f>
        <v>0.33954559748427671</v>
      </c>
      <c r="F16" s="141"/>
      <c r="G16" s="142"/>
      <c r="H16" s="301"/>
      <c r="I16" s="102" t="s">
        <v>58</v>
      </c>
      <c r="J16" s="105">
        <f>AVERAGE(Cifras_en_Millones!B19:D19)</f>
        <v>793.66800000000001</v>
      </c>
      <c r="K16" s="102" t="s">
        <v>25</v>
      </c>
      <c r="L16" s="155" t="e">
        <f>C9/J18</f>
        <v>#DIV/0!</v>
      </c>
      <c r="N16" s="114"/>
      <c r="Q16" s="101"/>
    </row>
    <row r="17" spans="1:72" ht="12.75" customHeight="1" x14ac:dyDescent="0.4">
      <c r="B17" s="547" t="s">
        <v>125</v>
      </c>
      <c r="C17" s="549"/>
      <c r="D17" s="548" t="s">
        <v>59</v>
      </c>
      <c r="E17" s="99"/>
      <c r="F17" s="141"/>
      <c r="G17" s="142"/>
      <c r="H17" s="301"/>
      <c r="I17" s="102" t="s">
        <v>40</v>
      </c>
      <c r="J17" s="98">
        <f>AVERAGE(Cifras_en_Millones!B23:D23)</f>
        <v>533.26400000000001</v>
      </c>
      <c r="K17" s="102" t="s">
        <v>369</v>
      </c>
      <c r="L17" s="140" t="s">
        <v>368</v>
      </c>
      <c r="N17" s="19">
        <v>12</v>
      </c>
      <c r="Q17" s="101"/>
    </row>
    <row r="18" spans="1:72" ht="12.75" customHeight="1" x14ac:dyDescent="0.4">
      <c r="B18" s="69" t="s">
        <v>126</v>
      </c>
      <c r="C18" s="449"/>
      <c r="D18" s="102"/>
      <c r="E18" s="148"/>
      <c r="F18" s="141"/>
      <c r="G18" s="150"/>
      <c r="H18" s="301"/>
      <c r="I18" s="102" t="s">
        <v>121</v>
      </c>
      <c r="J18" s="98">
        <f>SUM(F35:F37)/3</f>
        <v>0</v>
      </c>
      <c r="K18" s="102" t="s">
        <v>52</v>
      </c>
      <c r="L18" s="191">
        <f>SUM(E35:E37)/(3*C9)</f>
        <v>0</v>
      </c>
      <c r="Q18" s="101"/>
    </row>
    <row r="19" spans="1:72" ht="12.75" customHeight="1" x14ac:dyDescent="0.4">
      <c r="B19" s="69" t="s">
        <v>127</v>
      </c>
      <c r="C19" s="542"/>
      <c r="D19" s="263" t="s">
        <v>268</v>
      </c>
      <c r="E19" s="3"/>
      <c r="F19" s="141"/>
      <c r="G19" s="150"/>
      <c r="H19" s="301"/>
      <c r="I19" s="102" t="s">
        <v>176</v>
      </c>
      <c r="J19" s="103">
        <v>0.16</v>
      </c>
      <c r="K19" s="102" t="s">
        <v>65</v>
      </c>
      <c r="L19" s="191">
        <f>K33/C9</f>
        <v>0</v>
      </c>
      <c r="Q19" s="101"/>
      <c r="R19" s="19"/>
    </row>
    <row r="20" spans="1:72" ht="13.9" x14ac:dyDescent="0.4">
      <c r="B20" s="85" t="s">
        <v>45</v>
      </c>
      <c r="C20" s="86"/>
      <c r="D20" s="86"/>
      <c r="E20" s="86"/>
      <c r="F20" s="86"/>
      <c r="G20" s="86"/>
      <c r="H20" s="87" t="s">
        <v>154</v>
      </c>
      <c r="I20" s="583" t="s">
        <v>60</v>
      </c>
      <c r="J20" s="583"/>
      <c r="K20" s="583"/>
      <c r="L20" s="70" t="s">
        <v>61</v>
      </c>
      <c r="M20" s="18"/>
      <c r="N20" s="115"/>
      <c r="O20" s="144"/>
      <c r="P20" s="116"/>
      <c r="Q20" s="18"/>
      <c r="R20" s="18"/>
    </row>
    <row r="21" spans="1:72" ht="35.25" customHeight="1" x14ac:dyDescent="0.35">
      <c r="A21" s="101"/>
      <c r="B21" s="608" t="s">
        <v>428</v>
      </c>
      <c r="C21" s="609"/>
      <c r="D21" s="609"/>
      <c r="E21" s="609"/>
      <c r="F21" s="609"/>
      <c r="G21" s="610"/>
      <c r="H21" s="614" t="s">
        <v>159</v>
      </c>
      <c r="I21" s="620" t="s">
        <v>173</v>
      </c>
      <c r="J21" s="621"/>
      <c r="K21" s="622"/>
      <c r="L21" s="636">
        <f>DCFF!D66</f>
        <v>379.47842780711284</v>
      </c>
      <c r="M21" s="18"/>
      <c r="N21" s="116"/>
      <c r="O21" s="144"/>
      <c r="P21" s="116"/>
      <c r="Q21" s="18"/>
      <c r="R21" s="18"/>
    </row>
    <row r="22" spans="1:72" ht="35.25" customHeight="1" x14ac:dyDescent="0.35">
      <c r="B22" s="611"/>
      <c r="C22" s="612"/>
      <c r="D22" s="612"/>
      <c r="E22" s="612"/>
      <c r="F22" s="612"/>
      <c r="G22" s="613"/>
      <c r="H22" s="615"/>
      <c r="I22" s="623"/>
      <c r="J22" s="624"/>
      <c r="K22" s="625"/>
      <c r="L22" s="636"/>
      <c r="M22" s="18"/>
      <c r="N22" s="116"/>
      <c r="O22" s="144"/>
      <c r="P22" s="116"/>
      <c r="Q22" s="18"/>
      <c r="R22" s="18"/>
    </row>
    <row r="23" spans="1:72" ht="13.15" x14ac:dyDescent="0.4">
      <c r="B23" s="586" t="s">
        <v>103</v>
      </c>
      <c r="C23" s="587"/>
      <c r="D23" s="587"/>
      <c r="E23" s="587"/>
      <c r="F23" s="587"/>
      <c r="G23" s="588"/>
      <c r="H23" s="65" t="s">
        <v>141</v>
      </c>
      <c r="I23" s="626"/>
      <c r="J23" s="627"/>
      <c r="K23" s="628"/>
      <c r="L23" s="596">
        <f>DCFF!D65</f>
        <v>0.1361629575063259</v>
      </c>
      <c r="M23" s="18"/>
      <c r="N23" s="116"/>
      <c r="O23" s="144"/>
      <c r="P23" s="116"/>
      <c r="Q23" s="18"/>
      <c r="R23" s="18"/>
    </row>
    <row r="24" spans="1:72" ht="24.75" customHeight="1" x14ac:dyDescent="0.35">
      <c r="B24" s="604"/>
      <c r="C24" s="605"/>
      <c r="D24" s="605"/>
      <c r="E24" s="605"/>
      <c r="F24" s="605"/>
      <c r="G24" s="606"/>
      <c r="H24" s="88">
        <f>DCFF!D71</f>
        <v>-8.6599655028846728E-2</v>
      </c>
      <c r="I24" s="90" t="s">
        <v>106</v>
      </c>
      <c r="J24" s="91">
        <f>DCFF!D47</f>
        <v>8.0600000000000005E-2</v>
      </c>
      <c r="K24" s="92"/>
      <c r="L24" s="596"/>
      <c r="M24" s="18"/>
      <c r="N24" s="116"/>
      <c r="O24" s="144"/>
      <c r="P24" s="116"/>
      <c r="Q24" s="18"/>
      <c r="R24" s="18"/>
    </row>
    <row r="25" spans="1:72" ht="13.15" x14ac:dyDescent="0.4">
      <c r="B25" s="71" t="s">
        <v>34</v>
      </c>
      <c r="C25" s="67" t="s">
        <v>0</v>
      </c>
      <c r="D25" s="67" t="s">
        <v>1</v>
      </c>
      <c r="E25" s="67" t="s">
        <v>105</v>
      </c>
      <c r="F25" s="67" t="s">
        <v>12</v>
      </c>
      <c r="G25" s="67" t="s">
        <v>6</v>
      </c>
      <c r="H25" s="67" t="s">
        <v>155</v>
      </c>
      <c r="I25" s="67" t="s">
        <v>156</v>
      </c>
      <c r="J25" s="601" t="s">
        <v>30</v>
      </c>
      <c r="K25" s="601"/>
      <c r="L25" s="602"/>
      <c r="Q25" s="17"/>
      <c r="R25" s="17"/>
      <c r="S25" s="20"/>
      <c r="T25" s="20"/>
    </row>
    <row r="26" spans="1:72" ht="13.15" x14ac:dyDescent="0.4">
      <c r="B26" s="69">
        <f t="shared" ref="B26:B35" si="0">B27-1</f>
        <v>2013</v>
      </c>
      <c r="C26" s="98">
        <v>861.3</v>
      </c>
      <c r="D26" s="99">
        <v>0.37373737373737376</v>
      </c>
      <c r="E26" s="98"/>
      <c r="F26" s="98"/>
      <c r="G26" s="103"/>
      <c r="H26" s="98"/>
      <c r="I26" s="98"/>
      <c r="J26" s="102"/>
      <c r="K26" s="68">
        <v>2022</v>
      </c>
      <c r="L26" s="72">
        <f>K26-1</f>
        <v>2021</v>
      </c>
      <c r="Q26" s="19"/>
      <c r="R26" s="19"/>
      <c r="S26" s="19"/>
      <c r="T26" s="20"/>
      <c r="W26" s="62"/>
    </row>
    <row r="27" spans="1:72" ht="13.15" x14ac:dyDescent="0.4">
      <c r="B27" s="69">
        <f t="shared" si="0"/>
        <v>2014</v>
      </c>
      <c r="C27" s="152">
        <v>936</v>
      </c>
      <c r="D27" s="151">
        <v>0.37126068376068377</v>
      </c>
      <c r="E27" s="98"/>
      <c r="F27" s="98"/>
      <c r="G27" s="103"/>
      <c r="H27" s="98"/>
      <c r="I27" s="98"/>
      <c r="J27" s="102" t="s">
        <v>66</v>
      </c>
      <c r="K27" s="98"/>
      <c r="L27" s="288"/>
      <c r="N27" s="117">
        <f t="shared" ref="N27:N34" si="1">C27/C26-1</f>
        <v>8.6729362591431602E-2</v>
      </c>
      <c r="O27" s="143">
        <f t="shared" ref="O27:Q34" si="2">D27/D26-1</f>
        <v>-6.6268191268191723E-3</v>
      </c>
      <c r="Q27" s="19"/>
      <c r="R27" s="19"/>
      <c r="S27" s="19"/>
      <c r="T27" s="20"/>
    </row>
    <row r="28" spans="1:72" ht="13.15" x14ac:dyDescent="0.4">
      <c r="B28" s="69">
        <f t="shared" si="0"/>
        <v>2015</v>
      </c>
      <c r="C28" s="98">
        <v>942.8</v>
      </c>
      <c r="D28" s="190">
        <v>0.37515910055154861</v>
      </c>
      <c r="E28" s="98"/>
      <c r="F28" s="98"/>
      <c r="G28" s="103"/>
      <c r="H28" s="98"/>
      <c r="I28" s="98"/>
      <c r="J28" s="102" t="s">
        <v>272</v>
      </c>
      <c r="K28" s="98"/>
      <c r="L28" s="288"/>
      <c r="N28" s="117">
        <f t="shared" si="1"/>
        <v>7.2649572649572391E-3</v>
      </c>
      <c r="O28" s="143">
        <f t="shared" si="2"/>
        <v>1.0500483787768244E-2</v>
      </c>
      <c r="P28" s="19" t="e">
        <f t="shared" si="2"/>
        <v>#DIV/0!</v>
      </c>
      <c r="Q28" s="19" t="e">
        <f t="shared" si="2"/>
        <v>#DIV/0!</v>
      </c>
      <c r="R28" s="19" t="e">
        <f t="shared" ref="R28:R34" si="3">H28/H27-1</f>
        <v>#DIV/0!</v>
      </c>
      <c r="S28" s="19" t="e">
        <f t="shared" ref="S28:S34" si="4">I28/I27-1</f>
        <v>#DIV/0!</v>
      </c>
      <c r="T28" s="19"/>
      <c r="BT28">
        <v>4303</v>
      </c>
    </row>
    <row r="29" spans="1:72" ht="13.15" x14ac:dyDescent="0.4">
      <c r="B29" s="69">
        <f t="shared" si="0"/>
        <v>2016</v>
      </c>
      <c r="C29" s="98">
        <v>988.5</v>
      </c>
      <c r="D29" s="99">
        <v>0.38057663125948404</v>
      </c>
      <c r="E29" s="98"/>
      <c r="F29" s="98"/>
      <c r="G29" s="103"/>
      <c r="H29" s="98"/>
      <c r="I29" s="110"/>
      <c r="J29" t="s">
        <v>273</v>
      </c>
      <c r="K29" s="98"/>
      <c r="L29" s="288"/>
      <c r="M29" s="15"/>
      <c r="N29" s="117">
        <f t="shared" si="1"/>
        <v>4.8472634705133633E-2</v>
      </c>
      <c r="O29" s="143">
        <f t="shared" si="2"/>
        <v>1.4440621858754721E-2</v>
      </c>
      <c r="P29" s="19" t="e">
        <f t="shared" si="2"/>
        <v>#DIV/0!</v>
      </c>
      <c r="Q29" s="19" t="e">
        <f t="shared" si="2"/>
        <v>#DIV/0!</v>
      </c>
      <c r="R29" s="19" t="e">
        <f t="shared" si="3"/>
        <v>#DIV/0!</v>
      </c>
      <c r="S29" s="19" t="e">
        <f t="shared" si="4"/>
        <v>#DIV/0!</v>
      </c>
      <c r="T29" s="19"/>
      <c r="BT29">
        <v>3066</v>
      </c>
    </row>
    <row r="30" spans="1:72" ht="13.15" x14ac:dyDescent="0.4">
      <c r="B30" s="69">
        <f t="shared" si="0"/>
        <v>2017</v>
      </c>
      <c r="C30" s="152">
        <v>1095.3</v>
      </c>
      <c r="D30" s="151">
        <v>0.35670592531726469</v>
      </c>
      <c r="E30" s="98"/>
      <c r="F30" s="98"/>
      <c r="G30" s="103"/>
      <c r="H30" s="98"/>
      <c r="I30" s="110"/>
      <c r="J30" s="102" t="s">
        <v>31</v>
      </c>
      <c r="K30" s="98"/>
      <c r="L30" s="288"/>
      <c r="N30" s="117">
        <f t="shared" si="1"/>
        <v>0.1080424886191198</v>
      </c>
      <c r="O30" s="143">
        <f t="shared" si="2"/>
        <v>-6.2722468963008593E-2</v>
      </c>
      <c r="P30" s="19" t="e">
        <f t="shared" ref="P30:Q34" si="5">E30/E29-1</f>
        <v>#DIV/0!</v>
      </c>
      <c r="Q30" s="19" t="e">
        <f t="shared" si="5"/>
        <v>#DIV/0!</v>
      </c>
      <c r="R30" s="19" t="e">
        <f t="shared" si="3"/>
        <v>#DIV/0!</v>
      </c>
      <c r="S30" s="19" t="e">
        <f t="shared" si="4"/>
        <v>#DIV/0!</v>
      </c>
      <c r="T30" s="19"/>
      <c r="BT30">
        <v>3283</v>
      </c>
    </row>
    <row r="31" spans="1:72" ht="13.15" x14ac:dyDescent="0.4">
      <c r="B31" s="69">
        <f t="shared" si="0"/>
        <v>2018</v>
      </c>
      <c r="C31" s="158">
        <v>1293.5999999999999</v>
      </c>
      <c r="D31" s="190">
        <v>0.36842918985776135</v>
      </c>
      <c r="E31" s="98"/>
      <c r="F31" s="98"/>
      <c r="G31" s="103"/>
      <c r="H31" s="98"/>
      <c r="I31" s="110"/>
      <c r="J31" s="121" t="s">
        <v>117</v>
      </c>
      <c r="K31" s="98"/>
      <c r="L31" s="289"/>
      <c r="N31" s="117">
        <f t="shared" si="1"/>
        <v>0.18104628868803063</v>
      </c>
      <c r="O31" s="143">
        <f t="shared" si="2"/>
        <v>3.286534848017908E-2</v>
      </c>
      <c r="P31" s="19" t="e">
        <f t="shared" si="5"/>
        <v>#DIV/0!</v>
      </c>
      <c r="Q31" s="19" t="e">
        <f t="shared" si="5"/>
        <v>#DIV/0!</v>
      </c>
      <c r="R31" s="19" t="e">
        <f t="shared" si="3"/>
        <v>#DIV/0!</v>
      </c>
      <c r="S31" s="19" t="e">
        <f t="shared" si="4"/>
        <v>#DIV/0!</v>
      </c>
      <c r="T31" s="19"/>
    </row>
    <row r="32" spans="1:72" ht="13.15" x14ac:dyDescent="0.4">
      <c r="B32" s="69">
        <f t="shared" si="0"/>
        <v>2019</v>
      </c>
      <c r="C32" s="98">
        <v>1515.9</v>
      </c>
      <c r="D32" s="99">
        <v>0.33973217230688035</v>
      </c>
      <c r="E32" s="98"/>
      <c r="F32" s="98"/>
      <c r="G32" s="162"/>
      <c r="H32" s="98"/>
      <c r="I32" s="110"/>
      <c r="J32" s="121" t="s">
        <v>118</v>
      </c>
      <c r="K32" s="98"/>
      <c r="L32" s="288"/>
      <c r="M32" s="16"/>
      <c r="N32" s="117">
        <f t="shared" si="1"/>
        <v>0.17184601113172548</v>
      </c>
      <c r="O32" s="143">
        <f t="shared" si="2"/>
        <v>-7.7890184439403432E-2</v>
      </c>
      <c r="P32" s="19" t="e">
        <f t="shared" si="5"/>
        <v>#DIV/0!</v>
      </c>
      <c r="Q32" s="19" t="e">
        <f t="shared" si="5"/>
        <v>#DIV/0!</v>
      </c>
      <c r="R32" s="19" t="e">
        <f t="shared" si="3"/>
        <v>#DIV/0!</v>
      </c>
      <c r="S32" s="19" t="e">
        <f t="shared" si="4"/>
        <v>#DIV/0!</v>
      </c>
      <c r="T32" s="19"/>
    </row>
    <row r="33" spans="2:72" ht="13.15" x14ac:dyDescent="0.4">
      <c r="B33" s="69">
        <f t="shared" si="0"/>
        <v>2020</v>
      </c>
      <c r="C33" s="152">
        <v>1681.3</v>
      </c>
      <c r="D33" s="99">
        <v>0.29524772497472196</v>
      </c>
      <c r="E33" s="160"/>
      <c r="F33" s="98"/>
      <c r="G33" s="162"/>
      <c r="H33" s="98"/>
      <c r="I33" s="110"/>
      <c r="J33" s="107" t="s">
        <v>119</v>
      </c>
      <c r="K33" s="98"/>
      <c r="L33" s="288"/>
      <c r="N33" s="117">
        <f t="shared" si="1"/>
        <v>0.1091100996107921</v>
      </c>
      <c r="O33" s="143">
        <f t="shared" si="2"/>
        <v>-0.13093975477828912</v>
      </c>
      <c r="P33" s="19" t="e">
        <f t="shared" si="5"/>
        <v>#DIV/0!</v>
      </c>
      <c r="Q33" s="19" t="e">
        <f t="shared" si="5"/>
        <v>#DIV/0!</v>
      </c>
      <c r="R33" s="19" t="e">
        <f t="shared" si="3"/>
        <v>#DIV/0!</v>
      </c>
      <c r="S33" s="19" t="e">
        <f t="shared" si="4"/>
        <v>#DIV/0!</v>
      </c>
      <c r="T33" s="19"/>
    </row>
    <row r="34" spans="2:72" ht="13.15" x14ac:dyDescent="0.4">
      <c r="B34" s="69">
        <f t="shared" si="0"/>
        <v>2021</v>
      </c>
      <c r="C34" s="158">
        <v>1906.7</v>
      </c>
      <c r="D34" s="159">
        <v>0.26920858026957567</v>
      </c>
      <c r="E34" s="160"/>
      <c r="F34" s="98"/>
      <c r="G34" s="163"/>
      <c r="H34" s="98"/>
      <c r="I34" s="98"/>
      <c r="J34" s="107" t="s">
        <v>120</v>
      </c>
      <c r="K34" s="98"/>
      <c r="L34" s="288"/>
      <c r="N34" s="117">
        <f t="shared" si="1"/>
        <v>0.13406292749658011</v>
      </c>
      <c r="O34" s="143">
        <f t="shared" si="2"/>
        <v>-8.8194226415718058E-2</v>
      </c>
      <c r="P34" s="19" t="e">
        <f t="shared" si="5"/>
        <v>#DIV/0!</v>
      </c>
      <c r="Q34" s="19" t="e">
        <f t="shared" si="5"/>
        <v>#DIV/0!</v>
      </c>
      <c r="R34" s="19" t="e">
        <f t="shared" si="3"/>
        <v>#DIV/0!</v>
      </c>
      <c r="S34" s="19" t="e">
        <f t="shared" si="4"/>
        <v>#DIV/0!</v>
      </c>
      <c r="T34" s="19"/>
      <c r="W34" s="62"/>
      <c r="BT34" s="7"/>
    </row>
    <row r="35" spans="2:72" ht="13.15" x14ac:dyDescent="0.4">
      <c r="B35" s="69">
        <f t="shared" si="0"/>
        <v>2022</v>
      </c>
      <c r="C35" s="152">
        <v>2065.6</v>
      </c>
      <c r="D35" s="159">
        <v>0.28693841982958951</v>
      </c>
      <c r="E35" s="160"/>
      <c r="F35" s="98"/>
      <c r="G35" s="163"/>
      <c r="H35" s="98"/>
      <c r="I35" s="98"/>
      <c r="J35" s="107" t="s">
        <v>274</v>
      </c>
      <c r="K35" s="98"/>
      <c r="L35" s="288"/>
      <c r="N35" s="117">
        <f t="shared" ref="N35:N37" si="6">C35/C34-1</f>
        <v>8.3337703886295689E-2</v>
      </c>
      <c r="O35" s="143">
        <f t="shared" ref="O35:O37" si="7">D35/D34-1</f>
        <v>6.5859117648701337E-2</v>
      </c>
      <c r="P35" s="19" t="e">
        <f t="shared" ref="P35" si="8">E35/E34-1</f>
        <v>#DIV/0!</v>
      </c>
      <c r="Q35" s="19" t="e">
        <f t="shared" ref="Q35" si="9">F35/F34-1</f>
        <v>#DIV/0!</v>
      </c>
      <c r="R35" s="19" t="e">
        <f t="shared" ref="R35" si="10">H35/H34-1</f>
        <v>#DIV/0!</v>
      </c>
      <c r="S35" s="19" t="e">
        <f t="shared" ref="S35" si="11">I35/I34-1</f>
        <v>#DIV/0!</v>
      </c>
      <c r="T35" s="19"/>
      <c r="W35" s="62"/>
      <c r="BT35" s="7"/>
    </row>
    <row r="36" spans="2:72" ht="13.15" x14ac:dyDescent="0.4">
      <c r="B36" s="69">
        <f>B37-1</f>
        <v>2023</v>
      </c>
      <c r="C36" s="152">
        <v>2269.9</v>
      </c>
      <c r="D36" s="151">
        <v>0.27582712894841183</v>
      </c>
      <c r="E36" s="160"/>
      <c r="F36" s="98"/>
      <c r="G36" s="163"/>
      <c r="H36" s="98"/>
      <c r="I36" s="98"/>
      <c r="J36" s="107" t="s">
        <v>275</v>
      </c>
      <c r="K36" s="98"/>
      <c r="L36" s="288"/>
      <c r="N36" s="117">
        <f t="shared" si="6"/>
        <v>9.8905886909372631E-2</v>
      </c>
      <c r="O36" s="143">
        <f t="shared" si="7"/>
        <v>-3.872360797057639E-2</v>
      </c>
      <c r="Q36" s="19"/>
      <c r="R36" s="19"/>
      <c r="S36" s="19"/>
      <c r="T36" s="19"/>
      <c r="W36" s="62"/>
      <c r="BT36" s="7"/>
    </row>
    <row r="37" spans="2:72" ht="13.15" x14ac:dyDescent="0.4">
      <c r="B37" s="69">
        <v>2024</v>
      </c>
      <c r="C37" s="152">
        <v>2544</v>
      </c>
      <c r="D37" s="151">
        <v>0.28223270440251574</v>
      </c>
      <c r="E37" s="160"/>
      <c r="F37" s="98"/>
      <c r="G37" s="163"/>
      <c r="H37" s="98"/>
      <c r="I37" s="98"/>
      <c r="J37" s="107"/>
      <c r="K37" s="98"/>
      <c r="L37" s="288"/>
      <c r="N37" s="117">
        <f t="shared" si="6"/>
        <v>0.12075421824749988</v>
      </c>
      <c r="O37" s="143">
        <f t="shared" si="7"/>
        <v>2.3223152408992975E-2</v>
      </c>
      <c r="Q37" s="19"/>
      <c r="R37" s="19"/>
      <c r="S37" s="19"/>
      <c r="T37" s="19"/>
      <c r="W37" s="62"/>
      <c r="BT37" s="7"/>
    </row>
    <row r="38" spans="2:72" ht="13.15" x14ac:dyDescent="0.4">
      <c r="B38" s="284" t="s">
        <v>429</v>
      </c>
      <c r="C38" s="285">
        <f>DCFF!H6</f>
        <v>2509</v>
      </c>
      <c r="D38" s="302">
        <f>DCFF!H7</f>
        <v>0.23595057791948984</v>
      </c>
      <c r="E38" s="286"/>
      <c r="F38" s="285"/>
      <c r="G38" s="287"/>
      <c r="H38" s="285"/>
      <c r="I38" s="285"/>
      <c r="J38" s="107"/>
      <c r="K38" s="98"/>
      <c r="L38" s="288"/>
      <c r="N38" s="117"/>
      <c r="Q38" s="19"/>
      <c r="R38" s="19"/>
      <c r="S38" s="19"/>
      <c r="T38" s="19"/>
      <c r="W38" s="62"/>
      <c r="BT38" s="7"/>
    </row>
    <row r="39" spans="2:72" ht="13.15" x14ac:dyDescent="0.4">
      <c r="B39" s="122" t="s">
        <v>179</v>
      </c>
      <c r="C39" s="151">
        <f>(C37/C32)^(1/5)-1</f>
        <v>0.1090964387635307</v>
      </c>
      <c r="D39" s="99">
        <f>(D37/D26)^(1/11)-1</f>
        <v>-2.5206104743822011E-2</v>
      </c>
      <c r="E39" s="164"/>
      <c r="F39" s="99"/>
      <c r="G39" s="99"/>
      <c r="H39" s="99"/>
      <c r="I39" s="98"/>
      <c r="J39" s="102" t="s">
        <v>122</v>
      </c>
      <c r="K39" s="98">
        <v>0</v>
      </c>
      <c r="L39" s="288">
        <v>0</v>
      </c>
      <c r="N39" s="118"/>
      <c r="Q39" s="19"/>
      <c r="R39" s="19"/>
      <c r="S39" s="19"/>
      <c r="T39" s="19"/>
      <c r="W39" s="60"/>
    </row>
    <row r="40" spans="2:72" ht="13.15" x14ac:dyDescent="0.4">
      <c r="B40" s="73" t="s">
        <v>8</v>
      </c>
      <c r="C40" s="151">
        <f>AVERAGE(N27:N37)</f>
        <v>0.1045065981046308</v>
      </c>
      <c r="D40" s="99">
        <f>AVERAGE(O27:O37)</f>
        <v>-2.3473485228128945E-2</v>
      </c>
      <c r="F40" s="99"/>
      <c r="G40" s="99"/>
      <c r="H40" s="137"/>
      <c r="I40" s="99"/>
      <c r="J40" s="66" t="s">
        <v>32</v>
      </c>
      <c r="K40" s="290">
        <f>K28+K29+K30+K33+K34+K35+K36+K39</f>
        <v>0</v>
      </c>
      <c r="L40" s="291">
        <f>L28+L29+L30+L33+L34+L35+L36+L39</f>
        <v>0</v>
      </c>
      <c r="N40" s="118"/>
      <c r="Q40" s="19"/>
      <c r="R40" s="19"/>
      <c r="S40" s="20"/>
      <c r="T40" s="20"/>
    </row>
    <row r="41" spans="2:72" ht="13.15" x14ac:dyDescent="0.4">
      <c r="B41" s="73" t="s">
        <v>20</v>
      </c>
      <c r="C41" s="99">
        <f>STDEV(C26:C37)/AVERAGE(C26:C37)</f>
        <v>0.38473903404133819</v>
      </c>
      <c r="D41" s="99">
        <f>STDEV(D26:D37)/AVERAGE(D26:D37)</f>
        <v>0.13638766428548607</v>
      </c>
      <c r="E41" s="99"/>
      <c r="F41" s="99"/>
      <c r="G41" s="99"/>
      <c r="H41" s="99"/>
      <c r="I41" s="99"/>
      <c r="J41" s="292" t="s">
        <v>33</v>
      </c>
      <c r="K41" s="293">
        <f>SUM(I33:I37)/(C37-C32)</f>
        <v>0</v>
      </c>
      <c r="L41" s="294">
        <f>(SUM(I33:I37)-SUM(H33:H37))/(C37-C32)</f>
        <v>0</v>
      </c>
      <c r="M41" s="7"/>
      <c r="N41" s="135"/>
      <c r="Q41" s="19"/>
      <c r="R41" s="19"/>
      <c r="S41" s="20"/>
      <c r="T41" s="20"/>
    </row>
    <row r="42" spans="2:72" x14ac:dyDescent="0.35">
      <c r="B42" s="73" t="s">
        <v>27</v>
      </c>
      <c r="C42" s="99">
        <f>C37/C36-1</f>
        <v>0.12075421824749988</v>
      </c>
      <c r="D42" s="99">
        <f>D37/D36-1</f>
        <v>2.3223152408992975E-2</v>
      </c>
      <c r="E42" s="99"/>
      <c r="F42" s="99"/>
      <c r="G42" s="99"/>
      <c r="H42" s="99"/>
      <c r="I42" s="99"/>
      <c r="J42" s="102" t="s">
        <v>124</v>
      </c>
      <c r="K42" s="295">
        <f>K41/E14</f>
        <v>0</v>
      </c>
      <c r="L42" s="296">
        <f>L41/E14</f>
        <v>0</v>
      </c>
      <c r="Q42" s="19"/>
      <c r="R42" s="19"/>
      <c r="S42" s="20"/>
      <c r="T42" s="20"/>
    </row>
    <row r="43" spans="2:72" ht="13.15" x14ac:dyDescent="0.4">
      <c r="B43" s="586" t="s">
        <v>186</v>
      </c>
      <c r="C43" s="587"/>
      <c r="D43" s="587"/>
      <c r="E43" s="587"/>
      <c r="F43" s="587"/>
      <c r="G43" s="587"/>
      <c r="H43" s="588"/>
      <c r="I43" s="634" t="s">
        <v>427</v>
      </c>
      <c r="J43" s="634"/>
      <c r="K43" s="634"/>
      <c r="L43" s="635"/>
      <c r="M43" s="18"/>
      <c r="N43" s="116"/>
    </row>
    <row r="44" spans="2:72" ht="84.5" customHeight="1" x14ac:dyDescent="0.35">
      <c r="B44" s="584" t="s">
        <v>425</v>
      </c>
      <c r="C44" s="585"/>
      <c r="D44" s="585"/>
      <c r="E44" s="585"/>
      <c r="F44" s="585"/>
      <c r="G44" s="585"/>
      <c r="H44" s="585"/>
      <c r="I44" s="634"/>
      <c r="J44" s="634"/>
      <c r="K44" s="634"/>
      <c r="L44" s="635"/>
      <c r="M44" s="18"/>
      <c r="N44" s="116"/>
    </row>
    <row r="45" spans="2:72" ht="13.15" x14ac:dyDescent="0.4">
      <c r="B45" s="586" t="s">
        <v>43</v>
      </c>
      <c r="C45" s="587"/>
      <c r="D45" s="587"/>
      <c r="E45" s="587"/>
      <c r="F45" s="587"/>
      <c r="G45" s="587"/>
      <c r="H45" s="588"/>
      <c r="I45" s="634"/>
      <c r="J45" s="634"/>
      <c r="K45" s="634"/>
      <c r="L45" s="635"/>
      <c r="M45" s="18"/>
      <c r="N45" s="116"/>
    </row>
    <row r="46" spans="2:72" ht="29" customHeight="1" x14ac:dyDescent="0.35">
      <c r="B46" s="584" t="s">
        <v>423</v>
      </c>
      <c r="C46" s="585"/>
      <c r="D46" s="585"/>
      <c r="E46" s="585"/>
      <c r="F46" s="585"/>
      <c r="G46" s="585"/>
      <c r="H46" s="585"/>
      <c r="I46" s="634"/>
      <c r="J46" s="634"/>
      <c r="K46" s="634"/>
      <c r="L46" s="635"/>
      <c r="M46" s="18"/>
      <c r="N46" s="116"/>
    </row>
    <row r="47" spans="2:72" ht="13.15" x14ac:dyDescent="0.4">
      <c r="B47" s="637" t="s">
        <v>44</v>
      </c>
      <c r="C47" s="638"/>
      <c r="D47" s="638"/>
      <c r="E47" s="638"/>
      <c r="F47" s="638"/>
      <c r="G47" s="638"/>
      <c r="H47" s="638"/>
      <c r="I47" s="634"/>
      <c r="J47" s="634"/>
      <c r="K47" s="634"/>
      <c r="L47" s="635"/>
      <c r="M47" s="18"/>
      <c r="N47" s="116"/>
    </row>
    <row r="48" spans="2:72" ht="20.25" customHeight="1" x14ac:dyDescent="0.35">
      <c r="B48" s="584" t="s">
        <v>424</v>
      </c>
      <c r="C48" s="585"/>
      <c r="D48" s="585"/>
      <c r="E48" s="585"/>
      <c r="F48" s="585"/>
      <c r="G48" s="585"/>
      <c r="H48" s="585"/>
      <c r="I48" s="634"/>
      <c r="J48" s="634"/>
      <c r="K48" s="634"/>
      <c r="L48" s="635"/>
      <c r="M48" s="18"/>
      <c r="N48" s="116"/>
    </row>
    <row r="49" spans="2:18" ht="13.15" x14ac:dyDescent="0.4">
      <c r="B49" s="632" t="s">
        <v>146</v>
      </c>
      <c r="C49" s="633"/>
      <c r="D49" s="633"/>
      <c r="E49" s="633"/>
      <c r="F49" s="633"/>
      <c r="G49" s="633"/>
      <c r="H49" s="633"/>
      <c r="I49" s="634"/>
      <c r="J49" s="634"/>
      <c r="K49" s="634"/>
      <c r="L49" s="635"/>
    </row>
    <row r="50" spans="2:18" ht="13.5" customHeight="1" thickBot="1" x14ac:dyDescent="0.4">
      <c r="B50" s="432" t="s">
        <v>10</v>
      </c>
      <c r="C50" s="433" t="s">
        <v>131</v>
      </c>
      <c r="D50" s="433" t="s">
        <v>130</v>
      </c>
      <c r="E50" s="433" t="s">
        <v>147</v>
      </c>
      <c r="F50" s="433" t="s">
        <v>148</v>
      </c>
      <c r="G50" s="433" t="s">
        <v>103</v>
      </c>
      <c r="H50" s="433" t="s">
        <v>149</v>
      </c>
      <c r="I50" s="629" t="s">
        <v>426</v>
      </c>
      <c r="J50" s="630"/>
      <c r="K50" s="630"/>
      <c r="L50" s="631"/>
    </row>
    <row r="51" spans="2:18" x14ac:dyDescent="0.35">
      <c r="B51" s="22" t="s">
        <v>107</v>
      </c>
      <c r="M51" s="18"/>
      <c r="N51" s="116"/>
      <c r="O51" s="144"/>
      <c r="P51" s="116"/>
      <c r="Q51" s="18"/>
      <c r="R51" s="18"/>
    </row>
    <row r="52" spans="2:18" s="11" customFormat="1" ht="13.15" x14ac:dyDescent="0.4">
      <c r="B52" s="59" t="s">
        <v>123</v>
      </c>
      <c r="M52" s="18"/>
      <c r="N52" s="116"/>
      <c r="O52" s="144"/>
      <c r="P52" s="116"/>
      <c r="Q52" s="18"/>
      <c r="R52" s="18"/>
    </row>
    <row r="53" spans="2:18" x14ac:dyDescent="0.35">
      <c r="B53" s="101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</row>
    <row r="54" spans="2:18" x14ac:dyDescent="0.35">
      <c r="B54" s="618"/>
      <c r="C54" s="619"/>
      <c r="D54" s="619"/>
      <c r="E54" s="619"/>
      <c r="F54" s="619"/>
      <c r="G54" s="619"/>
      <c r="H54" s="619"/>
      <c r="I54" s="619"/>
      <c r="J54" s="619"/>
      <c r="K54" s="619"/>
      <c r="L54" s="619"/>
      <c r="M54" s="194"/>
    </row>
    <row r="55" spans="2:18" ht="13.15" x14ac:dyDescent="0.4">
      <c r="B55" s="165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</row>
    <row r="56" spans="2:18" ht="13.15" x14ac:dyDescent="0.4">
      <c r="B56" s="193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</row>
    <row r="57" spans="2:18" x14ac:dyDescent="0.35">
      <c r="B57" s="195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</row>
    <row r="58" spans="2:18" x14ac:dyDescent="0.35">
      <c r="B58" s="195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</row>
  </sheetData>
  <mergeCells count="32">
    <mergeCell ref="B54:L54"/>
    <mergeCell ref="I21:K23"/>
    <mergeCell ref="I50:L50"/>
    <mergeCell ref="B45:H45"/>
    <mergeCell ref="B49:H49"/>
    <mergeCell ref="I43:L49"/>
    <mergeCell ref="L21:L22"/>
    <mergeCell ref="B48:H48"/>
    <mergeCell ref="J25:L25"/>
    <mergeCell ref="B46:H46"/>
    <mergeCell ref="B47:H47"/>
    <mergeCell ref="F6:H6"/>
    <mergeCell ref="B21:G22"/>
    <mergeCell ref="H21:H22"/>
    <mergeCell ref="F7:G7"/>
    <mergeCell ref="F13:H13"/>
    <mergeCell ref="I20:K20"/>
    <mergeCell ref="B44:H44"/>
    <mergeCell ref="B43:H43"/>
    <mergeCell ref="E2:J2"/>
    <mergeCell ref="B23:G23"/>
    <mergeCell ref="D4:L5"/>
    <mergeCell ref="B5:C5"/>
    <mergeCell ref="L23:L24"/>
    <mergeCell ref="B3:C4"/>
    <mergeCell ref="D3:L3"/>
    <mergeCell ref="K6:L6"/>
    <mergeCell ref="B6:C6"/>
    <mergeCell ref="B24:G24"/>
    <mergeCell ref="B16:C16"/>
    <mergeCell ref="I6:J6"/>
    <mergeCell ref="D6:E6"/>
  </mergeCells>
  <phoneticPr fontId="0" type="noConversion"/>
  <printOptions horizontalCentered="1" verticalCentered="1"/>
  <pageMargins left="0" right="0" top="0.19685039370078741" bottom="0.19685039370078741" header="0" footer="0"/>
  <pageSetup paperSize="134" scale="65" orientation="landscape" r:id="rId1"/>
  <headerFooter alignWithMargins="0"/>
  <ignoredErrors>
    <ignoredError sqref="P28:P30 N28" evalError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Acuerdo!$A$1:$A$6</xm:f>
          </x14:formula1>
          <xm:sqref>H21:H22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N24"/>
  <sheetViews>
    <sheetView showGridLines="0" workbookViewId="0">
      <selection activeCell="A24" sqref="A24"/>
    </sheetView>
  </sheetViews>
  <sheetFormatPr defaultColWidth="11.46484375" defaultRowHeight="12.75" x14ac:dyDescent="0.35"/>
  <sheetData>
    <row r="1" spans="1:14" x14ac:dyDescent="0.35">
      <c r="A1" s="192" t="s">
        <v>187</v>
      </c>
      <c r="G1" s="192" t="s">
        <v>188</v>
      </c>
      <c r="N1" s="192" t="s">
        <v>189</v>
      </c>
    </row>
    <row r="2" spans="1:14" x14ac:dyDescent="0.35">
      <c r="A2" s="101" t="s">
        <v>190</v>
      </c>
      <c r="G2" s="101" t="s">
        <v>191</v>
      </c>
      <c r="N2" s="101" t="s">
        <v>192</v>
      </c>
    </row>
    <row r="23" spans="1:1" x14ac:dyDescent="0.35">
      <c r="A23" s="101" t="s">
        <v>193</v>
      </c>
    </row>
    <row r="24" spans="1:1" x14ac:dyDescent="0.35">
      <c r="A24" s="192" t="s">
        <v>194</v>
      </c>
    </row>
  </sheetData>
  <hyperlinks>
    <hyperlink ref="A1" r:id="rId1" xr:uid="{00000000-0004-0000-0100-000000000000}"/>
    <hyperlink ref="G1" r:id="rId2" xr:uid="{00000000-0004-0000-0100-000001000000}"/>
    <hyperlink ref="A24" r:id="rId3" xr:uid="{00000000-0004-0000-0100-000002000000}"/>
    <hyperlink ref="N1" r:id="rId4" xr:uid="{00000000-0004-0000-0100-000003000000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H94"/>
  <sheetViews>
    <sheetView view="pageBreakPreview" zoomScaleNormal="85" zoomScaleSheetLayoutView="100" workbookViewId="0">
      <selection activeCell="C19" sqref="C19"/>
    </sheetView>
  </sheetViews>
  <sheetFormatPr defaultColWidth="11.46484375" defaultRowHeight="11.65" x14ac:dyDescent="0.35"/>
  <cols>
    <col min="1" max="1" width="36.06640625" style="224" customWidth="1"/>
    <col min="2" max="11" width="12.46484375" style="224" customWidth="1"/>
    <col min="12" max="13" width="12.46484375" style="281" customWidth="1"/>
    <col min="14" max="14" width="12.33203125" style="281" bestFit="1" customWidth="1"/>
    <col min="15" max="16384" width="11.46484375" style="223"/>
  </cols>
  <sheetData>
    <row r="1" spans="1:24" ht="15" x14ac:dyDescent="0.4">
      <c r="A1" s="639" t="str">
        <f>Cifras_Originales!G5</f>
        <v>(Company name) ((ticker))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222"/>
      <c r="N1" s="222"/>
    </row>
    <row r="2" spans="1:24" ht="12" customHeight="1" x14ac:dyDescent="0.35">
      <c r="A2" s="640" t="str">
        <f>Cifras_Originales!C4</f>
        <v>Cifras en Millones de USD</v>
      </c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224"/>
      <c r="N2" s="224"/>
    </row>
    <row r="3" spans="1:24" ht="12" customHeight="1" x14ac:dyDescent="0.35">
      <c r="G3" s="225"/>
      <c r="N3"/>
      <c r="O3"/>
      <c r="P3"/>
      <c r="Q3"/>
      <c r="R3"/>
      <c r="S3"/>
      <c r="T3"/>
      <c r="U3"/>
      <c r="V3"/>
      <c r="W3"/>
      <c r="X3"/>
    </row>
    <row r="4" spans="1:24" x14ac:dyDescent="0.35">
      <c r="A4" s="226" t="s">
        <v>207</v>
      </c>
      <c r="B4" s="227">
        <v>2024</v>
      </c>
      <c r="C4" s="227">
        <f>Cifras_Originales!B7</f>
        <v>2023</v>
      </c>
      <c r="D4" s="227">
        <f>Cifras_Originales!C7</f>
        <v>2022</v>
      </c>
      <c r="E4" s="227">
        <f>Cifras_Originales!D7</f>
        <v>2021</v>
      </c>
      <c r="F4" s="227">
        <f>Cifras_Originales!E7</f>
        <v>2020</v>
      </c>
      <c r="G4" s="227">
        <f>Cifras_Originales!F7</f>
        <v>2019</v>
      </c>
      <c r="H4" s="227">
        <f>Cifras_Originales!G7</f>
        <v>2018</v>
      </c>
      <c r="I4" s="227">
        <f>Cifras_Originales!H7</f>
        <v>2017</v>
      </c>
      <c r="J4" s="227">
        <f>Cifras_Originales!I7</f>
        <v>2016</v>
      </c>
      <c r="K4" s="227">
        <f>Cifras_Originales!J7</f>
        <v>2015</v>
      </c>
      <c r="L4" s="227">
        <f>Cifras_Originales!K7</f>
        <v>2014</v>
      </c>
      <c r="M4" s="227">
        <f>Cifras_Originales!L7</f>
        <v>2013</v>
      </c>
      <c r="N4" s="227"/>
      <c r="O4" s="227"/>
    </row>
    <row r="5" spans="1:24" ht="12" customHeight="1" x14ac:dyDescent="0.35">
      <c r="A5" s="224" t="s">
        <v>208</v>
      </c>
      <c r="B5" s="228">
        <f>Cifras_Originales!N8</f>
        <v>2544</v>
      </c>
      <c r="C5" s="228">
        <f>Cifras_Originales!B8</f>
        <v>2269.9</v>
      </c>
      <c r="D5" s="228">
        <f>Cifras_Originales!C8</f>
        <v>2065.6</v>
      </c>
      <c r="E5" s="228">
        <f>Cifras_Originales!D8</f>
        <v>1906.7</v>
      </c>
      <c r="F5" s="228">
        <f>Cifras_Originales!E8</f>
        <v>1681.3</v>
      </c>
      <c r="G5" s="228">
        <f>Cifras_Originales!F8</f>
        <v>1515.9</v>
      </c>
      <c r="H5" s="228">
        <f>Cifras_Originales!G8</f>
        <v>1293.5999999999999</v>
      </c>
      <c r="I5" s="228">
        <f>Cifras_Originales!H8</f>
        <v>1095.3</v>
      </c>
      <c r="J5" s="228">
        <f>Cifras_Originales!I8</f>
        <v>988.5</v>
      </c>
      <c r="K5" s="228">
        <f>Cifras_Originales!J8</f>
        <v>942.8</v>
      </c>
      <c r="L5" s="228">
        <f>Cifras_Originales!K8</f>
        <v>936</v>
      </c>
      <c r="M5" s="228">
        <f>Cifras_Originales!L8</f>
        <v>861.3</v>
      </c>
      <c r="N5" s="228"/>
      <c r="O5" s="228"/>
    </row>
    <row r="6" spans="1:24" ht="12" customHeight="1" x14ac:dyDescent="0.35">
      <c r="A6" s="224" t="s">
        <v>209</v>
      </c>
      <c r="B6" s="229">
        <f>B5/C5-1</f>
        <v>0.12075421824749988</v>
      </c>
      <c r="C6" s="229">
        <f>C5/D5-1</f>
        <v>9.8905886909372631E-2</v>
      </c>
      <c r="D6" s="229">
        <f>D5/E5-1</f>
        <v>8.3337703886295689E-2</v>
      </c>
      <c r="E6" s="229">
        <f t="shared" ref="E6:L6" si="0">E5/F5-1</f>
        <v>0.13406292749658011</v>
      </c>
      <c r="F6" s="229">
        <f t="shared" si="0"/>
        <v>0.1091100996107921</v>
      </c>
      <c r="G6" s="229">
        <f t="shared" si="0"/>
        <v>0.17184601113172548</v>
      </c>
      <c r="H6" s="229">
        <f t="shared" si="0"/>
        <v>0.18104628868803063</v>
      </c>
      <c r="I6" s="229">
        <f t="shared" si="0"/>
        <v>0.1080424886191198</v>
      </c>
      <c r="J6" s="229">
        <f t="shared" si="0"/>
        <v>4.8472634705133633E-2</v>
      </c>
      <c r="K6" s="229">
        <f t="shared" si="0"/>
        <v>7.2649572649572391E-3</v>
      </c>
      <c r="L6" s="229">
        <f t="shared" si="0"/>
        <v>8.6729362591431602E-2</v>
      </c>
      <c r="M6" s="229"/>
      <c r="N6" s="229"/>
      <c r="O6" s="229"/>
    </row>
    <row r="7" spans="1:24" ht="12" customHeight="1" x14ac:dyDescent="0.35">
      <c r="A7" s="224" t="s">
        <v>210</v>
      </c>
      <c r="B7" s="228">
        <f>Cifras_Originales!N9</f>
        <v>2264</v>
      </c>
      <c r="C7" s="228">
        <f>Cifras_Originales!B9</f>
        <v>1998.7</v>
      </c>
      <c r="D7" s="228">
        <f>Cifras_Originales!C9</f>
        <v>1814.9</v>
      </c>
      <c r="E7" s="228">
        <f>Cifras_Originales!D9</f>
        <v>1648.7</v>
      </c>
      <c r="F7" s="228">
        <f>Cifras_Originales!E9</f>
        <v>1456</v>
      </c>
      <c r="G7" s="228">
        <f>Cifras_Originales!F9</f>
        <v>1349.6</v>
      </c>
      <c r="H7" s="228">
        <f>Cifras_Originales!G9</f>
        <v>1137.8</v>
      </c>
      <c r="I7" s="228">
        <f>Cifras_Originales!H9</f>
        <v>945.1</v>
      </c>
      <c r="J7" s="228">
        <f>Cifras_Originales!I9</f>
        <v>841.6</v>
      </c>
      <c r="K7" s="228">
        <f>Cifras_Originales!J9</f>
        <v>795.5</v>
      </c>
      <c r="L7" s="228">
        <f>Cifras_Originales!K9</f>
        <v>782.2</v>
      </c>
      <c r="M7" s="228">
        <f>Cifras_Originales!L9</f>
        <v>714.6</v>
      </c>
      <c r="N7" s="228"/>
      <c r="O7" s="228"/>
      <c r="P7" s="228"/>
    </row>
    <row r="8" spans="1:24" ht="12" customHeight="1" x14ac:dyDescent="0.35">
      <c r="A8" s="224" t="s">
        <v>211</v>
      </c>
      <c r="B8" s="229">
        <f>B7/B5</f>
        <v>0.88993710691823902</v>
      </c>
      <c r="C8" s="229">
        <f>C7/C5</f>
        <v>0.88052337107361556</v>
      </c>
      <c r="D8" s="229">
        <f>D7/D5</f>
        <v>0.87863090627420615</v>
      </c>
      <c r="E8" s="229">
        <f t="shared" ref="E8:M8" si="1">E7/E5</f>
        <v>0.86468768028530973</v>
      </c>
      <c r="F8" s="229">
        <f t="shared" si="1"/>
        <v>0.86599655028846723</v>
      </c>
      <c r="G8" s="229">
        <f t="shared" si="1"/>
        <v>0.89029619368032176</v>
      </c>
      <c r="H8" s="229">
        <f t="shared" si="1"/>
        <v>0.87956091527520097</v>
      </c>
      <c r="I8" s="229">
        <f t="shared" si="1"/>
        <v>0.86286862046927792</v>
      </c>
      <c r="J8" s="229">
        <f t="shared" si="1"/>
        <v>0.85139099645928173</v>
      </c>
      <c r="K8" s="229">
        <f t="shared" si="1"/>
        <v>0.84376325837929578</v>
      </c>
      <c r="L8" s="229">
        <f t="shared" si="1"/>
        <v>0.83568376068376071</v>
      </c>
      <c r="M8" s="229">
        <f t="shared" si="1"/>
        <v>0.82967607105538144</v>
      </c>
      <c r="N8" s="229"/>
      <c r="O8" s="229"/>
      <c r="P8" s="229"/>
    </row>
    <row r="9" spans="1:24" ht="12" customHeight="1" x14ac:dyDescent="0.35">
      <c r="A9" s="224" t="s">
        <v>212</v>
      </c>
      <c r="B9" s="228">
        <f>B5-B11</f>
        <v>1826</v>
      </c>
      <c r="C9" s="228">
        <f>C5-C11</f>
        <v>1643.8000000000002</v>
      </c>
      <c r="D9" s="228">
        <f>D5-D11</f>
        <v>1472.8999999999999</v>
      </c>
      <c r="E9" s="228">
        <f t="shared" ref="E9:M9" si="2">E5-E11</f>
        <v>1393.4</v>
      </c>
      <c r="F9" s="228">
        <f t="shared" si="2"/>
        <v>1184.9000000000001</v>
      </c>
      <c r="G9" s="228">
        <f t="shared" si="2"/>
        <v>1000.9000000000001</v>
      </c>
      <c r="H9" s="228">
        <f t="shared" si="2"/>
        <v>816.99999999999989</v>
      </c>
      <c r="I9" s="228">
        <f t="shared" si="2"/>
        <v>704.59999999999991</v>
      </c>
      <c r="J9" s="228">
        <f t="shared" si="2"/>
        <v>612.29999999999995</v>
      </c>
      <c r="K9" s="228">
        <f t="shared" si="2"/>
        <v>589.09999999999991</v>
      </c>
      <c r="L9" s="228">
        <f t="shared" si="2"/>
        <v>588.5</v>
      </c>
      <c r="M9" s="228">
        <f t="shared" si="2"/>
        <v>539.4</v>
      </c>
      <c r="N9" s="228"/>
      <c r="O9" s="228"/>
      <c r="P9" s="228"/>
    </row>
    <row r="10" spans="1:24" ht="12" customHeight="1" x14ac:dyDescent="0.35">
      <c r="A10" s="224" t="s">
        <v>211</v>
      </c>
      <c r="B10" s="229">
        <f>B9/B5</f>
        <v>0.71776729559748431</v>
      </c>
      <c r="C10" s="229">
        <f>C9/C5</f>
        <v>0.72417287105158823</v>
      </c>
      <c r="D10" s="229">
        <f>D9/D5</f>
        <v>0.71306158017041055</v>
      </c>
      <c r="E10" s="229">
        <f t="shared" ref="E10:M10" si="3">E9/E5</f>
        <v>0.73079141973042427</v>
      </c>
      <c r="F10" s="229">
        <f t="shared" si="3"/>
        <v>0.70475227502527815</v>
      </c>
      <c r="G10" s="229">
        <f t="shared" si="3"/>
        <v>0.66026782769311965</v>
      </c>
      <c r="H10" s="229">
        <f t="shared" si="3"/>
        <v>0.6315708101422387</v>
      </c>
      <c r="I10" s="229">
        <f t="shared" si="3"/>
        <v>0.64329407468273525</v>
      </c>
      <c r="J10" s="229">
        <f t="shared" si="3"/>
        <v>0.61942336874051585</v>
      </c>
      <c r="K10" s="229">
        <f t="shared" si="3"/>
        <v>0.62484089944845134</v>
      </c>
      <c r="L10" s="229">
        <f t="shared" si="3"/>
        <v>0.62873931623931623</v>
      </c>
      <c r="M10" s="229">
        <f t="shared" si="3"/>
        <v>0.6262626262626263</v>
      </c>
      <c r="N10" s="229"/>
      <c r="O10" s="229"/>
      <c r="P10"/>
      <c r="Q10"/>
      <c r="R10"/>
      <c r="S10"/>
    </row>
    <row r="11" spans="1:24" ht="12" customHeight="1" x14ac:dyDescent="0.35">
      <c r="A11" s="224" t="s">
        <v>213</v>
      </c>
      <c r="B11" s="228">
        <f>Cifras_Originales!N10</f>
        <v>718</v>
      </c>
      <c r="C11" s="228">
        <f>Cifras_Originales!B10</f>
        <v>626.1</v>
      </c>
      <c r="D11" s="228">
        <f>Cifras_Originales!C10</f>
        <v>592.70000000000005</v>
      </c>
      <c r="E11" s="228">
        <f>Cifras_Originales!D10</f>
        <v>513.29999999999995</v>
      </c>
      <c r="F11" s="228">
        <f>Cifras_Originales!E10</f>
        <v>496.4</v>
      </c>
      <c r="G11" s="228">
        <f>Cifras_Originales!F10</f>
        <v>515</v>
      </c>
      <c r="H11" s="228">
        <f>Cifras_Originales!G10</f>
        <v>476.6</v>
      </c>
      <c r="I11" s="228">
        <f>Cifras_Originales!H10</f>
        <v>390.7</v>
      </c>
      <c r="J11" s="228">
        <f>Cifras_Originales!I10</f>
        <v>376.2</v>
      </c>
      <c r="K11" s="228">
        <f>Cifras_Originales!J10</f>
        <v>353.7</v>
      </c>
      <c r="L11" s="228">
        <f>Cifras_Originales!K10</f>
        <v>347.5</v>
      </c>
      <c r="M11" s="228">
        <f>Cifras_Originales!L10</f>
        <v>321.89999999999998</v>
      </c>
      <c r="N11" s="228"/>
      <c r="O11" s="228"/>
      <c r="P11"/>
      <c r="Q11"/>
      <c r="R11"/>
      <c r="S11"/>
    </row>
    <row r="12" spans="1:24" ht="12" customHeight="1" x14ac:dyDescent="0.35">
      <c r="A12" s="224" t="s">
        <v>211</v>
      </c>
      <c r="B12" s="229">
        <f>B11/B5</f>
        <v>0.28223270440251574</v>
      </c>
      <c r="C12" s="229">
        <f>C11/C5</f>
        <v>0.27582712894841183</v>
      </c>
      <c r="D12" s="229">
        <f>D11/D5</f>
        <v>0.28693841982958951</v>
      </c>
      <c r="E12" s="229">
        <f t="shared" ref="E12:M12" si="4">E11/E5</f>
        <v>0.26920858026957567</v>
      </c>
      <c r="F12" s="229">
        <f t="shared" si="4"/>
        <v>0.29524772497472196</v>
      </c>
      <c r="G12" s="229">
        <f t="shared" si="4"/>
        <v>0.33973217230688035</v>
      </c>
      <c r="H12" s="229">
        <f t="shared" si="4"/>
        <v>0.36842918985776135</v>
      </c>
      <c r="I12" s="229">
        <f t="shared" si="4"/>
        <v>0.35670592531726469</v>
      </c>
      <c r="J12" s="229">
        <f t="shared" si="4"/>
        <v>0.38057663125948404</v>
      </c>
      <c r="K12" s="229">
        <f t="shared" si="4"/>
        <v>0.37515910055154861</v>
      </c>
      <c r="L12" s="229">
        <f t="shared" si="4"/>
        <v>0.37126068376068377</v>
      </c>
      <c r="M12" s="229">
        <f t="shared" si="4"/>
        <v>0.37373737373737376</v>
      </c>
      <c r="N12" s="229"/>
      <c r="O12" s="229"/>
      <c r="P12"/>
      <c r="Q12"/>
      <c r="R12"/>
      <c r="S12"/>
    </row>
    <row r="13" spans="1:24" ht="12" customHeight="1" x14ac:dyDescent="0.35">
      <c r="A13" s="224" t="s">
        <v>214</v>
      </c>
      <c r="B13" s="230">
        <f>B11/C11-1</f>
        <v>0.14678166427088324</v>
      </c>
      <c r="C13" s="230">
        <f>C11/D11-1</f>
        <v>5.6352286148135589E-2</v>
      </c>
      <c r="D13" s="230">
        <f>D11/E11-1</f>
        <v>0.15468536917981712</v>
      </c>
      <c r="E13" s="230">
        <f t="shared" ref="E13:L13" si="5">E11/F11-1</f>
        <v>3.4045124899274803E-2</v>
      </c>
      <c r="F13" s="230">
        <f t="shared" si="5"/>
        <v>-3.6116504854369014E-2</v>
      </c>
      <c r="G13" s="230">
        <f t="shared" si="5"/>
        <v>8.0570709190096457E-2</v>
      </c>
      <c r="H13" s="230">
        <f t="shared" si="5"/>
        <v>0.21986178653698496</v>
      </c>
      <c r="I13" s="230">
        <f t="shared" si="5"/>
        <v>3.8543328017012213E-2</v>
      </c>
      <c r="J13" s="230">
        <f t="shared" si="5"/>
        <v>6.3613231552162919E-2</v>
      </c>
      <c r="K13" s="230">
        <f t="shared" si="5"/>
        <v>1.7841726618704978E-2</v>
      </c>
      <c r="L13" s="230">
        <f t="shared" si="5"/>
        <v>7.9527803665734753E-2</v>
      </c>
      <c r="M13" s="230"/>
      <c r="N13" s="230"/>
      <c r="O13" s="230"/>
      <c r="P13"/>
      <c r="Q13"/>
      <c r="R13"/>
      <c r="S13"/>
    </row>
    <row r="14" spans="1:24" ht="12" customHeight="1" x14ac:dyDescent="0.35">
      <c r="A14" s="224" t="s">
        <v>215</v>
      </c>
      <c r="B14" s="228">
        <f>Cifras_Originales!N11</f>
        <v>-3.29</v>
      </c>
      <c r="C14" s="228">
        <f>Cifras_Originales!B11</f>
        <v>43.9</v>
      </c>
      <c r="D14" s="228">
        <f>Cifras_Originales!C11</f>
        <v>-5.4</v>
      </c>
      <c r="E14" s="228">
        <f>Cifras_Originales!D11</f>
        <v>5</v>
      </c>
      <c r="F14" s="228">
        <f>Cifras_Originales!E11</f>
        <v>4.2</v>
      </c>
      <c r="G14" s="228">
        <f>Cifras_Originales!F11</f>
        <v>56.2</v>
      </c>
      <c r="H14" s="228">
        <f>Cifras_Originales!G11</f>
        <v>-13.3</v>
      </c>
      <c r="I14" s="228">
        <f>Cifras_Originales!H11</f>
        <v>55.1</v>
      </c>
      <c r="J14" s="228">
        <f>Cifras_Originales!I11</f>
        <v>38.799999999999997</v>
      </c>
      <c r="K14" s="228">
        <f>Cifras_Originales!J11</f>
        <v>-38.299999999999997</v>
      </c>
      <c r="L14" s="228">
        <f>Cifras_Originales!K11</f>
        <v>-22.6</v>
      </c>
      <c r="M14" s="228">
        <f>Cifras_Originales!L11</f>
        <v>-28.2</v>
      </c>
      <c r="N14" s="228"/>
      <c r="O14" s="228"/>
      <c r="P14"/>
      <c r="Q14"/>
      <c r="R14"/>
      <c r="S14"/>
    </row>
    <row r="15" spans="1:24" ht="12" customHeight="1" x14ac:dyDescent="0.35">
      <c r="A15" s="224" t="s">
        <v>216</v>
      </c>
      <c r="B15" s="228">
        <f>Cifras_Originales!N12</f>
        <v>-3.1320000000000001</v>
      </c>
      <c r="C15" s="228">
        <f>Cifras_Originales!B12</f>
        <v>-34</v>
      </c>
      <c r="D15" s="228">
        <f>Cifras_Originales!C12</f>
        <v>-17.34</v>
      </c>
      <c r="E15" s="228">
        <f>Cifras_Originales!D12</f>
        <v>2.08</v>
      </c>
      <c r="F15" s="228">
        <f>Cifras_Originales!E12</f>
        <v>-2.4300000000000002</v>
      </c>
      <c r="G15" s="228">
        <f>Cifras_Originales!F12</f>
        <v>7.54</v>
      </c>
      <c r="H15" s="228">
        <f>Cifras_Originales!G12</f>
        <v>10.51</v>
      </c>
      <c r="I15" s="228">
        <f>Cifras_Originales!H12</f>
        <v>4.97</v>
      </c>
      <c r="J15" s="228">
        <f>Cifras_Originales!I12</f>
        <v>4.07</v>
      </c>
      <c r="K15" s="228">
        <f>Cifras_Originales!J12</f>
        <v>3.09</v>
      </c>
      <c r="L15" s="228">
        <f>Cifras_Originales!K12</f>
        <v>0.68899999999999995</v>
      </c>
      <c r="M15" s="228">
        <f>Cifras_Originales!L12</f>
        <v>0.626</v>
      </c>
      <c r="N15" s="228"/>
      <c r="O15" s="228"/>
      <c r="P15"/>
      <c r="Q15"/>
      <c r="R15"/>
      <c r="S15"/>
    </row>
    <row r="16" spans="1:24" ht="12" customHeight="1" x14ac:dyDescent="0.35">
      <c r="A16" s="224" t="s">
        <v>217</v>
      </c>
      <c r="B16" s="228">
        <f>B11-B14-B15</f>
        <v>724.42199999999991</v>
      </c>
      <c r="C16" s="228">
        <f>C11-C14-C15</f>
        <v>616.20000000000005</v>
      </c>
      <c r="D16" s="228">
        <f>D11-D14-D15</f>
        <v>615.44000000000005</v>
      </c>
      <c r="E16" s="228">
        <f t="shared" ref="E16:M16" si="6">E11-E14-E15</f>
        <v>506.21999999999997</v>
      </c>
      <c r="F16" s="228">
        <f t="shared" si="6"/>
        <v>494.63</v>
      </c>
      <c r="G16" s="228">
        <f t="shared" si="6"/>
        <v>451.26</v>
      </c>
      <c r="H16" s="228">
        <f t="shared" si="6"/>
        <v>479.39000000000004</v>
      </c>
      <c r="I16" s="228">
        <f t="shared" si="6"/>
        <v>330.62999999999994</v>
      </c>
      <c r="J16" s="228">
        <f t="shared" si="6"/>
        <v>333.33</v>
      </c>
      <c r="K16" s="228">
        <f t="shared" si="6"/>
        <v>388.91</v>
      </c>
      <c r="L16" s="228">
        <f t="shared" si="6"/>
        <v>369.411</v>
      </c>
      <c r="M16" s="228">
        <f t="shared" si="6"/>
        <v>349.47399999999999</v>
      </c>
      <c r="N16" s="228"/>
      <c r="O16" s="228"/>
      <c r="P16"/>
      <c r="Q16"/>
      <c r="R16"/>
      <c r="S16"/>
    </row>
    <row r="17" spans="1:19" ht="12" customHeight="1" x14ac:dyDescent="0.35">
      <c r="A17" s="224" t="s">
        <v>218</v>
      </c>
      <c r="B17" s="228">
        <f>Cifras_Originales!N13</f>
        <v>142.672</v>
      </c>
      <c r="C17" s="228">
        <f>Cifras_Originales!B13</f>
        <v>132.5</v>
      </c>
      <c r="D17" s="228">
        <f>Cifras_Originales!C13</f>
        <v>114.56</v>
      </c>
      <c r="E17" s="228">
        <f>Cifras_Originales!D13</f>
        <v>106.87</v>
      </c>
      <c r="F17" s="228">
        <f>Cifras_Originales!E13</f>
        <v>106.25</v>
      </c>
      <c r="G17" s="228">
        <f>Cifras_Originales!F13</f>
        <v>78.97</v>
      </c>
      <c r="H17" s="228">
        <f>Cifras_Originales!G13</f>
        <v>59.26</v>
      </c>
      <c r="I17" s="228">
        <f>Cifras_Originales!H13</f>
        <v>67.680000000000007</v>
      </c>
      <c r="J17" s="228">
        <f>Cifras_Originales!I13</f>
        <v>69.59</v>
      </c>
      <c r="K17" s="228">
        <f>Cifras_Originales!J13</f>
        <v>77.67</v>
      </c>
      <c r="L17" s="228">
        <f>Cifras_Originales!K13</f>
        <v>81.92</v>
      </c>
      <c r="M17" s="228">
        <f>Cifras_Originales!L13</f>
        <v>80.7</v>
      </c>
      <c r="N17" s="228"/>
      <c r="O17" s="228"/>
      <c r="P17"/>
      <c r="Q17"/>
      <c r="R17"/>
      <c r="S17"/>
    </row>
    <row r="18" spans="1:19" ht="12" customHeight="1" x14ac:dyDescent="0.35">
      <c r="A18" s="224" t="s">
        <v>219</v>
      </c>
      <c r="B18" s="228">
        <f>Cifras_Originales!N14</f>
        <v>189</v>
      </c>
      <c r="C18" s="228">
        <f>Cifras_Originales!B14</f>
        <v>1160.3</v>
      </c>
      <c r="D18" s="228">
        <f>Cifras_Originales!C14</f>
        <v>869.3</v>
      </c>
      <c r="E18" s="228">
        <f>Cifras_Originales!D14</f>
        <v>860.1</v>
      </c>
      <c r="F18" s="228">
        <f>Cifras_Originales!E14</f>
        <v>990.4</v>
      </c>
      <c r="G18" s="228">
        <f>Cifras_Originales!F14</f>
        <v>860.4</v>
      </c>
      <c r="H18" s="228">
        <f>Cifras_Originales!G14</f>
        <v>786.4</v>
      </c>
      <c r="I18" s="228">
        <f>Cifras_Originales!H14</f>
        <v>661.7</v>
      </c>
      <c r="J18" s="228">
        <f>Cifras_Originales!I14</f>
        <v>630.29999999999995</v>
      </c>
      <c r="K18" s="228">
        <f>Cifras_Originales!J14</f>
        <v>592.29999999999995</v>
      </c>
      <c r="L18" s="228">
        <f>Cifras_Originales!K14</f>
        <v>617.20000000000005</v>
      </c>
      <c r="M18" s="228">
        <f>Cifras_Originales!L14</f>
        <v>627.20000000000005</v>
      </c>
      <c r="N18" s="228"/>
      <c r="O18" s="228"/>
      <c r="P18"/>
      <c r="Q18"/>
      <c r="R18"/>
      <c r="S18"/>
    </row>
    <row r="19" spans="1:19" ht="12" customHeight="1" x14ac:dyDescent="0.35">
      <c r="A19" s="224" t="s">
        <v>220</v>
      </c>
      <c r="B19" s="228">
        <f>B11-B15+B17</f>
        <v>863.80399999999997</v>
      </c>
      <c r="C19" s="228">
        <f>C11-C15+C17</f>
        <v>792.6</v>
      </c>
      <c r="D19" s="228">
        <f>D11-D15+D17</f>
        <v>724.60000000000014</v>
      </c>
      <c r="E19" s="228">
        <f t="shared" ref="E19:M19" si="7">E11-E15+E17</f>
        <v>618.08999999999992</v>
      </c>
      <c r="F19" s="228">
        <f t="shared" si="7"/>
        <v>605.07999999999993</v>
      </c>
      <c r="G19" s="228">
        <f t="shared" si="7"/>
        <v>586.42999999999995</v>
      </c>
      <c r="H19" s="228">
        <f t="shared" si="7"/>
        <v>525.35</v>
      </c>
      <c r="I19" s="228">
        <f t="shared" si="7"/>
        <v>453.40999999999997</v>
      </c>
      <c r="J19" s="228">
        <f t="shared" si="7"/>
        <v>441.72</v>
      </c>
      <c r="K19" s="228">
        <f t="shared" si="7"/>
        <v>428.28000000000003</v>
      </c>
      <c r="L19" s="228">
        <f t="shared" si="7"/>
        <v>428.73099999999999</v>
      </c>
      <c r="M19" s="228">
        <f t="shared" si="7"/>
        <v>401.97399999999999</v>
      </c>
      <c r="N19" s="228"/>
      <c r="O19" s="228"/>
      <c r="P19"/>
      <c r="Q19"/>
      <c r="R19"/>
      <c r="S19"/>
    </row>
    <row r="20" spans="1:19" ht="12.75" x14ac:dyDescent="0.35">
      <c r="A20" s="224" t="s">
        <v>211</v>
      </c>
      <c r="B20" s="229">
        <f>B19/B5</f>
        <v>0.33954559748427671</v>
      </c>
      <c r="C20" s="229">
        <f>C19/C5</f>
        <v>0.3491783779021102</v>
      </c>
      <c r="D20" s="229">
        <f>D19/D5</f>
        <v>0.3507939581719598</v>
      </c>
      <c r="E20" s="229">
        <f t="shared" ref="E20:M20" si="8">E19/E5</f>
        <v>0.3241674096606702</v>
      </c>
      <c r="F20" s="229">
        <f t="shared" si="8"/>
        <v>0.35988818176411108</v>
      </c>
      <c r="G20" s="229">
        <f t="shared" si="8"/>
        <v>0.38685269476878414</v>
      </c>
      <c r="H20" s="229">
        <f t="shared" si="8"/>
        <v>0.40611471861471865</v>
      </c>
      <c r="I20" s="229">
        <f t="shared" si="8"/>
        <v>0.41395964575915273</v>
      </c>
      <c r="J20" s="229">
        <f t="shared" si="8"/>
        <v>0.44685887708649474</v>
      </c>
      <c r="K20" s="229">
        <f t="shared" si="8"/>
        <v>0.45426389478150198</v>
      </c>
      <c r="L20" s="229">
        <f t="shared" si="8"/>
        <v>0.45804594017094019</v>
      </c>
      <c r="M20" s="229">
        <f t="shared" si="8"/>
        <v>0.46670614187855569</v>
      </c>
      <c r="N20" s="229"/>
      <c r="O20" s="229"/>
      <c r="P20"/>
      <c r="Q20"/>
      <c r="R20"/>
      <c r="S20"/>
    </row>
    <row r="21" spans="1:19" ht="12" customHeight="1" x14ac:dyDescent="0.35">
      <c r="A21" s="224" t="s">
        <v>221</v>
      </c>
      <c r="B21" s="228">
        <v>142.346</v>
      </c>
      <c r="C21" s="228">
        <f>Cifras_Originales!B17</f>
        <v>115.8</v>
      </c>
      <c r="D21" s="228">
        <f>Cifras_Originales!C17</f>
        <v>91.7</v>
      </c>
      <c r="E21" s="228">
        <f>Cifras_Originales!D17</f>
        <v>51.6</v>
      </c>
      <c r="F21" s="228">
        <f>Cifras_Originales!E17</f>
        <v>60.7</v>
      </c>
      <c r="G21" s="228">
        <f>Cifras_Originales!F17</f>
        <v>0</v>
      </c>
      <c r="H21" s="228">
        <f>Cifras_Originales!G17</f>
        <v>60</v>
      </c>
      <c r="I21" s="228">
        <f>Cifras_Originales!H17</f>
        <v>71.3</v>
      </c>
      <c r="J21" s="228">
        <f>Cifras_Originales!I17</f>
        <v>67.7</v>
      </c>
      <c r="K21" s="228">
        <f>Cifras_Originales!J17</f>
        <v>136.4</v>
      </c>
      <c r="L21" s="228">
        <f>Cifras_Originales!K17</f>
        <v>114.7</v>
      </c>
      <c r="M21" s="228">
        <f>Cifras_Originales!L17</f>
        <v>104.2</v>
      </c>
      <c r="N21" s="228"/>
      <c r="O21" s="228"/>
      <c r="P21"/>
      <c r="Q21"/>
      <c r="R21"/>
      <c r="S21"/>
    </row>
    <row r="22" spans="1:19" ht="12" customHeight="1" x14ac:dyDescent="0.35">
      <c r="A22" s="224" t="s">
        <v>222</v>
      </c>
      <c r="B22" s="231">
        <f>+B21/B16</f>
        <v>0.19649596505904021</v>
      </c>
      <c r="C22" s="231">
        <f>+C21/C16</f>
        <v>0.18792599805258031</v>
      </c>
      <c r="D22" s="231">
        <f>+D21/D16</f>
        <v>0.14899909008189263</v>
      </c>
      <c r="E22" s="231">
        <f t="shared" ref="E22:M22" si="9">+E21/E16</f>
        <v>0.101931966338746</v>
      </c>
      <c r="F22" s="231">
        <f t="shared" si="9"/>
        <v>0.12271799122576472</v>
      </c>
      <c r="G22" s="231">
        <f t="shared" si="9"/>
        <v>0</v>
      </c>
      <c r="H22" s="231">
        <f t="shared" si="9"/>
        <v>0.12515905630071547</v>
      </c>
      <c r="I22" s="231">
        <f t="shared" si="9"/>
        <v>0.21564891268184982</v>
      </c>
      <c r="J22" s="231">
        <f t="shared" si="9"/>
        <v>0.20310203102031021</v>
      </c>
      <c r="K22" s="231">
        <f t="shared" si="9"/>
        <v>0.35072381784988815</v>
      </c>
      <c r="L22" s="231">
        <f t="shared" si="9"/>
        <v>0.31049427331617091</v>
      </c>
      <c r="M22" s="231">
        <f t="shared" si="9"/>
        <v>0.29816238117857125</v>
      </c>
      <c r="N22" s="231"/>
      <c r="O22" s="231"/>
    </row>
    <row r="23" spans="1:19" ht="12" customHeight="1" x14ac:dyDescent="0.35">
      <c r="A23" s="224" t="s">
        <v>41</v>
      </c>
      <c r="B23" s="228">
        <f>Cifras_Originales!N18</f>
        <v>575.69200000000001</v>
      </c>
      <c r="C23" s="228">
        <f>Cifras_Originales!B18</f>
        <v>500.4</v>
      </c>
      <c r="D23" s="228">
        <f>Cifras_Originales!C18</f>
        <v>523.70000000000005</v>
      </c>
      <c r="E23" s="228">
        <f>Cifras_Originales!D18</f>
        <v>454.6</v>
      </c>
      <c r="F23" s="228">
        <f>Cifras_Originales!E18</f>
        <v>433.9</v>
      </c>
      <c r="G23" s="228">
        <f>Cifras_Originales!F18</f>
        <v>451.3</v>
      </c>
      <c r="H23" s="228">
        <f>Cifras_Originales!G18</f>
        <v>419.4</v>
      </c>
      <c r="I23" s="228">
        <f>Cifras_Originales!H18</f>
        <v>259.3</v>
      </c>
      <c r="J23" s="228">
        <f>Cifras_Originales!I18</f>
        <v>265.60000000000002</v>
      </c>
      <c r="K23" s="228">
        <f>Cifras_Originales!J18</f>
        <v>252.5</v>
      </c>
      <c r="L23" s="228">
        <f>Cifras_Originales!K18</f>
        <v>254.7</v>
      </c>
      <c r="M23" s="228">
        <f>Cifras_Originales!L18</f>
        <v>245.3</v>
      </c>
      <c r="N23" s="228"/>
      <c r="O23" s="228"/>
    </row>
    <row r="24" spans="1:19" ht="12" customHeight="1" x14ac:dyDescent="0.35">
      <c r="A24" s="224" t="s">
        <v>211</v>
      </c>
      <c r="B24" s="229">
        <f>B23/B5</f>
        <v>0.22629402515723271</v>
      </c>
      <c r="C24" s="229">
        <f>C23/C5</f>
        <v>0.22045024009868275</v>
      </c>
      <c r="D24" s="229">
        <f>D23/D5</f>
        <v>0.25353408210689393</v>
      </c>
      <c r="E24" s="229">
        <f t="shared" ref="E24:M24" si="10">E23/E5</f>
        <v>0.23842240520270624</v>
      </c>
      <c r="F24" s="229">
        <f t="shared" si="10"/>
        <v>0.25807410932016889</v>
      </c>
      <c r="G24" s="229">
        <f t="shared" si="10"/>
        <v>0.29771093080018468</v>
      </c>
      <c r="H24" s="229">
        <f t="shared" si="10"/>
        <v>0.32421150278293137</v>
      </c>
      <c r="I24" s="229">
        <f t="shared" si="10"/>
        <v>0.2367387930247421</v>
      </c>
      <c r="J24" s="229">
        <f t="shared" si="10"/>
        <v>0.26868993424380377</v>
      </c>
      <c r="K24" s="229">
        <f t="shared" si="10"/>
        <v>0.26781926177344084</v>
      </c>
      <c r="L24" s="229">
        <f t="shared" si="10"/>
        <v>0.27211538461538459</v>
      </c>
      <c r="M24" s="229">
        <f t="shared" si="10"/>
        <v>0.28480204342273313</v>
      </c>
      <c r="N24" s="229"/>
      <c r="O24" s="229"/>
    </row>
    <row r="25" spans="1:19" ht="12" customHeight="1" x14ac:dyDescent="0.35">
      <c r="A25" s="232" t="s">
        <v>223</v>
      </c>
      <c r="B25" s="233">
        <f>B23/C23-1</f>
        <v>0.15046362909672273</v>
      </c>
      <c r="C25" s="233">
        <f>C23/D23-1</f>
        <v>-4.4491120870727596E-2</v>
      </c>
      <c r="D25" s="233">
        <f>D23/E23-1</f>
        <v>0.15200175978882546</v>
      </c>
      <c r="E25" s="233">
        <f t="shared" ref="E25:L25" si="11">E23/F23-1</f>
        <v>4.7706844895137213E-2</v>
      </c>
      <c r="F25" s="233">
        <f t="shared" si="11"/>
        <v>-3.8555284732993633E-2</v>
      </c>
      <c r="G25" s="233">
        <f t="shared" si="11"/>
        <v>7.6061039580352929E-2</v>
      </c>
      <c r="H25" s="233">
        <f t="shared" si="11"/>
        <v>0.61743154647126874</v>
      </c>
      <c r="I25" s="233">
        <f t="shared" si="11"/>
        <v>-2.3719879518072307E-2</v>
      </c>
      <c r="J25" s="233">
        <f t="shared" si="11"/>
        <v>5.1881188118811927E-2</v>
      </c>
      <c r="K25" s="233">
        <f t="shared" si="11"/>
        <v>-8.6376128778955508E-3</v>
      </c>
      <c r="L25" s="233">
        <f t="shared" si="11"/>
        <v>3.8320423970648054E-2</v>
      </c>
      <c r="M25" s="233"/>
      <c r="N25" s="229"/>
      <c r="O25" s="229"/>
    </row>
    <row r="26" spans="1:19" ht="12" customHeight="1" x14ac:dyDescent="0.35">
      <c r="A26" s="224" t="s">
        <v>224</v>
      </c>
      <c r="B26" s="228">
        <f>B40-C40</f>
        <v>586.54299999999989</v>
      </c>
      <c r="C26" s="228">
        <f>C40-D40</f>
        <v>245.80000000000007</v>
      </c>
      <c r="D26" s="228">
        <f>D40-E40</f>
        <v>-53.300000000000068</v>
      </c>
      <c r="E26" s="228">
        <f t="shared" ref="E26:M26" si="12">E40-F40</f>
        <v>-245</v>
      </c>
      <c r="F26" s="228">
        <f t="shared" si="12"/>
        <v>40.600000000000023</v>
      </c>
      <c r="G26" s="228">
        <f t="shared" si="12"/>
        <v>95</v>
      </c>
      <c r="H26" s="228">
        <f t="shared" si="12"/>
        <v>-104.39999999999998</v>
      </c>
      <c r="I26" s="228">
        <f t="shared" si="12"/>
        <v>59</v>
      </c>
      <c r="J26" s="228">
        <f t="shared" si="12"/>
        <v>37.899999999999977</v>
      </c>
      <c r="K26" s="228">
        <f t="shared" si="12"/>
        <v>-3.5</v>
      </c>
      <c r="L26" s="228">
        <f t="shared" si="12"/>
        <v>45.600000000000023</v>
      </c>
      <c r="M26" s="228">
        <f t="shared" si="12"/>
        <v>742.5</v>
      </c>
      <c r="N26" s="229"/>
      <c r="O26" s="229"/>
    </row>
    <row r="27" spans="1:19" ht="12" customHeight="1" x14ac:dyDescent="0.35">
      <c r="A27" s="234" t="s">
        <v>225</v>
      </c>
      <c r="B27" s="235">
        <v>0</v>
      </c>
      <c r="C27" s="235">
        <f>Cifras_Originales!B19</f>
        <v>0</v>
      </c>
      <c r="D27" s="235">
        <f>Cifras_Originales!C19</f>
        <v>0</v>
      </c>
      <c r="E27" s="235">
        <f>Cifras_Originales!D19</f>
        <v>0</v>
      </c>
      <c r="F27" s="235">
        <f>Cifras_Originales!E19</f>
        <v>0</v>
      </c>
      <c r="G27" s="235">
        <f>Cifras_Originales!F19</f>
        <v>0</v>
      </c>
      <c r="H27" s="235">
        <f>Cifras_Originales!G19</f>
        <v>0</v>
      </c>
      <c r="I27" s="235">
        <f>Cifras_Originales!H19</f>
        <v>0</v>
      </c>
      <c r="J27" s="235">
        <f>Cifras_Originales!I19</f>
        <v>0</v>
      </c>
      <c r="K27" s="235">
        <f>Cifras_Originales!J19</f>
        <v>0</v>
      </c>
      <c r="L27" s="235">
        <f>Cifras_Originales!K19</f>
        <v>0</v>
      </c>
      <c r="M27" s="235">
        <f>Cifras_Originales!L19</f>
        <v>0</v>
      </c>
      <c r="N27" s="229"/>
      <c r="O27" s="229"/>
    </row>
    <row r="28" spans="1:19" ht="12" customHeight="1" x14ac:dyDescent="0.35">
      <c r="A28" s="396"/>
      <c r="B28" s="397"/>
      <c r="C28" s="397"/>
      <c r="D28" s="397"/>
      <c r="E28" s="397"/>
      <c r="F28" s="397"/>
      <c r="G28" s="397"/>
      <c r="H28" s="397"/>
      <c r="I28" s="397"/>
      <c r="J28" s="397"/>
      <c r="K28" s="397"/>
      <c r="L28" s="397"/>
      <c r="M28" s="228"/>
      <c r="N28" s="229"/>
      <c r="O28" s="229"/>
    </row>
    <row r="29" spans="1:19" ht="12" customHeight="1" x14ac:dyDescent="0.35">
      <c r="A29" s="236" t="s">
        <v>226</v>
      </c>
      <c r="B29" s="237">
        <v>0</v>
      </c>
      <c r="C29" s="237">
        <f>Cifras_Originales!B20</f>
        <v>-47.2</v>
      </c>
      <c r="D29" s="237">
        <f>Cifras_Originales!C20</f>
        <v>-69.2</v>
      </c>
      <c r="E29" s="237">
        <f>Cifras_Originales!D20</f>
        <v>-175.9</v>
      </c>
      <c r="F29" s="237">
        <f>Cifras_Originales!E20</f>
        <v>-294.3</v>
      </c>
      <c r="G29" s="237">
        <f>Cifras_Originales!F20</f>
        <v>-282.5</v>
      </c>
      <c r="H29" s="237">
        <f>Cifras_Originales!G20</f>
        <v>-294.7</v>
      </c>
      <c r="I29" s="237">
        <f>Cifras_Originales!H20</f>
        <v>-257.7</v>
      </c>
      <c r="J29" s="237">
        <f>Cifras_Originales!I20</f>
        <v>-67.5</v>
      </c>
      <c r="K29" s="237">
        <f>Cifras_Originales!J20</f>
        <v>-202.5</v>
      </c>
      <c r="L29" s="237">
        <f>Cifras_Originales!K20</f>
        <v>-200.3</v>
      </c>
      <c r="M29" s="237">
        <f>Cifras_Originales!L20</f>
        <v>-244.2</v>
      </c>
      <c r="N29" s="229"/>
      <c r="O29" s="229"/>
    </row>
    <row r="30" spans="1:19" ht="12" customHeight="1" x14ac:dyDescent="0.35">
      <c r="A30" s="224" t="s">
        <v>12</v>
      </c>
      <c r="B30" s="228">
        <f>SUM(B26:B29)</f>
        <v>586.54299999999989</v>
      </c>
      <c r="C30" s="228">
        <f>SUM(C26:C29)</f>
        <v>198.60000000000008</v>
      </c>
      <c r="D30" s="228">
        <f>SUM(D26:D29)</f>
        <v>-122.50000000000007</v>
      </c>
      <c r="E30" s="228">
        <f t="shared" ref="E30:M30" si="13">SUM(E26:E29)</f>
        <v>-420.9</v>
      </c>
      <c r="F30" s="228">
        <f t="shared" si="13"/>
        <v>-253.7</v>
      </c>
      <c r="G30" s="228">
        <f t="shared" si="13"/>
        <v>-187.5</v>
      </c>
      <c r="H30" s="228">
        <f t="shared" si="13"/>
        <v>-399.09999999999997</v>
      </c>
      <c r="I30" s="228">
        <f t="shared" si="13"/>
        <v>-198.7</v>
      </c>
      <c r="J30" s="228">
        <f t="shared" si="13"/>
        <v>-29.600000000000023</v>
      </c>
      <c r="K30" s="228">
        <f t="shared" si="13"/>
        <v>-206</v>
      </c>
      <c r="L30" s="228">
        <f t="shared" si="13"/>
        <v>-154.69999999999999</v>
      </c>
      <c r="M30" s="228">
        <f t="shared" si="13"/>
        <v>498.3</v>
      </c>
      <c r="N30" s="229"/>
      <c r="O30" s="229"/>
    </row>
    <row r="31" spans="1:19" ht="12" customHeight="1" x14ac:dyDescent="0.35">
      <c r="A31" s="238" t="s">
        <v>227</v>
      </c>
      <c r="B31" s="239">
        <f>B30-(B60-C60)</f>
        <v>552.71299999999985</v>
      </c>
      <c r="C31" s="239">
        <f>C30-(C60-D60)</f>
        <v>145.50000000000009</v>
      </c>
      <c r="D31" s="239">
        <f>D30-(D60-E60)</f>
        <v>-122.50000000000007</v>
      </c>
      <c r="E31" s="239">
        <f t="shared" ref="E31:M31" si="14">E30-(E60-F60)</f>
        <v>-420.9</v>
      </c>
      <c r="F31" s="239">
        <f t="shared" si="14"/>
        <v>-253.7</v>
      </c>
      <c r="G31" s="239">
        <f t="shared" si="14"/>
        <v>-187.5</v>
      </c>
      <c r="H31" s="239">
        <f t="shared" si="14"/>
        <v>-399.09999999999997</v>
      </c>
      <c r="I31" s="239">
        <f t="shared" si="14"/>
        <v>519.79999999999995</v>
      </c>
      <c r="J31" s="239">
        <f t="shared" si="14"/>
        <v>339.10000000000014</v>
      </c>
      <c r="K31" s="239">
        <f t="shared" si="14"/>
        <v>-285.20000000000005</v>
      </c>
      <c r="L31" s="239">
        <f t="shared" si="14"/>
        <v>-137.90000000000003</v>
      </c>
      <c r="M31" s="239">
        <f t="shared" si="14"/>
        <v>-526.5</v>
      </c>
      <c r="N31" s="239"/>
      <c r="O31" s="239"/>
    </row>
    <row r="32" spans="1:19" ht="12" customHeight="1" x14ac:dyDescent="0.35">
      <c r="A32" s="240" t="s">
        <v>228</v>
      </c>
      <c r="B32" s="241">
        <f>B31+B34</f>
        <v>552.71299999999985</v>
      </c>
      <c r="C32" s="241">
        <f>C31+C34</f>
        <v>145.50000000000009</v>
      </c>
      <c r="D32" s="241">
        <f>D31+D34</f>
        <v>-122.50000000000007</v>
      </c>
      <c r="E32" s="241">
        <f t="shared" ref="E32:M32" si="15">E31+E34</f>
        <v>-420.9</v>
      </c>
      <c r="F32" s="241">
        <f t="shared" si="15"/>
        <v>-253.7</v>
      </c>
      <c r="G32" s="241">
        <f t="shared" si="15"/>
        <v>-187.5</v>
      </c>
      <c r="H32" s="241">
        <f t="shared" si="15"/>
        <v>-399.09999999999997</v>
      </c>
      <c r="I32" s="241">
        <f t="shared" si="15"/>
        <v>519.79999999999995</v>
      </c>
      <c r="J32" s="241">
        <f t="shared" si="15"/>
        <v>339.10000000000014</v>
      </c>
      <c r="K32" s="241">
        <f t="shared" si="15"/>
        <v>-285.20000000000005</v>
      </c>
      <c r="L32" s="241">
        <f t="shared" si="15"/>
        <v>-138.23500000000004</v>
      </c>
      <c r="M32" s="241">
        <f t="shared" si="15"/>
        <v>-526.76099999999997</v>
      </c>
      <c r="N32" s="228"/>
      <c r="O32" s="228"/>
    </row>
    <row r="33" spans="1:27" ht="12" customHeight="1" x14ac:dyDescent="0.35">
      <c r="A33" s="224" t="s">
        <v>117</v>
      </c>
      <c r="B33" s="228">
        <v>-44</v>
      </c>
      <c r="C33" s="228">
        <f>Cifras_Originales!B15</f>
        <v>-25.3</v>
      </c>
      <c r="D33" s="228">
        <f>Cifras_Originales!C15</f>
        <v>-24.37</v>
      </c>
      <c r="E33" s="228">
        <f>Cifras_Originales!D15</f>
        <v>-23.02</v>
      </c>
      <c r="F33" s="228">
        <f>Cifras_Originales!E15</f>
        <v>-35.369999999999997</v>
      </c>
      <c r="G33" s="228">
        <f>Cifras_Originales!F15</f>
        <v>-44.94</v>
      </c>
      <c r="H33" s="228">
        <f>Cifras_Originales!G15</f>
        <v>-21.76</v>
      </c>
      <c r="I33" s="228">
        <f>Cifras_Originales!H15</f>
        <v>-19.149999999999999</v>
      </c>
      <c r="J33" s="228">
        <f>Cifras_Originales!I15</f>
        <v>-12.44</v>
      </c>
      <c r="K33" s="228">
        <f>Cifras_Originales!J15</f>
        <v>-16.14</v>
      </c>
      <c r="L33" s="228">
        <f>Cifras_Originales!K15</f>
        <v>-26.02</v>
      </c>
      <c r="M33" s="228">
        <f>Cifras_Originales!L15</f>
        <v>-28.85</v>
      </c>
      <c r="N33" s="229"/>
      <c r="O33" s="229"/>
    </row>
    <row r="34" spans="1:27" ht="12" customHeight="1" x14ac:dyDescent="0.35">
      <c r="A34" s="242" t="s">
        <v>19</v>
      </c>
      <c r="B34" s="228">
        <v>0</v>
      </c>
      <c r="C34" s="228">
        <f>Cifras_Originales!B16</f>
        <v>0</v>
      </c>
      <c r="D34" s="228">
        <f>Cifras_Originales!C16</f>
        <v>0</v>
      </c>
      <c r="E34" s="228">
        <f>Cifras_Originales!D16</f>
        <v>0</v>
      </c>
      <c r="F34" s="228">
        <f>Cifras_Originales!E16</f>
        <v>0</v>
      </c>
      <c r="G34" s="228">
        <f>Cifras_Originales!F16</f>
        <v>0</v>
      </c>
      <c r="H34" s="228">
        <f>Cifras_Originales!G16</f>
        <v>0</v>
      </c>
      <c r="I34" s="228">
        <f>Cifras_Originales!H16</f>
        <v>0</v>
      </c>
      <c r="J34" s="228">
        <f>Cifras_Originales!I16</f>
        <v>0</v>
      </c>
      <c r="K34" s="228">
        <f>Cifras_Originales!J16</f>
        <v>0</v>
      </c>
      <c r="L34" s="228">
        <f>Cifras_Originales!K16</f>
        <v>-0.33500000000000002</v>
      </c>
      <c r="M34" s="228">
        <f>Cifras_Originales!L16</f>
        <v>-0.26100000000000001</v>
      </c>
      <c r="N34" s="229"/>
      <c r="O34" s="229"/>
    </row>
    <row r="35" spans="1:27" ht="12" customHeight="1" x14ac:dyDescent="0.35">
      <c r="A35" s="242" t="s">
        <v>229</v>
      </c>
      <c r="B35" s="228">
        <f>B33+C34</f>
        <v>-44</v>
      </c>
      <c r="C35" s="228">
        <f t="shared" ref="C35:M35" si="16">+C34+C33</f>
        <v>-25.3</v>
      </c>
      <c r="D35" s="228">
        <f t="shared" si="16"/>
        <v>-24.37</v>
      </c>
      <c r="E35" s="228">
        <f t="shared" si="16"/>
        <v>-23.02</v>
      </c>
      <c r="F35" s="228">
        <f t="shared" si="16"/>
        <v>-35.369999999999997</v>
      </c>
      <c r="G35" s="228">
        <f t="shared" si="16"/>
        <v>-44.94</v>
      </c>
      <c r="H35" s="228">
        <f t="shared" si="16"/>
        <v>-21.76</v>
      </c>
      <c r="I35" s="228">
        <f t="shared" si="16"/>
        <v>-19.149999999999999</v>
      </c>
      <c r="J35" s="228">
        <f t="shared" si="16"/>
        <v>-12.44</v>
      </c>
      <c r="K35" s="228">
        <f t="shared" si="16"/>
        <v>-16.14</v>
      </c>
      <c r="L35" s="228">
        <f t="shared" si="16"/>
        <v>-26.355</v>
      </c>
      <c r="M35" s="228">
        <f t="shared" si="16"/>
        <v>-29.111000000000001</v>
      </c>
      <c r="N35" s="228"/>
      <c r="O35" s="228"/>
    </row>
    <row r="36" spans="1:27" ht="12" customHeight="1" x14ac:dyDescent="0.35">
      <c r="A36" s="242"/>
      <c r="B36" s="229">
        <f>+B35/B5</f>
        <v>-1.7295597484276729E-2</v>
      </c>
      <c r="C36" s="229">
        <f>+C35/C5</f>
        <v>-1.1145865456628046E-2</v>
      </c>
      <c r="D36" s="229">
        <f t="shared" ref="D36:M36" si="17">+D35/D5</f>
        <v>-1.1798024786986832E-2</v>
      </c>
      <c r="E36" s="229">
        <f t="shared" si="17"/>
        <v>-1.2073215503225468E-2</v>
      </c>
      <c r="F36" s="229">
        <f t="shared" si="17"/>
        <v>-2.1037292571224647E-2</v>
      </c>
      <c r="G36" s="229">
        <f t="shared" si="17"/>
        <v>-2.9645754997031464E-2</v>
      </c>
      <c r="H36" s="229">
        <f t="shared" si="17"/>
        <v>-1.6821273964131109E-2</v>
      </c>
      <c r="I36" s="229">
        <f t="shared" si="17"/>
        <v>-1.7483794394229892E-2</v>
      </c>
      <c r="J36" s="229">
        <f t="shared" si="17"/>
        <v>-1.2584724329792615E-2</v>
      </c>
      <c r="K36" s="229">
        <f t="shared" si="17"/>
        <v>-1.7119219346627069E-2</v>
      </c>
      <c r="L36" s="229">
        <f t="shared" si="17"/>
        <v>-2.8157051282051284E-2</v>
      </c>
      <c r="M36" s="229">
        <f t="shared" si="17"/>
        <v>-3.3798908626494838E-2</v>
      </c>
      <c r="N36" s="228"/>
      <c r="O36" s="228"/>
    </row>
    <row r="37" spans="1:27" ht="12" customHeight="1" x14ac:dyDescent="0.35">
      <c r="A37" s="242" t="s">
        <v>230</v>
      </c>
      <c r="B37" s="228">
        <f t="shared" ref="B37:M37" si="18">SUM(B27:B29)</f>
        <v>0</v>
      </c>
      <c r="C37" s="228">
        <f t="shared" si="18"/>
        <v>-47.2</v>
      </c>
      <c r="D37" s="228">
        <f t="shared" si="18"/>
        <v>-69.2</v>
      </c>
      <c r="E37" s="228">
        <f t="shared" si="18"/>
        <v>-175.9</v>
      </c>
      <c r="F37" s="228">
        <f t="shared" si="18"/>
        <v>-294.3</v>
      </c>
      <c r="G37" s="228">
        <f t="shared" si="18"/>
        <v>-282.5</v>
      </c>
      <c r="H37" s="228">
        <f t="shared" si="18"/>
        <v>-294.7</v>
      </c>
      <c r="I37" s="228">
        <f t="shared" si="18"/>
        <v>-257.7</v>
      </c>
      <c r="J37" s="228">
        <f t="shared" si="18"/>
        <v>-67.5</v>
      </c>
      <c r="K37" s="228">
        <f t="shared" si="18"/>
        <v>-202.5</v>
      </c>
      <c r="L37" s="228">
        <f t="shared" si="18"/>
        <v>-200.3</v>
      </c>
      <c r="M37" s="228">
        <f t="shared" si="18"/>
        <v>-244.2</v>
      </c>
      <c r="N37" s="228"/>
      <c r="O37" s="228"/>
    </row>
    <row r="38" spans="1:27" ht="12" customHeight="1" x14ac:dyDescent="0.4">
      <c r="A38" s="227"/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</row>
    <row r="39" spans="1:27" ht="12" customHeight="1" x14ac:dyDescent="0.4">
      <c r="A39" s="243" t="s">
        <v>231</v>
      </c>
      <c r="B39" s="244"/>
      <c r="C39" s="244"/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O39" s="244"/>
    </row>
    <row r="40" spans="1:27" ht="12" customHeight="1" x14ac:dyDescent="0.35">
      <c r="A40" s="224" t="s">
        <v>232</v>
      </c>
      <c r="B40" s="228">
        <v>1446.7429999999999</v>
      </c>
      <c r="C40" s="228">
        <f>Cifras_Originales!B24</f>
        <v>860.2</v>
      </c>
      <c r="D40" s="228">
        <f>Cifras_Originales!C24</f>
        <v>614.4</v>
      </c>
      <c r="E40" s="228">
        <f>Cifras_Originales!D24</f>
        <v>667.7</v>
      </c>
      <c r="F40" s="228">
        <f>Cifras_Originales!E24</f>
        <v>912.7</v>
      </c>
      <c r="G40" s="228">
        <f>Cifras_Originales!F24</f>
        <v>872.1</v>
      </c>
      <c r="H40" s="228">
        <f>Cifras_Originales!G24</f>
        <v>777.1</v>
      </c>
      <c r="I40" s="228">
        <f>Cifras_Originales!H24</f>
        <v>881.5</v>
      </c>
      <c r="J40" s="228">
        <f>Cifras_Originales!I24</f>
        <v>822.5</v>
      </c>
      <c r="K40" s="228">
        <f>Cifras_Originales!J24</f>
        <v>784.6</v>
      </c>
      <c r="L40" s="228">
        <f>Cifras_Originales!K24</f>
        <v>788.1</v>
      </c>
      <c r="M40" s="228">
        <f>Cifras_Originales!L24</f>
        <v>742.5</v>
      </c>
      <c r="N40" s="228"/>
      <c r="O40" s="228"/>
    </row>
    <row r="41" spans="1:27" ht="12" customHeight="1" x14ac:dyDescent="0.35">
      <c r="A41" s="224" t="s">
        <v>233</v>
      </c>
      <c r="B41" s="228">
        <v>1022.85</v>
      </c>
      <c r="C41" s="228">
        <f>Cifras_Originales!B25</f>
        <v>864.5</v>
      </c>
      <c r="D41" s="228">
        <f>Cifras_Originales!C25</f>
        <v>760.3</v>
      </c>
      <c r="E41" s="228">
        <f>Cifras_Originales!D25</f>
        <v>645.9</v>
      </c>
      <c r="F41" s="228">
        <f>Cifras_Originales!E25</f>
        <v>537.6</v>
      </c>
      <c r="G41" s="228">
        <f>Cifras_Originales!F25</f>
        <v>433.5</v>
      </c>
      <c r="H41" s="228">
        <f>Cifras_Originales!G25</f>
        <v>317.7</v>
      </c>
      <c r="I41" s="228">
        <f>Cifras_Originales!H25</f>
        <v>124.7</v>
      </c>
      <c r="J41" s="228">
        <f>Cifras_Originales!I25</f>
        <v>107.2</v>
      </c>
      <c r="K41" s="228">
        <f>Cifras_Originales!J25</f>
        <v>91.6</v>
      </c>
      <c r="L41" s="228">
        <f>Cifras_Originales!K25</f>
        <v>101.2</v>
      </c>
      <c r="M41" s="228">
        <f>Cifras_Originales!L25</f>
        <v>97.8</v>
      </c>
      <c r="N41" s="228"/>
      <c r="O41" s="228"/>
    </row>
    <row r="42" spans="1:27" ht="12" customHeight="1" x14ac:dyDescent="0.35">
      <c r="A42" s="224" t="s">
        <v>234</v>
      </c>
      <c r="B42" s="228">
        <v>0</v>
      </c>
      <c r="C42" s="228">
        <f>Cifras_Originales!B26</f>
        <v>0</v>
      </c>
      <c r="D42" s="228">
        <f>Cifras_Originales!C26</f>
        <v>0</v>
      </c>
      <c r="E42" s="228">
        <f>Cifras_Originales!D26</f>
        <v>0</v>
      </c>
      <c r="F42" s="228">
        <f>Cifras_Originales!E26</f>
        <v>0</v>
      </c>
      <c r="G42" s="228">
        <f>Cifras_Originales!F26</f>
        <v>0</v>
      </c>
      <c r="H42" s="228">
        <f>Cifras_Originales!G26</f>
        <v>0</v>
      </c>
      <c r="I42" s="228">
        <f>Cifras_Originales!H26</f>
        <v>0</v>
      </c>
      <c r="J42" s="228">
        <f>Cifras_Originales!I26</f>
        <v>0</v>
      </c>
      <c r="K42" s="228">
        <f>Cifras_Originales!J26</f>
        <v>0</v>
      </c>
      <c r="L42" s="228">
        <f>Cifras_Originales!K26</f>
        <v>0</v>
      </c>
      <c r="M42" s="228">
        <f>Cifras_Originales!L26</f>
        <v>0</v>
      </c>
      <c r="N42" s="228"/>
      <c r="O42" s="228"/>
    </row>
    <row r="43" spans="1:27" ht="12" customHeight="1" x14ac:dyDescent="0.35">
      <c r="A43" s="224" t="s">
        <v>235</v>
      </c>
      <c r="B43" s="228">
        <v>89.646000000000001</v>
      </c>
      <c r="C43" s="228">
        <f>Cifras_Originales!B27</f>
        <v>194.8</v>
      </c>
      <c r="D43" s="228">
        <f>Cifras_Originales!C27</f>
        <v>210</v>
      </c>
      <c r="E43" s="228">
        <f>Cifras_Originales!D27</f>
        <v>208.8</v>
      </c>
      <c r="F43" s="228">
        <f>Cifras_Originales!E27</f>
        <v>234.2</v>
      </c>
      <c r="G43" s="228">
        <f>Cifras_Originales!F27</f>
        <v>189.3</v>
      </c>
      <c r="H43" s="228">
        <f>Cifras_Originales!G27</f>
        <v>61.7</v>
      </c>
      <c r="I43" s="228">
        <f>Cifras_Originales!H27</f>
        <v>57.1</v>
      </c>
      <c r="J43" s="228">
        <f>Cifras_Originales!I27</f>
        <v>54.7</v>
      </c>
      <c r="K43" s="228">
        <f>Cifras_Originales!J27</f>
        <v>61.9</v>
      </c>
      <c r="L43" s="228">
        <f>Cifras_Originales!K27</f>
        <v>64.2</v>
      </c>
      <c r="M43" s="228">
        <f>Cifras_Originales!L27</f>
        <v>60.5</v>
      </c>
      <c r="N43" s="228"/>
      <c r="O43" s="228"/>
      <c r="P43" s="223">
        <v>24</v>
      </c>
      <c r="Q43" s="223">
        <f>P43-1</f>
        <v>23</v>
      </c>
      <c r="R43" s="223">
        <f t="shared" ref="R43:AA43" si="19">Q43-1</f>
        <v>22</v>
      </c>
      <c r="S43" s="223">
        <f t="shared" si="19"/>
        <v>21</v>
      </c>
      <c r="T43" s="223">
        <f t="shared" si="19"/>
        <v>20</v>
      </c>
      <c r="U43" s="223">
        <f t="shared" si="19"/>
        <v>19</v>
      </c>
      <c r="V43" s="223">
        <f t="shared" si="19"/>
        <v>18</v>
      </c>
      <c r="W43" s="223">
        <f t="shared" si="19"/>
        <v>17</v>
      </c>
      <c r="X43" s="223">
        <f t="shared" si="19"/>
        <v>16</v>
      </c>
      <c r="Y43" s="223">
        <f t="shared" si="19"/>
        <v>15</v>
      </c>
      <c r="Z43" s="223">
        <f t="shared" si="19"/>
        <v>14</v>
      </c>
      <c r="AA43" s="223">
        <f t="shared" si="19"/>
        <v>13</v>
      </c>
    </row>
    <row r="44" spans="1:27" ht="12" customHeight="1" x14ac:dyDescent="0.35">
      <c r="A44" s="224" t="s">
        <v>236</v>
      </c>
      <c r="B44" s="228">
        <f>B45-SUM(B40:B43)</f>
        <v>5492.1919999999991</v>
      </c>
      <c r="C44" s="228">
        <f>Cifras_Originales!B28</f>
        <v>5403.4</v>
      </c>
      <c r="D44" s="228">
        <f>Cifras_Originales!C28</f>
        <v>5103.2</v>
      </c>
      <c r="E44" s="228">
        <f>Cifras_Originales!D28</f>
        <v>4801.9000000000005</v>
      </c>
      <c r="F44" s="228">
        <f>Cifras_Originales!E28</f>
        <v>4256.1000000000004</v>
      </c>
      <c r="G44" s="228">
        <f>Cifras_Originales!F28</f>
        <v>3344</v>
      </c>
      <c r="H44" s="228">
        <f>Cifras_Originales!G28</f>
        <v>2109.5</v>
      </c>
      <c r="I44" s="228">
        <f>Cifras_Originales!H28</f>
        <v>1878.3</v>
      </c>
      <c r="J44" s="228">
        <f>Cifras_Originales!I28</f>
        <v>1816.1</v>
      </c>
      <c r="K44" s="228">
        <f>Cifras_Originales!J28</f>
        <v>1791.8000000000002</v>
      </c>
      <c r="L44" s="228">
        <f>Cifras_Originales!K28</f>
        <v>1799.4</v>
      </c>
      <c r="M44" s="228">
        <f>Cifras_Originales!L28</f>
        <v>1821.6000000000001</v>
      </c>
      <c r="N44" s="228"/>
      <c r="O44" s="228" t="s">
        <v>541</v>
      </c>
      <c r="Q44" s="223">
        <v>7322.9</v>
      </c>
      <c r="R44" s="223">
        <v>6687.9</v>
      </c>
      <c r="S44" s="223">
        <v>6324.3</v>
      </c>
      <c r="T44" s="223">
        <v>5940.6</v>
      </c>
      <c r="U44" s="223">
        <v>4838.8999999999996</v>
      </c>
      <c r="V44" s="223">
        <v>3266</v>
      </c>
      <c r="W44" s="223">
        <v>2941.6</v>
      </c>
      <c r="X44" s="223">
        <v>2800.5</v>
      </c>
      <c r="Y44" s="223">
        <v>2729.9</v>
      </c>
      <c r="Z44" s="223">
        <v>2752.9</v>
      </c>
      <c r="AA44" s="223">
        <v>2722.4</v>
      </c>
    </row>
    <row r="45" spans="1:27" ht="12" customHeight="1" x14ac:dyDescent="0.4">
      <c r="A45" s="224" t="s">
        <v>237</v>
      </c>
      <c r="B45" s="245">
        <v>8051.4309999999996</v>
      </c>
      <c r="C45" s="245">
        <f>Cifras_Originales!B29</f>
        <v>7322.9</v>
      </c>
      <c r="D45" s="245">
        <f>Cifras_Originales!C29</f>
        <v>6687.9</v>
      </c>
      <c r="E45" s="245">
        <f>Cifras_Originales!D29</f>
        <v>6324.3</v>
      </c>
      <c r="F45" s="245">
        <f>Cifras_Originales!E29</f>
        <v>5940.6</v>
      </c>
      <c r="G45" s="245">
        <f>Cifras_Originales!F29</f>
        <v>4838.8999999999996</v>
      </c>
      <c r="H45" s="245">
        <f>Cifras_Originales!G29</f>
        <v>3266</v>
      </c>
      <c r="I45" s="245">
        <f>Cifras_Originales!H29</f>
        <v>2941.6</v>
      </c>
      <c r="J45" s="245">
        <f>Cifras_Originales!I29</f>
        <v>2800.5</v>
      </c>
      <c r="K45" s="245">
        <f>Cifras_Originales!J29</f>
        <v>2729.9</v>
      </c>
      <c r="L45" s="245">
        <f>Cifras_Originales!K29</f>
        <v>2752.9</v>
      </c>
      <c r="M45" s="245">
        <f>Cifras_Originales!L29</f>
        <v>2722.4</v>
      </c>
      <c r="N45" s="245"/>
      <c r="O45" s="245" t="s">
        <v>542</v>
      </c>
      <c r="P45" s="223">
        <v>0</v>
      </c>
      <c r="Q45" s="223">
        <v>53.1</v>
      </c>
      <c r="R45" s="223">
        <v>0</v>
      </c>
      <c r="S45" s="223">
        <v>0</v>
      </c>
      <c r="T45" s="223">
        <v>0</v>
      </c>
      <c r="U45" s="223">
        <v>0</v>
      </c>
      <c r="V45" s="223">
        <v>0</v>
      </c>
      <c r="W45" s="223">
        <v>0</v>
      </c>
      <c r="X45" s="223">
        <v>718.49999999999989</v>
      </c>
      <c r="Y45" s="223">
        <v>1087.2</v>
      </c>
      <c r="Z45" s="223">
        <v>1008</v>
      </c>
      <c r="AA45" s="223">
        <v>1024.8</v>
      </c>
    </row>
    <row r="46" spans="1:27" ht="12" customHeight="1" x14ac:dyDescent="0.35"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</row>
    <row r="47" spans="1:27" ht="12" customHeight="1" x14ac:dyDescent="0.35"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3" t="e">
        <f>P45/P44</f>
        <v>#DIV/0!</v>
      </c>
      <c r="Q47" s="223">
        <f t="shared" ref="Q47:AA47" si="20">Q45/Q44</f>
        <v>7.2512256073413543E-3</v>
      </c>
      <c r="R47" s="223">
        <f t="shared" si="20"/>
        <v>0</v>
      </c>
      <c r="S47" s="223">
        <f t="shared" si="20"/>
        <v>0</v>
      </c>
      <c r="T47" s="223">
        <f t="shared" si="20"/>
        <v>0</v>
      </c>
      <c r="U47" s="223">
        <f t="shared" si="20"/>
        <v>0</v>
      </c>
      <c r="V47" s="223">
        <f t="shared" si="20"/>
        <v>0</v>
      </c>
      <c r="W47" s="223">
        <f t="shared" si="20"/>
        <v>0</v>
      </c>
      <c r="X47" s="223">
        <f t="shared" si="20"/>
        <v>0.25656132833422601</v>
      </c>
      <c r="Y47" s="223">
        <f t="shared" si="20"/>
        <v>0.39825634638631452</v>
      </c>
      <c r="Z47" s="223">
        <f t="shared" si="20"/>
        <v>0.36615932289585529</v>
      </c>
      <c r="AA47" s="223">
        <f t="shared" si="20"/>
        <v>0.37643255950631793</v>
      </c>
    </row>
    <row r="48" spans="1:27" ht="12" customHeight="1" x14ac:dyDescent="0.4">
      <c r="A48" s="243" t="s">
        <v>238</v>
      </c>
      <c r="B48" s="244"/>
      <c r="C48" s="244"/>
      <c r="D48" s="244"/>
      <c r="E48" s="244"/>
      <c r="F48" s="244"/>
      <c r="G48" s="244"/>
      <c r="H48" s="244"/>
      <c r="I48" s="244"/>
      <c r="J48" s="244"/>
      <c r="K48" s="244"/>
      <c r="L48" s="244"/>
      <c r="M48" s="244"/>
      <c r="N48" s="244"/>
      <c r="O48" s="244"/>
    </row>
    <row r="49" spans="1:27" ht="12" customHeight="1" x14ac:dyDescent="0.35">
      <c r="A49" s="224" t="s">
        <v>239</v>
      </c>
      <c r="B49" s="228">
        <v>941.18399999999997</v>
      </c>
      <c r="C49" s="228">
        <f>Cifras_Originales!B33</f>
        <v>477.4</v>
      </c>
      <c r="D49" s="228">
        <f>Cifras_Originales!C33</f>
        <v>440.4</v>
      </c>
      <c r="E49" s="228">
        <f>Cifras_Originales!D33</f>
        <v>465.1</v>
      </c>
      <c r="F49" s="228">
        <f>Cifras_Originales!E33</f>
        <v>484.1</v>
      </c>
      <c r="G49" s="228">
        <f>Cifras_Originales!F33</f>
        <v>539.1</v>
      </c>
      <c r="H49" s="228">
        <f>Cifras_Originales!G33</f>
        <v>608.6</v>
      </c>
      <c r="I49" s="228">
        <f>Cifras_Originales!H33</f>
        <v>524.79999999999995</v>
      </c>
      <c r="J49" s="228">
        <f>Cifras_Originales!I33</f>
        <v>695.1</v>
      </c>
      <c r="K49" s="228">
        <f>Cifras_Originales!J33</f>
        <v>728.8</v>
      </c>
      <c r="L49" s="228">
        <f>Cifras_Originales!K33</f>
        <v>778.5</v>
      </c>
      <c r="M49" s="228">
        <f>Cifras_Originales!L33</f>
        <v>794.8</v>
      </c>
      <c r="N49" s="228"/>
      <c r="O49" s="228"/>
      <c r="P49" s="223">
        <v>13</v>
      </c>
      <c r="Q49" s="223">
        <f>P49+1</f>
        <v>14</v>
      </c>
      <c r="R49" s="223">
        <f t="shared" ref="R49:AA49" si="21">Q49+1</f>
        <v>15</v>
      </c>
      <c r="S49" s="223">
        <f t="shared" si="21"/>
        <v>16</v>
      </c>
      <c r="T49" s="223">
        <f t="shared" si="21"/>
        <v>17</v>
      </c>
      <c r="U49" s="223">
        <f t="shared" si="21"/>
        <v>18</v>
      </c>
      <c r="V49" s="223">
        <f t="shared" si="21"/>
        <v>19</v>
      </c>
      <c r="W49" s="223">
        <f t="shared" si="21"/>
        <v>20</v>
      </c>
      <c r="X49" s="223">
        <f t="shared" si="21"/>
        <v>21</v>
      </c>
      <c r="Y49" s="223">
        <f t="shared" si="21"/>
        <v>22</v>
      </c>
      <c r="Z49" s="223">
        <f t="shared" si="21"/>
        <v>23</v>
      </c>
      <c r="AA49" s="223">
        <f t="shared" si="21"/>
        <v>24</v>
      </c>
    </row>
    <row r="50" spans="1:27" ht="12" customHeight="1" x14ac:dyDescent="0.35">
      <c r="A50" s="224" t="s">
        <v>240</v>
      </c>
      <c r="B50" s="228">
        <v>0</v>
      </c>
      <c r="C50" s="228">
        <f>Cifras_Originales!B34</f>
        <v>53.1</v>
      </c>
      <c r="D50" s="228">
        <f>Cifras_Originales!C34</f>
        <v>0</v>
      </c>
      <c r="E50" s="228">
        <f>Cifras_Originales!D34</f>
        <v>0</v>
      </c>
      <c r="F50" s="228">
        <f>Cifras_Originales!E34</f>
        <v>0</v>
      </c>
      <c r="G50" s="228">
        <f>Cifras_Originales!F34</f>
        <v>0</v>
      </c>
      <c r="H50" s="228">
        <f>Cifras_Originales!G34</f>
        <v>0</v>
      </c>
      <c r="I50" s="228">
        <f>Cifras_Originales!H34</f>
        <v>0</v>
      </c>
      <c r="J50" s="228">
        <f>Cifras_Originales!I34</f>
        <v>93.2</v>
      </c>
      <c r="K50" s="228">
        <f>Cifras_Originales!J34</f>
        <v>23.6</v>
      </c>
      <c r="L50" s="228">
        <f>Cifras_Originales!K34</f>
        <v>22.8</v>
      </c>
      <c r="M50" s="228">
        <f>Cifras_Originales!L34</f>
        <v>22.8</v>
      </c>
      <c r="N50" s="228"/>
      <c r="O50" s="228"/>
      <c r="P50" s="223" cm="1">
        <f t="array" ref="P50:AA50">_xlfn.SORTBY(P47:AA47, _xlfn.SEQUENCE(1, COLUMNS(P47:AA47), COLUMNS(P47:AA47), -1))</f>
        <v>0.37643255950631793</v>
      </c>
      <c r="Q50" s="223">
        <v>0.36615932289585529</v>
      </c>
      <c r="R50" s="223">
        <v>0.39825634638631452</v>
      </c>
      <c r="S50" s="223">
        <v>0.25656132833422601</v>
      </c>
      <c r="T50" s="223">
        <v>0</v>
      </c>
      <c r="U50" s="223">
        <v>0</v>
      </c>
      <c r="V50" s="223">
        <v>0</v>
      </c>
      <c r="W50" s="223">
        <v>0</v>
      </c>
      <c r="X50" s="223">
        <v>0</v>
      </c>
      <c r="Y50" s="223">
        <v>0</v>
      </c>
      <c r="Z50" s="223">
        <v>7.2512256073413543E-3</v>
      </c>
      <c r="AA50" s="223" t="e">
        <v>#DIV/0!</v>
      </c>
    </row>
    <row r="51" spans="1:27" ht="12" customHeight="1" x14ac:dyDescent="0.35">
      <c r="A51" s="224" t="s">
        <v>241</v>
      </c>
      <c r="B51" s="228">
        <v>0</v>
      </c>
      <c r="C51" s="228">
        <f>Cifras_Originales!B35</f>
        <v>0</v>
      </c>
      <c r="D51" s="228">
        <f>Cifras_Originales!C35</f>
        <v>0</v>
      </c>
      <c r="E51" s="228">
        <f>Cifras_Originales!D35</f>
        <v>0</v>
      </c>
      <c r="F51" s="228">
        <f>Cifras_Originales!E35</f>
        <v>0</v>
      </c>
      <c r="G51" s="228">
        <f>Cifras_Originales!F35</f>
        <v>0</v>
      </c>
      <c r="H51" s="228">
        <f>Cifras_Originales!G35</f>
        <v>0</v>
      </c>
      <c r="I51" s="228">
        <f>Cifras_Originales!H35</f>
        <v>0</v>
      </c>
      <c r="J51" s="228">
        <f>Cifras_Originales!I35</f>
        <v>18.2</v>
      </c>
      <c r="K51" s="228">
        <f>Cifras_Originales!J35</f>
        <v>23.6</v>
      </c>
      <c r="L51" s="228">
        <f>Cifras_Originales!K35</f>
        <v>22.8</v>
      </c>
      <c r="M51" s="228">
        <f>Cifras_Originales!L35</f>
        <v>22.8</v>
      </c>
      <c r="N51" s="228"/>
      <c r="O51" s="228"/>
    </row>
    <row r="52" spans="1:27" ht="12" customHeight="1" x14ac:dyDescent="0.35">
      <c r="A52" s="224" t="s">
        <v>242</v>
      </c>
      <c r="B52" s="228">
        <v>204.96899999999999</v>
      </c>
      <c r="C52" s="228">
        <f>Cifras_Originales!B36</f>
        <v>424.29999999999995</v>
      </c>
      <c r="D52" s="228">
        <f>Cifras_Originales!C36</f>
        <v>440.4</v>
      </c>
      <c r="E52" s="228">
        <f>Cifras_Originales!D36</f>
        <v>465.1</v>
      </c>
      <c r="F52" s="228">
        <f>Cifras_Originales!E36</f>
        <v>484.1</v>
      </c>
      <c r="G52" s="228">
        <f>Cifras_Originales!F36</f>
        <v>539.1</v>
      </c>
      <c r="H52" s="228">
        <f>Cifras_Originales!G36</f>
        <v>608.6</v>
      </c>
      <c r="I52" s="228">
        <f>Cifras_Originales!H36</f>
        <v>524.79999999999995</v>
      </c>
      <c r="J52" s="228">
        <f>Cifras_Originales!I36</f>
        <v>583.69999999999993</v>
      </c>
      <c r="K52" s="228">
        <f>Cifras_Originales!J36</f>
        <v>681.59999999999991</v>
      </c>
      <c r="L52" s="228">
        <f>Cifras_Originales!K36</f>
        <v>732.90000000000009</v>
      </c>
      <c r="M52" s="228">
        <f>Cifras_Originales!L36</f>
        <v>749.2</v>
      </c>
      <c r="N52" s="228"/>
      <c r="O52" s="228"/>
    </row>
    <row r="53" spans="1:27" ht="12" customHeight="1" x14ac:dyDescent="0.35">
      <c r="A53" s="224" t="s">
        <v>243</v>
      </c>
      <c r="B53" s="228">
        <v>754.20799999999997</v>
      </c>
      <c r="C53" s="228">
        <f>Cifras_Originales!B37</f>
        <v>255.2</v>
      </c>
      <c r="D53" s="228">
        <f>Cifras_Originales!C37</f>
        <v>189.7</v>
      </c>
      <c r="E53" s="228">
        <f>Cifras_Originales!D37</f>
        <v>145.69999999999999</v>
      </c>
      <c r="F53" s="228">
        <f>Cifras_Originales!E37</f>
        <v>70.3</v>
      </c>
      <c r="G53" s="228">
        <f>Cifras_Originales!F37</f>
        <v>51.3</v>
      </c>
      <c r="H53" s="228">
        <f>Cifras_Originales!G37</f>
        <v>53</v>
      </c>
      <c r="I53" s="228">
        <f>Cifras_Originales!H37</f>
        <v>87.2</v>
      </c>
      <c r="J53" s="228">
        <f>Cifras_Originales!I37</f>
        <v>91.7</v>
      </c>
      <c r="K53" s="228">
        <f>Cifras_Originales!J37</f>
        <v>690.4</v>
      </c>
      <c r="L53" s="228">
        <f>Cifras_Originales!K37</f>
        <v>1113.9000000000001</v>
      </c>
      <c r="M53" s="228">
        <f>Cifras_Originales!L37</f>
        <v>1061.8</v>
      </c>
      <c r="N53" s="228"/>
      <c r="O53" s="228"/>
    </row>
    <row r="54" spans="1:27" ht="12" customHeight="1" x14ac:dyDescent="0.35">
      <c r="A54" s="224" t="s">
        <v>244</v>
      </c>
      <c r="B54" s="228">
        <v>0</v>
      </c>
      <c r="C54" s="228">
        <f>Cifras_Originales!B38</f>
        <v>0</v>
      </c>
      <c r="D54" s="228">
        <f>Cifras_Originales!C38</f>
        <v>0</v>
      </c>
      <c r="E54" s="228">
        <f>Cifras_Originales!D38</f>
        <v>0</v>
      </c>
      <c r="F54" s="228">
        <f>Cifras_Originales!E38</f>
        <v>0</v>
      </c>
      <c r="G54" s="228">
        <f>Cifras_Originales!F38</f>
        <v>0</v>
      </c>
      <c r="H54" s="228">
        <f>Cifras_Originales!G38</f>
        <v>0</v>
      </c>
      <c r="I54" s="228">
        <f>Cifras_Originales!H38</f>
        <v>0</v>
      </c>
      <c r="J54" s="228">
        <f>Cifras_Originales!I38</f>
        <v>515.29999999999995</v>
      </c>
      <c r="K54" s="228">
        <f>Cifras_Originales!J38</f>
        <v>919.1</v>
      </c>
      <c r="L54" s="228">
        <f>Cifras_Originales!K38</f>
        <v>858</v>
      </c>
      <c r="M54" s="228">
        <f>Cifras_Originales!L38</f>
        <v>866.4</v>
      </c>
      <c r="N54" s="228"/>
      <c r="O54" s="228"/>
    </row>
    <row r="55" spans="1:27" ht="12" customHeight="1" x14ac:dyDescent="0.35">
      <c r="A55" s="224" t="s">
        <v>245</v>
      </c>
      <c r="B55" s="228">
        <v>86.93</v>
      </c>
      <c r="C55" s="228">
        <f>Cifras_Originales!B39</f>
        <v>0</v>
      </c>
      <c r="D55" s="228">
        <f>Cifras_Originales!C39</f>
        <v>0</v>
      </c>
      <c r="E55" s="228">
        <f>Cifras_Originales!D39</f>
        <v>0</v>
      </c>
      <c r="F55" s="228">
        <f>Cifras_Originales!E39</f>
        <v>0</v>
      </c>
      <c r="G55" s="228">
        <f>Cifras_Originales!F39</f>
        <v>0</v>
      </c>
      <c r="H55" s="228">
        <f>Cifras_Originales!G39</f>
        <v>0</v>
      </c>
      <c r="I55" s="228">
        <f>Cifras_Originales!H39</f>
        <v>0</v>
      </c>
      <c r="J55" s="228">
        <f>Cifras_Originales!I39</f>
        <v>91.8</v>
      </c>
      <c r="K55" s="228">
        <f>Cifras_Originales!J39</f>
        <v>120.9</v>
      </c>
      <c r="L55" s="228">
        <f>Cifras_Originales!K39</f>
        <v>104.4</v>
      </c>
      <c r="M55" s="228">
        <f>Cifras_Originales!L39</f>
        <v>112.8</v>
      </c>
      <c r="N55" s="228"/>
      <c r="O55" s="228"/>
      <c r="P55" s="223" cm="1">
        <f t="array" ref="P55:P66">TRANSPOSE(_xlfn.ANCHORARRAY(P50))</f>
        <v>0.37643255950631793</v>
      </c>
      <c r="Q55" s="223">
        <v>13</v>
      </c>
    </row>
    <row r="56" spans="1:27" ht="12" customHeight="1" x14ac:dyDescent="0.35">
      <c r="A56" s="224" t="s">
        <v>246</v>
      </c>
      <c r="B56" s="228">
        <f>B53-SUM(B54:B55)</f>
        <v>667.27800000000002</v>
      </c>
      <c r="C56" s="228">
        <f>Cifras_Originales!B40</f>
        <v>255.2</v>
      </c>
      <c r="D56" s="228">
        <f>Cifras_Originales!C40</f>
        <v>189.7</v>
      </c>
      <c r="E56" s="228">
        <f>Cifras_Originales!D40</f>
        <v>145.69999999999999</v>
      </c>
      <c r="F56" s="228">
        <f>Cifras_Originales!E40</f>
        <v>70.3</v>
      </c>
      <c r="G56" s="228">
        <f>Cifras_Originales!F40</f>
        <v>51.3</v>
      </c>
      <c r="H56" s="228">
        <f>Cifras_Originales!G40</f>
        <v>53</v>
      </c>
      <c r="I56" s="228">
        <f>Cifras_Originales!H40</f>
        <v>87.2</v>
      </c>
      <c r="J56" s="228">
        <f>Cifras_Originales!I40</f>
        <v>-515.4</v>
      </c>
      <c r="K56" s="228">
        <f>Cifras_Originales!J40</f>
        <v>-349.6</v>
      </c>
      <c r="L56" s="228">
        <f>Cifras_Originales!K40</f>
        <v>151.50000000000009</v>
      </c>
      <c r="M56" s="228">
        <f>Cifras_Originales!L40</f>
        <v>82.59999999999998</v>
      </c>
      <c r="N56" s="228"/>
      <c r="O56" s="228"/>
      <c r="P56" s="223">
        <v>0.36615932289585529</v>
      </c>
      <c r="Q56" s="223">
        <f>Q55+1</f>
        <v>14</v>
      </c>
    </row>
    <row r="57" spans="1:27" ht="12" customHeight="1" x14ac:dyDescent="0.4">
      <c r="A57" s="224" t="s">
        <v>247</v>
      </c>
      <c r="B57" s="245">
        <v>1096</v>
      </c>
      <c r="C57" s="245">
        <f>Cifras_Originales!B41</f>
        <v>732.59999999999991</v>
      </c>
      <c r="D57" s="245">
        <f>Cifras_Originales!C41</f>
        <v>630.09999999999991</v>
      </c>
      <c r="E57" s="245">
        <f>Cifras_Originales!D41</f>
        <v>610.79999999999995</v>
      </c>
      <c r="F57" s="245">
        <f>Cifras_Originales!E41</f>
        <v>554.4</v>
      </c>
      <c r="G57" s="245">
        <f>Cifras_Originales!F41</f>
        <v>590.4</v>
      </c>
      <c r="H57" s="245">
        <f>Cifras_Originales!G41</f>
        <v>661.6</v>
      </c>
      <c r="I57" s="245">
        <f>Cifras_Originales!H41</f>
        <v>612</v>
      </c>
      <c r="J57" s="245">
        <f>Cifras_Originales!I41</f>
        <v>786.80000000000007</v>
      </c>
      <c r="K57" s="245">
        <f>Cifras_Originales!J41</f>
        <v>1419.1999999999998</v>
      </c>
      <c r="L57" s="245">
        <f>Cifras_Originales!K41</f>
        <v>1892.4</v>
      </c>
      <c r="M57" s="245">
        <f>Cifras_Originales!L41</f>
        <v>1856.6</v>
      </c>
      <c r="N57" s="245"/>
      <c r="O57" s="245"/>
      <c r="P57" s="223">
        <v>0.39825634638631452</v>
      </c>
      <c r="Q57" s="223">
        <f t="shared" ref="Q57:Q66" si="22">Q56+1</f>
        <v>15</v>
      </c>
    </row>
    <row r="58" spans="1:27" ht="12" customHeight="1" x14ac:dyDescent="0.35"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3">
        <v>0.25656132833422601</v>
      </c>
      <c r="Q58" s="223">
        <f t="shared" si="22"/>
        <v>16</v>
      </c>
    </row>
    <row r="59" spans="1:27" ht="12" customHeight="1" x14ac:dyDescent="0.35">
      <c r="A59" s="224" t="s">
        <v>366</v>
      </c>
      <c r="B59" s="228">
        <f>B60-B40</f>
        <v>-1359.8129999999999</v>
      </c>
      <c r="C59" s="228">
        <f t="shared" ref="C59:M59" si="23">C60-C40</f>
        <v>-807.1</v>
      </c>
      <c r="D59" s="228">
        <f t="shared" si="23"/>
        <v>-614.4</v>
      </c>
      <c r="E59" s="228">
        <f t="shared" si="23"/>
        <v>-667.7</v>
      </c>
      <c r="F59" s="228">
        <f t="shared" si="23"/>
        <v>-912.7</v>
      </c>
      <c r="G59" s="228">
        <f t="shared" si="23"/>
        <v>-872.1</v>
      </c>
      <c r="H59" s="228">
        <f t="shared" si="23"/>
        <v>-777.1</v>
      </c>
      <c r="I59" s="228">
        <f t="shared" si="23"/>
        <v>-881.5</v>
      </c>
      <c r="J59" s="228">
        <f t="shared" si="23"/>
        <v>-104.00000000000011</v>
      </c>
      <c r="K59" s="228">
        <f t="shared" si="23"/>
        <v>302.60000000000002</v>
      </c>
      <c r="L59" s="228">
        <f t="shared" si="23"/>
        <v>219.89999999999998</v>
      </c>
      <c r="M59" s="228">
        <f t="shared" si="23"/>
        <v>282.29999999999995</v>
      </c>
      <c r="N59" s="220"/>
      <c r="O59" s="220"/>
      <c r="P59" s="223">
        <v>0</v>
      </c>
      <c r="Q59" s="223">
        <f t="shared" si="22"/>
        <v>17</v>
      </c>
    </row>
    <row r="60" spans="1:27" ht="12" customHeight="1" x14ac:dyDescent="0.35">
      <c r="A60" s="224" t="s">
        <v>17</v>
      </c>
      <c r="B60" s="228">
        <f>B50+B51+B54+B55</f>
        <v>86.93</v>
      </c>
      <c r="C60" s="228">
        <f t="shared" ref="C60:M60" si="24">C50+C51+C54+C55</f>
        <v>53.1</v>
      </c>
      <c r="D60" s="228">
        <f t="shared" si="24"/>
        <v>0</v>
      </c>
      <c r="E60" s="228">
        <f t="shared" si="24"/>
        <v>0</v>
      </c>
      <c r="F60" s="228">
        <f t="shared" si="24"/>
        <v>0</v>
      </c>
      <c r="G60" s="228">
        <f t="shared" si="24"/>
        <v>0</v>
      </c>
      <c r="H60" s="228">
        <f t="shared" si="24"/>
        <v>0</v>
      </c>
      <c r="I60" s="228">
        <f t="shared" si="24"/>
        <v>0</v>
      </c>
      <c r="J60" s="228">
        <f t="shared" si="24"/>
        <v>718.49999999999989</v>
      </c>
      <c r="K60" s="228">
        <f t="shared" si="24"/>
        <v>1087.2</v>
      </c>
      <c r="L60" s="228">
        <f t="shared" si="24"/>
        <v>1008</v>
      </c>
      <c r="M60" s="228">
        <f t="shared" si="24"/>
        <v>1024.8</v>
      </c>
      <c r="N60" s="228"/>
      <c r="O60" s="228"/>
      <c r="P60" s="223">
        <v>0</v>
      </c>
      <c r="Q60" s="223">
        <f t="shared" si="22"/>
        <v>18</v>
      </c>
    </row>
    <row r="61" spans="1:27" ht="12" customHeight="1" x14ac:dyDescent="0.35">
      <c r="B61" s="230">
        <f>B60/B45</f>
        <v>1.0796838475048722E-2</v>
      </c>
      <c r="C61" s="230">
        <f>C60/C45</f>
        <v>7.2512256073413543E-3</v>
      </c>
      <c r="D61" s="230">
        <f>D60/D45</f>
        <v>0</v>
      </c>
      <c r="E61" s="230">
        <f t="shared" ref="E61:M61" si="25">E60/E45</f>
        <v>0</v>
      </c>
      <c r="F61" s="230">
        <f t="shared" si="25"/>
        <v>0</v>
      </c>
      <c r="G61" s="230">
        <f t="shared" si="25"/>
        <v>0</v>
      </c>
      <c r="H61" s="230">
        <f t="shared" si="25"/>
        <v>0</v>
      </c>
      <c r="I61" s="230">
        <f t="shared" si="25"/>
        <v>0</v>
      </c>
      <c r="J61" s="230">
        <f t="shared" si="25"/>
        <v>0.25656132833422601</v>
      </c>
      <c r="K61" s="230">
        <f t="shared" si="25"/>
        <v>0.39825634638631452</v>
      </c>
      <c r="L61" s="230">
        <f t="shared" si="25"/>
        <v>0.36615932289585529</v>
      </c>
      <c r="M61" s="230">
        <f t="shared" si="25"/>
        <v>0.37643255950631793</v>
      </c>
      <c r="N61" s="230"/>
      <c r="O61" s="230"/>
      <c r="P61" s="223">
        <v>0</v>
      </c>
      <c r="Q61" s="223">
        <f t="shared" si="22"/>
        <v>19</v>
      </c>
    </row>
    <row r="62" spans="1:27" ht="12" customHeight="1" x14ac:dyDescent="0.35"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3">
        <v>0</v>
      </c>
      <c r="Q62" s="223">
        <f t="shared" si="22"/>
        <v>20</v>
      </c>
    </row>
    <row r="63" spans="1:27" s="246" customFormat="1" ht="12" customHeight="1" x14ac:dyDescent="0.4">
      <c r="A63" s="243" t="s">
        <v>248</v>
      </c>
      <c r="B63" s="245">
        <v>0</v>
      </c>
      <c r="C63" s="245">
        <f>Cifras_Originales!B44</f>
        <v>0</v>
      </c>
      <c r="D63" s="245">
        <f>Cifras_Originales!C44</f>
        <v>0</v>
      </c>
      <c r="E63" s="245">
        <f>Cifras_Originales!D44</f>
        <v>0</v>
      </c>
      <c r="F63" s="245">
        <f>Cifras_Originales!E44</f>
        <v>0</v>
      </c>
      <c r="G63" s="245">
        <f>Cifras_Originales!F44</f>
        <v>0</v>
      </c>
      <c r="H63" s="245">
        <f>Cifras_Originales!G44</f>
        <v>0</v>
      </c>
      <c r="I63" s="245">
        <f>Cifras_Originales!H44</f>
        <v>0</v>
      </c>
      <c r="J63" s="245">
        <f>Cifras_Originales!I44</f>
        <v>0</v>
      </c>
      <c r="K63" s="245">
        <f>Cifras_Originales!J44</f>
        <v>0</v>
      </c>
      <c r="L63" s="245">
        <f>Cifras_Originales!K44</f>
        <v>0</v>
      </c>
      <c r="M63" s="245">
        <f>Cifras_Originales!L44</f>
        <v>0</v>
      </c>
      <c r="N63" s="245"/>
      <c r="O63" s="245"/>
      <c r="P63" s="246">
        <v>0</v>
      </c>
      <c r="Q63" s="223">
        <f t="shared" si="22"/>
        <v>21</v>
      </c>
    </row>
    <row r="64" spans="1:27" ht="12" customHeight="1" x14ac:dyDescent="0.35"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3">
        <v>0</v>
      </c>
      <c r="Q64" s="223">
        <f t="shared" si="22"/>
        <v>22</v>
      </c>
    </row>
    <row r="65" spans="1:242" ht="12" customHeight="1" x14ac:dyDescent="0.35"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3">
        <v>7.2512256073413543E-3</v>
      </c>
      <c r="Q65" s="223">
        <f t="shared" si="22"/>
        <v>23</v>
      </c>
    </row>
    <row r="66" spans="1:242" ht="12" customHeight="1" x14ac:dyDescent="0.35">
      <c r="A66" s="243" t="s">
        <v>249</v>
      </c>
      <c r="B66" s="228">
        <f>B45-B57-B63</f>
        <v>6955.4309999999996</v>
      </c>
      <c r="C66" s="228">
        <f>C45-C57-C63</f>
        <v>6590.2999999999993</v>
      </c>
      <c r="D66" s="228">
        <f>D45-D57-D63</f>
        <v>6057.7999999999993</v>
      </c>
      <c r="E66" s="228">
        <f t="shared" ref="E66:M66" si="26">E45-E57-E63</f>
        <v>5713.5</v>
      </c>
      <c r="F66" s="228">
        <f t="shared" si="26"/>
        <v>5386.2000000000007</v>
      </c>
      <c r="G66" s="228">
        <f t="shared" si="26"/>
        <v>4248.5</v>
      </c>
      <c r="H66" s="228">
        <f t="shared" si="26"/>
        <v>2604.4</v>
      </c>
      <c r="I66" s="228">
        <f t="shared" si="26"/>
        <v>2329.6</v>
      </c>
      <c r="J66" s="228">
        <f t="shared" si="26"/>
        <v>2013.6999999999998</v>
      </c>
      <c r="K66" s="228">
        <f t="shared" si="26"/>
        <v>1310.7000000000003</v>
      </c>
      <c r="L66" s="228">
        <f t="shared" si="26"/>
        <v>860.5</v>
      </c>
      <c r="M66" s="228">
        <f t="shared" si="26"/>
        <v>865.80000000000018</v>
      </c>
      <c r="N66" s="228"/>
      <c r="O66" s="228"/>
      <c r="P66" s="223" t="e">
        <v>#DIV/0!</v>
      </c>
      <c r="Q66" s="223">
        <f t="shared" si="22"/>
        <v>24</v>
      </c>
    </row>
    <row r="67" spans="1:242" ht="12" customHeight="1" x14ac:dyDescent="0.35">
      <c r="L67" s="224"/>
      <c r="M67" s="224"/>
      <c r="N67" s="224"/>
      <c r="O67" s="224"/>
    </row>
    <row r="68" spans="1:242" ht="12" customHeight="1" x14ac:dyDescent="0.35">
      <c r="L68" s="224"/>
      <c r="M68" s="224"/>
      <c r="N68" s="224"/>
      <c r="O68" s="224"/>
    </row>
    <row r="69" spans="1:242" ht="12" customHeight="1" x14ac:dyDescent="0.35">
      <c r="A69" s="227" t="s">
        <v>250</v>
      </c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</row>
    <row r="70" spans="1:242" ht="12" customHeight="1" x14ac:dyDescent="0.35">
      <c r="A70" s="224" t="s">
        <v>251</v>
      </c>
      <c r="B70" s="228">
        <v>6500</v>
      </c>
      <c r="C70" s="228">
        <f>Cifras_Originales!B49</f>
        <v>6200</v>
      </c>
      <c r="D70" s="228">
        <f>Cifras_Originales!C49</f>
        <v>5600</v>
      </c>
      <c r="E70" s="228">
        <f>Cifras_Originales!D49</f>
        <v>5100</v>
      </c>
      <c r="F70" s="228">
        <f>Cifras_Originales!E49</f>
        <v>4800</v>
      </c>
      <c r="G70" s="228">
        <f>Cifras_Originales!F49</f>
        <v>2100</v>
      </c>
      <c r="H70" s="228">
        <f>Cifras_Originales!G49</f>
        <v>1700</v>
      </c>
      <c r="I70" s="228">
        <f>Cifras_Originales!H49</f>
        <v>2900</v>
      </c>
      <c r="J70" s="228">
        <f>Cifras_Originales!I49</f>
        <v>2800</v>
      </c>
      <c r="K70" s="228">
        <f>Cifras_Originales!J49</f>
        <v>2800</v>
      </c>
      <c r="L70" s="228">
        <f>Cifras_Originales!K49</f>
        <v>2700</v>
      </c>
      <c r="M70" s="228">
        <f>Cifras_Originales!L49</f>
        <v>2600</v>
      </c>
      <c r="N70" s="228"/>
      <c r="O70" s="228"/>
    </row>
    <row r="71" spans="1:242" ht="12" customHeight="1" x14ac:dyDescent="0.35">
      <c r="A71" s="224" t="s">
        <v>252</v>
      </c>
      <c r="B71" s="228">
        <v>86.9</v>
      </c>
      <c r="C71" s="228">
        <f>+Cifras_Originales!B50</f>
        <v>92.7</v>
      </c>
      <c r="D71" s="228">
        <f>+Cifras_Originales!C50</f>
        <v>92.3</v>
      </c>
      <c r="E71" s="228">
        <f>+Cifras_Originales!D50</f>
        <v>90.8</v>
      </c>
      <c r="F71" s="228">
        <f>+Cifras_Originales!E50</f>
        <v>88.1</v>
      </c>
      <c r="G71" s="228">
        <f>+Cifras_Originales!F50</f>
        <v>85.7</v>
      </c>
      <c r="H71" s="228">
        <f>+Cifras_Originales!G50</f>
        <v>84.2</v>
      </c>
      <c r="I71" s="228">
        <f>+Cifras_Originales!H50</f>
        <v>83.6</v>
      </c>
      <c r="J71" s="228">
        <f>+Cifras_Originales!I50</f>
        <v>85.7</v>
      </c>
      <c r="K71" s="228">
        <f>+Cifras_Originales!J50</f>
        <v>86.6</v>
      </c>
      <c r="L71" s="228">
        <f>+Cifras_Originales!K50</f>
        <v>87.1</v>
      </c>
      <c r="M71" s="228">
        <f>+Cifras_Originales!L50</f>
        <v>86.9</v>
      </c>
      <c r="N71" s="228"/>
      <c r="O71" s="228"/>
    </row>
    <row r="72" spans="1:242" ht="12" customHeight="1" x14ac:dyDescent="0.35">
      <c r="A72" s="224" t="s">
        <v>171</v>
      </c>
      <c r="B72" s="230">
        <v>0</v>
      </c>
      <c r="C72" s="230">
        <f>Cifras_Originales!B51</f>
        <v>0</v>
      </c>
      <c r="D72" s="230">
        <f>Cifras_Originales!C51</f>
        <v>0</v>
      </c>
      <c r="E72" s="230">
        <f>Cifras_Originales!D51</f>
        <v>0</v>
      </c>
      <c r="F72" s="230">
        <f>Cifras_Originales!E51</f>
        <v>0</v>
      </c>
      <c r="G72" s="230">
        <f>Cifras_Originales!F51</f>
        <v>0</v>
      </c>
      <c r="H72" s="230">
        <f>Cifras_Originales!G51</f>
        <v>0</v>
      </c>
      <c r="I72" s="230">
        <f>Cifras_Originales!H51</f>
        <v>0</v>
      </c>
      <c r="J72" s="230">
        <f>Cifras_Originales!I51</f>
        <v>0</v>
      </c>
      <c r="K72" s="230">
        <f>Cifras_Originales!J51</f>
        <v>0</v>
      </c>
      <c r="L72" s="230">
        <f>Cifras_Originales!K51</f>
        <v>0</v>
      </c>
      <c r="M72" s="230">
        <f>Cifras_Originales!L51</f>
        <v>0</v>
      </c>
      <c r="N72" s="230"/>
      <c r="O72" s="230"/>
    </row>
    <row r="73" spans="1:242" ht="12" customHeight="1" x14ac:dyDescent="0.35">
      <c r="A73" s="224" t="s">
        <v>253</v>
      </c>
      <c r="B73" s="229" t="s">
        <v>552</v>
      </c>
      <c r="C73" s="229">
        <f>Cifras_Originales!B52</f>
        <v>2.3900000000000001E-2</v>
      </c>
      <c r="D73" s="229">
        <f>Cifras_Originales!C52</f>
        <v>2.3099999999999999E-2</v>
      </c>
      <c r="E73" s="229">
        <f>Cifras_Originales!D52</f>
        <v>2.1999999999999999E-2</v>
      </c>
      <c r="F73" s="229">
        <f>Cifras_Originales!E52</f>
        <v>2.29E-2</v>
      </c>
      <c r="G73" s="229">
        <f>Cifras_Originales!F52</f>
        <v>2.1999999999999999E-2</v>
      </c>
      <c r="H73" s="229">
        <f>Cifras_Originales!G52</f>
        <v>2.1899999999999999E-2</v>
      </c>
      <c r="I73" s="229">
        <f>Cifras_Originales!H52</f>
        <v>2.1000000000000001E-2</v>
      </c>
      <c r="J73" s="229">
        <f>Cifras_Originales!I52</f>
        <v>2.06E-2</v>
      </c>
      <c r="K73" s="229">
        <f>Cifras_Originales!J52</f>
        <v>1.9E-2</v>
      </c>
      <c r="L73" s="229">
        <f>Cifras_Originales!K52</f>
        <v>1.55E-2</v>
      </c>
      <c r="M73" s="229">
        <f>Cifras_Originales!L52</f>
        <v>1.54E-2</v>
      </c>
      <c r="N73" s="229"/>
      <c r="O73" s="229"/>
    </row>
    <row r="74" spans="1:242" ht="12" customHeight="1" x14ac:dyDescent="0.35">
      <c r="A74" s="224" t="s">
        <v>254</v>
      </c>
      <c r="B74" s="228">
        <v>0</v>
      </c>
      <c r="C74" s="228">
        <f>+Cifras_Originales!B53</f>
        <v>0</v>
      </c>
      <c r="D74" s="228">
        <f>+Cifras_Originales!C53</f>
        <v>0</v>
      </c>
      <c r="E74" s="228">
        <f>+Cifras_Originales!D53</f>
        <v>0</v>
      </c>
      <c r="F74" s="228">
        <f>+Cifras_Originales!E53</f>
        <v>0</v>
      </c>
      <c r="G74" s="228">
        <f>+Cifras_Originales!F53</f>
        <v>0</v>
      </c>
      <c r="H74" s="228">
        <f>+Cifras_Originales!G53</f>
        <v>0</v>
      </c>
      <c r="I74" s="228">
        <f>+Cifras_Originales!H53</f>
        <v>0</v>
      </c>
      <c r="J74" s="228">
        <f>+Cifras_Originales!I53</f>
        <v>0</v>
      </c>
      <c r="K74" s="228">
        <f>+Cifras_Originales!J53</f>
        <v>0</v>
      </c>
      <c r="L74" s="228">
        <f>+Cifras_Originales!K53</f>
        <v>0</v>
      </c>
      <c r="M74" s="228">
        <f>+Cifras_Originales!L53</f>
        <v>0</v>
      </c>
      <c r="N74" s="228"/>
      <c r="O74" s="228"/>
    </row>
    <row r="75" spans="1:242" ht="12" customHeight="1" x14ac:dyDescent="0.35">
      <c r="A75" s="224" t="str">
        <f>Cifras_Originales!A54</f>
        <v>Vol. Diario en Millones USD</v>
      </c>
      <c r="B75" s="228">
        <v>0</v>
      </c>
      <c r="C75" s="228">
        <f>Cifras_Originales!B54</f>
        <v>0</v>
      </c>
      <c r="D75" s="228">
        <f>Cifras_Originales!C54</f>
        <v>0</v>
      </c>
      <c r="E75" s="228">
        <f>Cifras_Originales!D54</f>
        <v>0</v>
      </c>
      <c r="F75" s="228">
        <f>Cifras_Originales!E54</f>
        <v>0</v>
      </c>
      <c r="G75" s="228">
        <f>Cifras_Originales!F54</f>
        <v>0</v>
      </c>
      <c r="H75" s="228">
        <f>Cifras_Originales!G54</f>
        <v>0</v>
      </c>
      <c r="I75" s="228">
        <f>Cifras_Originales!H54</f>
        <v>0</v>
      </c>
      <c r="J75" s="228">
        <f>Cifras_Originales!I54</f>
        <v>0</v>
      </c>
      <c r="K75" s="228">
        <f>Cifras_Originales!J54</f>
        <v>0</v>
      </c>
      <c r="L75" s="228">
        <f>Cifras_Originales!K54</f>
        <v>0</v>
      </c>
      <c r="M75" s="228">
        <f>Cifras_Originales!L54</f>
        <v>0</v>
      </c>
      <c r="N75" s="228"/>
      <c r="O75" s="228"/>
      <c r="IH75" s="224">
        <f>Cifras_Originales!GM54</f>
        <v>0</v>
      </c>
    </row>
    <row r="76" spans="1:242" ht="12" customHeight="1" x14ac:dyDescent="0.35">
      <c r="C76" s="247"/>
      <c r="D76" s="247"/>
      <c r="E76" s="247"/>
      <c r="F76" s="247"/>
      <c r="G76" s="247"/>
      <c r="H76" s="247"/>
      <c r="I76" s="247"/>
      <c r="J76" s="247"/>
      <c r="K76" s="247"/>
      <c r="L76" s="247"/>
      <c r="M76" s="247"/>
      <c r="N76" s="247"/>
      <c r="IH76" s="224"/>
    </row>
    <row r="77" spans="1:242" ht="12" customHeight="1" x14ac:dyDescent="0.35">
      <c r="B77" s="227">
        <f>+Cifras_Originales!B55</f>
        <v>2021</v>
      </c>
      <c r="C77" s="227">
        <f>+Cifras_Originales!C55</f>
        <v>2022</v>
      </c>
      <c r="D77" s="227">
        <f>+Cifras_Originales!D55</f>
        <v>2023</v>
      </c>
      <c r="H77" s="227"/>
      <c r="I77" s="247"/>
      <c r="J77" s="247"/>
      <c r="K77" s="247"/>
      <c r="L77" s="247"/>
      <c r="M77" s="247"/>
      <c r="N77" s="247"/>
      <c r="IH77" s="224"/>
    </row>
    <row r="78" spans="1:242" ht="12" customHeight="1" x14ac:dyDescent="0.35">
      <c r="A78" s="224" t="str">
        <f>Cifras_Originales!A56</f>
        <v>Posicion en Corto (%)</v>
      </c>
      <c r="B78" s="229">
        <f>Cifras_Originales!B56</f>
        <v>0</v>
      </c>
      <c r="C78" s="248"/>
      <c r="D78" s="248"/>
      <c r="H78" s="247"/>
      <c r="I78" s="247"/>
      <c r="J78" s="247"/>
      <c r="K78" s="247"/>
      <c r="L78" s="247"/>
      <c r="M78" s="247"/>
      <c r="N78" s="247"/>
      <c r="IH78" s="224"/>
    </row>
    <row r="79" spans="1:242" ht="12" customHeight="1" x14ac:dyDescent="0.35">
      <c r="A79" s="224" t="str">
        <f>Cifras_Originales!A57</f>
        <v>EPS</v>
      </c>
      <c r="B79" s="248">
        <f>Cifras_Originales!B57</f>
        <v>5.22</v>
      </c>
      <c r="C79" s="248">
        <f>Cifras_Originales!C57</f>
        <v>6.01</v>
      </c>
      <c r="D79" s="248">
        <f>Cifras_Originales!D57</f>
        <v>5.56</v>
      </c>
    </row>
    <row r="80" spans="1:242" ht="12" customHeight="1" x14ac:dyDescent="0.35"/>
    <row r="81" spans="1:8" x14ac:dyDescent="0.35">
      <c r="A81" s="243" t="str">
        <f>+Cifras_Originales!A59</f>
        <v>BONOS DE LA EMISORA A 3, 5 Y 10</v>
      </c>
      <c r="B81" s="227" t="s">
        <v>255</v>
      </c>
      <c r="C81" s="227" t="s">
        <v>256</v>
      </c>
      <c r="D81" s="227" t="s">
        <v>257</v>
      </c>
      <c r="E81" s="227" t="s">
        <v>258</v>
      </c>
      <c r="H81" s="227"/>
    </row>
    <row r="82" spans="1:8" ht="12.75" x14ac:dyDescent="0.35">
      <c r="A82" s="224">
        <f>+Cifras_Originales!A60</f>
        <v>0</v>
      </c>
      <c r="B82" s="248">
        <f>+Cifras_Originales!B60</f>
        <v>0</v>
      </c>
      <c r="C82" s="219">
        <f>+Cifras_Originales!C60</f>
        <v>0</v>
      </c>
      <c r="D82" s="229">
        <f>+Cifras_Originales!D60</f>
        <v>0</v>
      </c>
      <c r="E82" s="219">
        <f>+Cifras_Originales!E60</f>
        <v>0</v>
      </c>
    </row>
    <row r="83" spans="1:8" ht="12.75" x14ac:dyDescent="0.35">
      <c r="A83" s="224">
        <f>+Cifras_Originales!A61</f>
        <v>0</v>
      </c>
      <c r="B83" s="248">
        <f>+Cifras_Originales!B61</f>
        <v>0</v>
      </c>
      <c r="C83" s="219">
        <f>+Cifras_Originales!C61</f>
        <v>0</v>
      </c>
      <c r="D83" s="229">
        <f>+Cifras_Originales!D61</f>
        <v>0</v>
      </c>
      <c r="E83" s="219">
        <f>+Cifras_Originales!E61</f>
        <v>0</v>
      </c>
    </row>
    <row r="84" spans="1:8" ht="12.75" x14ac:dyDescent="0.35">
      <c r="A84" s="224">
        <f>+Cifras_Originales!A62</f>
        <v>0</v>
      </c>
      <c r="B84" s="248">
        <f>+Cifras_Originales!B62</f>
        <v>0</v>
      </c>
      <c r="C84" s="219">
        <f>+Cifras_Originales!C62</f>
        <v>0</v>
      </c>
      <c r="D84" s="229">
        <f>+Cifras_Originales!D62</f>
        <v>0</v>
      </c>
      <c r="E84" s="219">
        <f>+Cifras_Originales!E62</f>
        <v>0</v>
      </c>
    </row>
    <row r="85" spans="1:8" ht="12.75" x14ac:dyDescent="0.35">
      <c r="A85" s="224">
        <f>+Cifras_Originales!A63</f>
        <v>0</v>
      </c>
      <c r="B85" s="248">
        <f>+Cifras_Originales!B63</f>
        <v>0</v>
      </c>
      <c r="C85" s="219">
        <f>+Cifras_Originales!C63</f>
        <v>0</v>
      </c>
      <c r="D85" s="229">
        <f>+Cifras_Originales!D63</f>
        <v>0</v>
      </c>
      <c r="E85" s="219">
        <f>+Cifras_Originales!E63</f>
        <v>0</v>
      </c>
    </row>
    <row r="86" spans="1:8" ht="12.75" x14ac:dyDescent="0.35">
      <c r="C86" s="248"/>
      <c r="D86" s="248"/>
      <c r="E86" s="219"/>
      <c r="F86" s="249"/>
      <c r="G86" s="219"/>
    </row>
    <row r="87" spans="1:8" ht="12.75" x14ac:dyDescent="0.35">
      <c r="C87" s="248"/>
      <c r="D87" s="248"/>
      <c r="E87" s="219"/>
      <c r="F87" s="249"/>
      <c r="G87" s="219"/>
    </row>
    <row r="88" spans="1:8" ht="12.75" x14ac:dyDescent="0.35">
      <c r="C88" s="248"/>
      <c r="D88" s="248"/>
      <c r="E88" s="219"/>
      <c r="F88" s="249"/>
      <c r="G88" s="219"/>
    </row>
    <row r="89" spans="1:8" ht="12.75" x14ac:dyDescent="0.35">
      <c r="C89" s="248"/>
      <c r="D89" s="248"/>
      <c r="E89" s="219"/>
      <c r="F89" s="249"/>
      <c r="G89" s="219"/>
    </row>
    <row r="90" spans="1:8" ht="12.75" x14ac:dyDescent="0.35">
      <c r="C90" s="248"/>
      <c r="D90" s="248"/>
      <c r="E90" s="219"/>
      <c r="F90" s="249"/>
      <c r="G90" s="219"/>
    </row>
    <row r="91" spans="1:8" ht="12.75" x14ac:dyDescent="0.35">
      <c r="C91" s="248"/>
      <c r="D91" s="248"/>
      <c r="E91" s="219"/>
      <c r="F91" s="249"/>
      <c r="G91" s="219"/>
    </row>
    <row r="92" spans="1:8" ht="12.75" x14ac:dyDescent="0.35">
      <c r="C92" s="248"/>
      <c r="D92" s="248"/>
      <c r="E92" s="219"/>
      <c r="F92" s="249"/>
      <c r="G92" s="219"/>
    </row>
    <row r="93" spans="1:8" ht="12.75" x14ac:dyDescent="0.35">
      <c r="C93" s="248"/>
      <c r="D93" s="248"/>
      <c r="E93" s="219"/>
      <c r="F93" s="249"/>
      <c r="G93" s="219"/>
    </row>
    <row r="94" spans="1:8" ht="12.75" x14ac:dyDescent="0.35">
      <c r="C94" s="248"/>
      <c r="D94" s="248"/>
      <c r="E94" s="219"/>
      <c r="F94" s="249"/>
      <c r="G94" s="219"/>
    </row>
  </sheetData>
  <mergeCells count="2">
    <mergeCell ref="A1:L1"/>
    <mergeCell ref="A2:L2"/>
  </mergeCells>
  <printOptions horizontalCentered="1" verticalCentered="1"/>
  <pageMargins left="0.25" right="0.25" top="0.75" bottom="0.75" header="0.3" footer="0.3"/>
  <pageSetup paperSize="122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9"/>
  </sheetPr>
  <dimension ref="B1:AD37"/>
  <sheetViews>
    <sheetView showGridLines="0" zoomScale="97" zoomScaleNormal="97" workbookViewId="0">
      <selection activeCell="A4" sqref="A4"/>
    </sheetView>
  </sheetViews>
  <sheetFormatPr defaultColWidth="11.46484375" defaultRowHeight="12.75" x14ac:dyDescent="0.35"/>
  <cols>
    <col min="1" max="1" width="2.06640625" customWidth="1"/>
    <col min="2" max="2" width="29" bestFit="1" customWidth="1"/>
    <col min="3" max="3" width="15.46484375" style="4" customWidth="1"/>
    <col min="4" max="8" width="15.46484375" customWidth="1"/>
    <col min="9" max="9" width="15.46484375" hidden="1" customWidth="1"/>
    <col min="10" max="10" width="15.46484375" customWidth="1"/>
    <col min="11" max="11" width="1.46484375" customWidth="1"/>
    <col min="12" max="12" width="29.33203125" customWidth="1"/>
    <col min="14" max="14" width="10.59765625" customWidth="1"/>
    <col min="21" max="21" width="2.796875" customWidth="1"/>
    <col min="22" max="22" width="29.33203125" bestFit="1" customWidth="1"/>
  </cols>
  <sheetData>
    <row r="1" spans="2:30" ht="7.5" customHeight="1" thickBot="1" x14ac:dyDescent="0.4"/>
    <row r="2" spans="2:30" ht="20.65" x14ac:dyDescent="0.6">
      <c r="B2" s="642" t="s">
        <v>430</v>
      </c>
      <c r="C2" s="643"/>
      <c r="D2" s="643"/>
      <c r="E2" s="643"/>
      <c r="F2" s="643"/>
      <c r="G2" s="643"/>
      <c r="H2" s="644"/>
      <c r="I2" s="297"/>
      <c r="J2" s="297"/>
      <c r="L2" s="645" t="s">
        <v>195</v>
      </c>
      <c r="M2" s="645"/>
      <c r="N2" s="205" t="s">
        <v>197</v>
      </c>
      <c r="O2" s="204"/>
      <c r="P2" s="204"/>
      <c r="Q2" s="204"/>
      <c r="R2" s="204"/>
      <c r="S2" s="204"/>
      <c r="T2" s="204"/>
      <c r="U2" s="204"/>
      <c r="V2" s="204"/>
      <c r="W2" s="204"/>
      <c r="X2" s="205" t="s">
        <v>197</v>
      </c>
      <c r="Y2" s="204"/>
      <c r="Z2" s="204"/>
      <c r="AA2" s="204"/>
      <c r="AB2" s="204"/>
      <c r="AC2" s="204"/>
      <c r="AD2" s="204"/>
    </row>
    <row r="3" spans="2:30" ht="13.15" x14ac:dyDescent="0.4">
      <c r="B3" s="516"/>
      <c r="C3" s="517">
        <v>2024</v>
      </c>
      <c r="D3" s="517">
        <f>C3-1</f>
        <v>2023</v>
      </c>
      <c r="E3" s="517" t="s">
        <v>116</v>
      </c>
      <c r="F3" s="517" t="s">
        <v>64</v>
      </c>
      <c r="G3" s="517" t="s">
        <v>63</v>
      </c>
      <c r="H3" s="518" t="s">
        <v>57</v>
      </c>
      <c r="I3" s="13"/>
      <c r="J3" s="13"/>
      <c r="K3" s="11"/>
      <c r="L3" s="207" t="s">
        <v>10</v>
      </c>
      <c r="M3" s="208" t="s">
        <v>367</v>
      </c>
      <c r="N3" s="208" t="s">
        <v>431</v>
      </c>
      <c r="O3" s="208" t="s">
        <v>534</v>
      </c>
      <c r="P3" s="208">
        <v>2025</v>
      </c>
      <c r="Q3" s="208">
        <v>2026</v>
      </c>
      <c r="R3" s="208">
        <v>2027</v>
      </c>
      <c r="S3" s="208">
        <v>2028</v>
      </c>
      <c r="T3" s="208">
        <v>2029</v>
      </c>
      <c r="U3" s="204"/>
      <c r="V3" s="208" t="s">
        <v>198</v>
      </c>
      <c r="W3" s="208" t="s">
        <v>367</v>
      </c>
      <c r="X3" s="208" t="s">
        <v>431</v>
      </c>
      <c r="Y3" s="208" t="s">
        <v>534</v>
      </c>
      <c r="Z3" s="208">
        <v>2025</v>
      </c>
      <c r="AA3" s="208">
        <v>2026</v>
      </c>
      <c r="AB3" s="208">
        <v>2027</v>
      </c>
      <c r="AC3" s="208">
        <v>2028</v>
      </c>
      <c r="AD3" s="208">
        <v>2029</v>
      </c>
    </row>
    <row r="4" spans="2:30" ht="13.15" x14ac:dyDescent="0.4">
      <c r="B4" s="519" t="s">
        <v>526</v>
      </c>
      <c r="C4" s="1">
        <v>1251892</v>
      </c>
      <c r="D4" s="1">
        <v>1058293</v>
      </c>
      <c r="E4" s="4" t="s">
        <v>533</v>
      </c>
      <c r="F4" s="520">
        <f>C4/$C$14</f>
        <v>0.49193947365008533</v>
      </c>
      <c r="G4" s="231" t="s">
        <v>533</v>
      </c>
      <c r="H4" s="532">
        <f>C4/D4-1</f>
        <v>0.18293516067856452</v>
      </c>
      <c r="I4" s="298"/>
      <c r="J4" s="434" t="str">
        <f>IF(C4="","",IF(F4=0,"NA",TEXT(F4,"0%"))&amp;"; "&amp;IF(G4=0,"NA",TEXT(G4,"0.0%"))&amp;"; "&amp;IF(H4=0,"NA",TEXT(H4,"0%")))</f>
        <v>49%; NA; 18%</v>
      </c>
      <c r="L4" s="206">
        <f>B17</f>
        <v>0</v>
      </c>
      <c r="N4" s="149"/>
      <c r="O4" s="149"/>
      <c r="P4" s="149"/>
      <c r="Q4" s="149"/>
      <c r="R4" s="149"/>
      <c r="S4" s="149"/>
      <c r="T4" s="149"/>
      <c r="U4" s="204"/>
      <c r="V4" s="206" t="str">
        <f>B4</f>
        <v>US</v>
      </c>
      <c r="W4" s="535">
        <v>932587</v>
      </c>
      <c r="X4" s="421"/>
      <c r="Y4" s="421"/>
      <c r="Z4" s="421"/>
      <c r="AA4" s="421"/>
      <c r="AB4" s="421"/>
      <c r="AC4" s="421"/>
      <c r="AD4" s="421"/>
    </row>
    <row r="5" spans="2:30" ht="13.15" x14ac:dyDescent="0.4">
      <c r="B5" s="519" t="s">
        <v>527</v>
      </c>
      <c r="C5" s="1">
        <v>209714</v>
      </c>
      <c r="D5" s="1">
        <v>199068</v>
      </c>
      <c r="E5" s="4" t="s">
        <v>533</v>
      </c>
      <c r="F5" s="520">
        <f t="shared" ref="F5:F10" si="0">C5/$C$14</f>
        <v>8.2408542252090433E-2</v>
      </c>
      <c r="G5" s="231" t="s">
        <v>533</v>
      </c>
      <c r="H5" s="532">
        <f t="shared" ref="H5:H10" si="1">C5/D5-1</f>
        <v>5.3479213133200698E-2</v>
      </c>
      <c r="I5" s="298"/>
      <c r="J5" s="434" t="str">
        <f>IF(C5="","",IF(F5=0,"NA",TEXT(F5,"0%"))&amp;"; "&amp;IF(G5=0,"NA",TEXT(G5,"0.0%"))&amp;"; "&amp;IF(H5=0,"NA",TEXT(H5,"0%")))</f>
        <v>8%; NA; 5%</v>
      </c>
      <c r="L5" s="206">
        <f t="shared" ref="L5" si="2">B18</f>
        <v>0</v>
      </c>
      <c r="N5" s="149"/>
      <c r="O5" s="149"/>
      <c r="P5" s="149"/>
      <c r="Q5" s="149"/>
      <c r="R5" s="149"/>
      <c r="S5" s="149"/>
      <c r="T5" s="149"/>
      <c r="U5" s="204"/>
      <c r="V5" s="206" t="str">
        <f>B5</f>
        <v>Germany</v>
      </c>
      <c r="W5" s="535">
        <v>198612</v>
      </c>
      <c r="X5" s="421"/>
      <c r="Y5" s="421"/>
      <c r="Z5" s="421"/>
      <c r="AA5" s="421"/>
      <c r="AB5" s="421"/>
      <c r="AC5" s="421"/>
      <c r="AD5" s="421"/>
    </row>
    <row r="6" spans="2:30" ht="13.15" x14ac:dyDescent="0.4">
      <c r="B6" s="519" t="s">
        <v>528</v>
      </c>
      <c r="C6" s="1">
        <v>184547</v>
      </c>
      <c r="D6" s="1">
        <v>203013</v>
      </c>
      <c r="E6" s="4" t="s">
        <v>533</v>
      </c>
      <c r="F6" s="520">
        <f t="shared" si="0"/>
        <v>7.2518998478864227E-2</v>
      </c>
      <c r="G6" s="231" t="s">
        <v>533</v>
      </c>
      <c r="H6" s="532">
        <f t="shared" si="1"/>
        <v>-9.0959692236457723E-2</v>
      </c>
      <c r="I6" s="298"/>
      <c r="J6" s="434" t="str">
        <f>IF(C6="","",IF(F6=0,"NA",TEXT(F6,"0%"))&amp;"; "&amp;IF(G6=0,"NA",TEXT(G6,"0.0%"))&amp;"; "&amp;IF(H6=0,"NA",TEXT(H6,"0%")))</f>
        <v>7%; NA; -9%</v>
      </c>
      <c r="L6" s="206">
        <f>B19</f>
        <v>0</v>
      </c>
      <c r="N6" s="119"/>
      <c r="O6" s="119"/>
      <c r="P6" s="119"/>
      <c r="Q6" s="119"/>
      <c r="R6" s="119"/>
      <c r="S6" s="119"/>
      <c r="T6" s="119"/>
      <c r="V6" s="206" t="str">
        <f>B6</f>
        <v>Japan</v>
      </c>
      <c r="W6" s="535">
        <v>186199</v>
      </c>
      <c r="X6" s="423"/>
      <c r="Y6" s="278"/>
      <c r="Z6" s="278"/>
      <c r="AA6" s="278"/>
      <c r="AB6" s="278"/>
      <c r="AC6" s="278"/>
      <c r="AD6" s="278"/>
    </row>
    <row r="7" spans="2:30" ht="13.15" x14ac:dyDescent="0.4">
      <c r="B7" s="519" t="s">
        <v>529</v>
      </c>
      <c r="C7" s="521">
        <v>126628</v>
      </c>
      <c r="D7" s="521">
        <v>111467</v>
      </c>
      <c r="E7" s="4" t="s">
        <v>533</v>
      </c>
      <c r="F7" s="520">
        <f t="shared" si="0"/>
        <v>4.9759333608141124E-2</v>
      </c>
      <c r="G7" s="231" t="s">
        <v>533</v>
      </c>
      <c r="H7" s="533">
        <f t="shared" si="1"/>
        <v>0.13601334924237674</v>
      </c>
      <c r="I7" s="299"/>
      <c r="J7" s="434" t="str">
        <f>IF(C7="","",IF(F7=0,"NA",TEXT(F7,"0%"))&amp;"; "&amp;IF(G7=0,"NA",TEXT(G7,"0.0%"))&amp;"; "&amp;IF(H7=0,"NA",TEXT(H7,"0%")))</f>
        <v>5%; NA; 14%</v>
      </c>
      <c r="L7" s="206">
        <f>B20</f>
        <v>0</v>
      </c>
      <c r="N7" s="119"/>
      <c r="O7" s="119"/>
      <c r="P7" s="119"/>
      <c r="Q7" s="119"/>
      <c r="R7" s="119"/>
      <c r="S7" s="119"/>
      <c r="T7" s="119"/>
      <c r="V7" s="206" t="str">
        <f>B7</f>
        <v>China and Hong Kong</v>
      </c>
      <c r="W7" s="535">
        <v>105101</v>
      </c>
      <c r="X7" s="278"/>
      <c r="Y7" s="278"/>
      <c r="Z7" s="278"/>
      <c r="AA7" s="278"/>
      <c r="AB7" s="278"/>
      <c r="AC7" s="278"/>
      <c r="AD7" s="278"/>
    </row>
    <row r="8" spans="2:30" ht="13.15" x14ac:dyDescent="0.4">
      <c r="B8" s="519" t="s">
        <v>530</v>
      </c>
      <c r="C8" s="1">
        <v>112895</v>
      </c>
      <c r="D8" s="1">
        <v>106261</v>
      </c>
      <c r="E8" s="1" t="s">
        <v>533</v>
      </c>
      <c r="F8" s="520">
        <f t="shared" si="0"/>
        <v>4.4362857880493191E-2</v>
      </c>
      <c r="G8" s="231" t="s">
        <v>533</v>
      </c>
      <c r="H8" s="532">
        <f t="shared" si="1"/>
        <v>6.2431183595110129E-2</v>
      </c>
      <c r="I8" s="298"/>
      <c r="J8" s="434" t="str">
        <f>IF(C8="","",IF(F8=0,"NA",TEXT(F8,"0%"))&amp;"; "&amp;IF(G8=0,"NA",TEXT(G8,"0.0%"))&amp;"; "&amp;IF(H8=0,"NA",TEXT(H8,"0%")))</f>
        <v>4%; NA; 6%</v>
      </c>
      <c r="L8" s="202">
        <f>B21</f>
        <v>0</v>
      </c>
      <c r="M8" s="209"/>
      <c r="N8" s="200"/>
      <c r="O8" s="200"/>
      <c r="P8" s="200"/>
      <c r="Q8" s="200"/>
      <c r="R8" s="200"/>
      <c r="S8" s="200"/>
      <c r="T8" s="200"/>
      <c r="V8" s="202" t="str">
        <f>B8</f>
        <v>South Korea</v>
      </c>
      <c r="W8" s="419"/>
      <c r="X8" s="422"/>
      <c r="Y8" s="422"/>
      <c r="Z8" s="422"/>
      <c r="AA8" s="422"/>
      <c r="AB8" s="422"/>
      <c r="AC8" s="422"/>
      <c r="AD8" s="422"/>
    </row>
    <row r="9" spans="2:30" ht="13.15" x14ac:dyDescent="0.4">
      <c r="B9" s="522" t="s">
        <v>531</v>
      </c>
      <c r="C9" s="1">
        <v>445791</v>
      </c>
      <c r="D9" s="523">
        <v>406719</v>
      </c>
      <c r="E9" s="521" t="s">
        <v>533</v>
      </c>
      <c r="F9" s="520">
        <f t="shared" si="0"/>
        <v>0.17517660460961904</v>
      </c>
      <c r="G9" s="231" t="s">
        <v>533</v>
      </c>
      <c r="H9" s="532">
        <f t="shared" si="1"/>
        <v>9.6066325890848514E-2</v>
      </c>
      <c r="I9" s="298"/>
      <c r="J9" s="434" t="str">
        <f t="shared" ref="J9:J13" si="3">IF(C9="","",IF(F9=0,"NA",TEXT(F9,"0%"))&amp;"; "&amp;IF(G9=0,"NA",TEXT(G9,"0.0%"))&amp;"; "&amp;IF(H9=0,"NA",TEXT(H9,"0%")))</f>
        <v>18%; NA; 10%</v>
      </c>
      <c r="L9" s="199" t="s">
        <v>196</v>
      </c>
      <c r="M9" s="194"/>
      <c r="N9" s="194"/>
      <c r="O9" s="194"/>
      <c r="P9" s="194"/>
      <c r="Q9" s="194"/>
      <c r="R9" s="194"/>
      <c r="S9" s="194"/>
      <c r="T9" s="194"/>
      <c r="V9" s="214" t="s">
        <v>200</v>
      </c>
      <c r="W9" s="420" t="e">
        <f>(#REF!*W12+#REF!*W13+#REF!*W14+#REF!*W15+W8*W16)/SUM(W12:W16)+W10</f>
        <v>#REF!</v>
      </c>
      <c r="X9" s="420" t="e">
        <f t="shared" ref="X9:AD9" si="4">(X4*X12+X5*X13+X6*X14+X7*X15+X8*X16)/SUM(X12:X16)+X10</f>
        <v>#DIV/0!</v>
      </c>
      <c r="Y9" s="420" t="e">
        <f t="shared" si="4"/>
        <v>#DIV/0!</v>
      </c>
      <c r="Z9" s="420" t="e">
        <f t="shared" si="4"/>
        <v>#DIV/0!</v>
      </c>
      <c r="AA9" s="420" t="e">
        <f t="shared" si="4"/>
        <v>#DIV/0!</v>
      </c>
      <c r="AB9" s="420" t="e">
        <f t="shared" si="4"/>
        <v>#DIV/0!</v>
      </c>
      <c r="AC9" s="420" t="e">
        <f t="shared" si="4"/>
        <v>#DIV/0!</v>
      </c>
      <c r="AD9" s="420" t="e">
        <f t="shared" si="4"/>
        <v>#DIV/0!</v>
      </c>
    </row>
    <row r="10" spans="2:30" ht="13.15" x14ac:dyDescent="0.4">
      <c r="B10" s="522" t="s">
        <v>532</v>
      </c>
      <c r="C10" s="524">
        <v>213342</v>
      </c>
      <c r="D10" s="523">
        <v>185128</v>
      </c>
      <c r="E10" s="1" t="s">
        <v>533</v>
      </c>
      <c r="F10" s="520">
        <f t="shared" si="0"/>
        <v>8.3834189520706662E-2</v>
      </c>
      <c r="G10" s="231" t="s">
        <v>533</v>
      </c>
      <c r="H10" s="532">
        <f t="shared" si="1"/>
        <v>0.1524026619420078</v>
      </c>
      <c r="I10" s="298"/>
      <c r="J10" s="434" t="str">
        <f t="shared" si="3"/>
        <v>8%; NA; 15%</v>
      </c>
      <c r="L10" s="30">
        <f>B17</f>
        <v>0</v>
      </c>
      <c r="M10" s="278"/>
      <c r="N10" s="15"/>
      <c r="O10" s="15"/>
      <c r="P10" s="15"/>
      <c r="Q10" s="15"/>
      <c r="R10" s="15"/>
      <c r="S10" s="15"/>
      <c r="T10" s="15"/>
      <c r="V10" s="213" t="s">
        <v>199</v>
      </c>
      <c r="W10" s="215">
        <f>(-6200-18752)/274515</f>
        <v>-9.0894850918893322E-2</v>
      </c>
      <c r="X10" s="215">
        <f>(-6143-21914)/365817</f>
        <v>-7.6696818354532459E-2</v>
      </c>
      <c r="Y10" s="215">
        <f>(-7207-26251)/394328</f>
        <v>-8.4848146720496648E-2</v>
      </c>
      <c r="Z10" s="215">
        <v>-0.1</v>
      </c>
      <c r="AA10" s="215">
        <v>-0.1</v>
      </c>
      <c r="AB10" s="215">
        <v>-0.1</v>
      </c>
      <c r="AC10" s="215">
        <v>-0.1</v>
      </c>
      <c r="AD10" s="215">
        <v>-0.1</v>
      </c>
    </row>
    <row r="11" spans="2:30" ht="13.15" x14ac:dyDescent="0.4">
      <c r="B11" s="522"/>
      <c r="C11" s="1"/>
      <c r="D11" s="523"/>
      <c r="E11" s="7"/>
      <c r="F11" s="520"/>
      <c r="G11" s="520"/>
      <c r="H11" s="525"/>
      <c r="I11" s="298"/>
      <c r="J11" s="434" t="str">
        <f t="shared" si="3"/>
        <v/>
      </c>
      <c r="L11" s="30">
        <f t="shared" ref="L11" si="5">B18</f>
        <v>0</v>
      </c>
      <c r="M11" s="278"/>
      <c r="N11" s="15"/>
      <c r="O11" s="15"/>
      <c r="P11" s="15"/>
      <c r="Q11" s="15"/>
      <c r="R11" s="15"/>
      <c r="S11" s="15"/>
      <c r="T11" s="15"/>
      <c r="V11" s="203" t="s">
        <v>196</v>
      </c>
    </row>
    <row r="12" spans="2:30" ht="13.15" x14ac:dyDescent="0.4">
      <c r="B12" s="522"/>
      <c r="C12" s="1"/>
      <c r="D12" s="523"/>
      <c r="E12" s="7"/>
      <c r="F12" s="520"/>
      <c r="G12" s="520"/>
      <c r="H12" s="525"/>
      <c r="I12" s="298"/>
      <c r="J12" s="434" t="str">
        <f t="shared" si="3"/>
        <v/>
      </c>
      <c r="L12" s="30">
        <f>B19</f>
        <v>0</v>
      </c>
      <c r="M12" s="278"/>
      <c r="N12" s="15"/>
      <c r="O12" s="15"/>
      <c r="P12" s="15"/>
      <c r="Q12" s="15"/>
      <c r="R12" s="15"/>
      <c r="S12" s="15"/>
      <c r="T12" s="15"/>
      <c r="V12" s="30" t="str">
        <f>V4</f>
        <v>US</v>
      </c>
      <c r="W12" s="12"/>
      <c r="X12" s="119"/>
      <c r="Y12" s="119"/>
      <c r="Z12" s="119"/>
      <c r="AA12" s="119"/>
      <c r="AB12" s="119"/>
      <c r="AC12" s="119"/>
      <c r="AD12" s="119"/>
    </row>
    <row r="13" spans="2:30" ht="13.15" x14ac:dyDescent="0.4">
      <c r="B13" s="526"/>
      <c r="C13" s="527"/>
      <c r="D13" s="527"/>
      <c r="E13" s="7"/>
      <c r="F13" s="520"/>
      <c r="G13" s="300"/>
      <c r="H13" s="525"/>
      <c r="I13" s="300"/>
      <c r="J13" s="434" t="str">
        <f t="shared" si="3"/>
        <v/>
      </c>
      <c r="L13" s="30">
        <f>B20</f>
        <v>0</v>
      </c>
      <c r="M13" s="278"/>
      <c r="N13" s="15"/>
      <c r="O13" s="15"/>
      <c r="P13" s="15"/>
      <c r="Q13" s="15"/>
      <c r="R13" s="15"/>
      <c r="S13" s="15"/>
      <c r="T13" s="15"/>
      <c r="V13" s="30" t="str">
        <f>V5</f>
        <v>Germany</v>
      </c>
      <c r="W13" s="12"/>
      <c r="X13" s="119"/>
      <c r="Y13" s="119"/>
      <c r="Z13" s="119"/>
      <c r="AA13" s="119"/>
      <c r="AB13" s="119"/>
      <c r="AC13" s="119"/>
      <c r="AD13" s="119"/>
    </row>
    <row r="14" spans="2:30" ht="13.15" x14ac:dyDescent="0.4">
      <c r="B14" s="528" t="s">
        <v>110</v>
      </c>
      <c r="C14" s="529">
        <f>SUM(C4:C12)</f>
        <v>2544809</v>
      </c>
      <c r="D14" s="529">
        <f>SUM(D4:D12)</f>
        <v>2269949</v>
      </c>
      <c r="E14" s="529" t="s">
        <v>533</v>
      </c>
      <c r="F14" s="530">
        <f>C14/SUM($C$4:$C$13)</f>
        <v>1</v>
      </c>
      <c r="G14" s="534" t="s">
        <v>533</v>
      </c>
      <c r="H14" s="531">
        <f>C14/D14-1</f>
        <v>0.12108642088434585</v>
      </c>
      <c r="I14" s="300"/>
      <c r="J14" s="434"/>
      <c r="L14" s="202">
        <f>B21</f>
        <v>0</v>
      </c>
      <c r="M14" s="419"/>
      <c r="N14" s="419"/>
      <c r="O14" s="419"/>
      <c r="P14" s="419"/>
      <c r="Q14" s="419"/>
      <c r="R14" s="419"/>
      <c r="S14" s="419"/>
      <c r="T14" s="419"/>
      <c r="V14" s="30" t="str">
        <f>V6</f>
        <v>Japan</v>
      </c>
      <c r="W14" s="12"/>
      <c r="X14" s="119"/>
      <c r="Y14" s="119"/>
      <c r="Z14" s="119"/>
      <c r="AA14" s="119"/>
      <c r="AB14" s="119"/>
      <c r="AC14" s="119"/>
      <c r="AD14" s="119"/>
    </row>
    <row r="15" spans="2:30" ht="15" customHeight="1" x14ac:dyDescent="0.4">
      <c r="C15"/>
      <c r="M15" s="5">
        <f>SUM(M10:M14)</f>
        <v>0</v>
      </c>
      <c r="N15" s="5">
        <f t="shared" ref="N15:T15" si="6">SUM(N10:N14)</f>
        <v>0</v>
      </c>
      <c r="O15" s="5">
        <f t="shared" si="6"/>
        <v>0</v>
      </c>
      <c r="P15" s="5">
        <f t="shared" si="6"/>
        <v>0</v>
      </c>
      <c r="Q15" s="5">
        <f t="shared" si="6"/>
        <v>0</v>
      </c>
      <c r="R15" s="5">
        <f t="shared" si="6"/>
        <v>0</v>
      </c>
      <c r="S15" s="5">
        <f t="shared" si="6"/>
        <v>0</v>
      </c>
      <c r="T15" s="5">
        <f t="shared" si="6"/>
        <v>0</v>
      </c>
      <c r="V15" s="30" t="str">
        <f>V7</f>
        <v>China and Hong Kong</v>
      </c>
      <c r="W15" s="12"/>
      <c r="X15" s="12"/>
      <c r="Y15" s="12"/>
      <c r="Z15" s="12"/>
      <c r="AA15" s="12"/>
      <c r="AB15" s="12"/>
      <c r="AC15" s="12"/>
      <c r="AD15" s="12"/>
    </row>
    <row r="16" spans="2:30" ht="13.15" x14ac:dyDescent="0.4">
      <c r="C16"/>
      <c r="E16" s="101"/>
      <c r="N16" s="210" t="e">
        <f>N15/M15-1</f>
        <v>#DIV/0!</v>
      </c>
      <c r="O16" s="210" t="e">
        <f t="shared" ref="O16:T16" si="7">O15/N15-1</f>
        <v>#DIV/0!</v>
      </c>
      <c r="P16" s="210" t="e">
        <f t="shared" si="7"/>
        <v>#DIV/0!</v>
      </c>
      <c r="Q16" s="210" t="e">
        <f t="shared" si="7"/>
        <v>#DIV/0!</v>
      </c>
      <c r="R16" s="210" t="e">
        <f t="shared" si="7"/>
        <v>#DIV/0!</v>
      </c>
      <c r="S16" s="210" t="e">
        <f t="shared" si="7"/>
        <v>#DIV/0!</v>
      </c>
      <c r="T16" s="210" t="e">
        <f t="shared" si="7"/>
        <v>#DIV/0!</v>
      </c>
      <c r="V16" s="211" t="str">
        <f>V8</f>
        <v>South Korea</v>
      </c>
      <c r="W16" s="201"/>
      <c r="X16" s="200"/>
      <c r="Y16" s="200"/>
      <c r="Z16" s="200"/>
      <c r="AA16" s="200"/>
      <c r="AB16" s="200"/>
      <c r="AC16" s="200"/>
      <c r="AD16" s="200"/>
    </row>
    <row r="17" spans="3:30" x14ac:dyDescent="0.35">
      <c r="C17"/>
      <c r="E17" s="101"/>
      <c r="W17" s="212">
        <f>SUM(W12:W16)</f>
        <v>0</v>
      </c>
      <c r="X17" s="212">
        <f t="shared" ref="X17:AD17" si="8">SUM(X12:X16)</f>
        <v>0</v>
      </c>
      <c r="Y17" s="212">
        <f t="shared" si="8"/>
        <v>0</v>
      </c>
      <c r="Z17" s="212">
        <f t="shared" si="8"/>
        <v>0</v>
      </c>
      <c r="AA17" s="212">
        <f t="shared" si="8"/>
        <v>0</v>
      </c>
      <c r="AB17" s="212">
        <f t="shared" si="8"/>
        <v>0</v>
      </c>
      <c r="AC17" s="212">
        <f t="shared" si="8"/>
        <v>0</v>
      </c>
      <c r="AD17" s="212">
        <f t="shared" si="8"/>
        <v>0</v>
      </c>
    </row>
    <row r="18" spans="3:30" x14ac:dyDescent="0.35">
      <c r="C18"/>
      <c r="E18" s="101"/>
      <c r="L18" s="101"/>
    </row>
    <row r="19" spans="3:30" x14ac:dyDescent="0.35">
      <c r="C19"/>
      <c r="E19" s="101"/>
    </row>
    <row r="20" spans="3:30" x14ac:dyDescent="0.35">
      <c r="C20"/>
      <c r="E20" s="101"/>
    </row>
    <row r="21" spans="3:30" x14ac:dyDescent="0.35">
      <c r="C21"/>
      <c r="E21" s="101"/>
    </row>
    <row r="22" spans="3:30" x14ac:dyDescent="0.35">
      <c r="C22"/>
      <c r="E22" s="101"/>
    </row>
    <row r="23" spans="3:30" x14ac:dyDescent="0.35">
      <c r="C23"/>
      <c r="E23" s="101"/>
    </row>
    <row r="24" spans="3:30" x14ac:dyDescent="0.35">
      <c r="C24"/>
    </row>
    <row r="25" spans="3:30" x14ac:dyDescent="0.35">
      <c r="C25"/>
    </row>
    <row r="26" spans="3:30" x14ac:dyDescent="0.35">
      <c r="C26"/>
    </row>
    <row r="27" spans="3:30" x14ac:dyDescent="0.35">
      <c r="C27"/>
    </row>
    <row r="28" spans="3:30" x14ac:dyDescent="0.35">
      <c r="E28" s="101"/>
    </row>
    <row r="29" spans="3:30" x14ac:dyDescent="0.35">
      <c r="E29" s="101"/>
    </row>
    <row r="30" spans="3:30" x14ac:dyDescent="0.35">
      <c r="E30" s="101"/>
    </row>
    <row r="34" spans="2:11" x14ac:dyDescent="0.35">
      <c r="C34" s="1"/>
    </row>
    <row r="35" spans="2:11" ht="15" x14ac:dyDescent="0.4">
      <c r="B35" s="641"/>
      <c r="C35" s="641"/>
      <c r="D35" s="641"/>
      <c r="E35" s="641"/>
      <c r="F35" s="641"/>
      <c r="G35" s="641"/>
      <c r="H35" s="641"/>
      <c r="I35" s="264"/>
      <c r="J35" s="264"/>
    </row>
    <row r="36" spans="2:11" ht="15" x14ac:dyDescent="0.4">
      <c r="B36" s="641"/>
      <c r="C36" s="641"/>
      <c r="D36" s="641"/>
      <c r="E36" s="641"/>
      <c r="F36" s="641"/>
      <c r="G36" s="641"/>
      <c r="H36" s="641"/>
      <c r="I36" s="264"/>
      <c r="J36" s="264"/>
    </row>
    <row r="37" spans="2:11" ht="15" x14ac:dyDescent="0.4">
      <c r="B37" s="641"/>
      <c r="C37" s="641"/>
      <c r="D37" s="641"/>
      <c r="E37" s="641"/>
      <c r="F37" s="641"/>
      <c r="G37" s="641"/>
      <c r="H37" s="641"/>
      <c r="I37" s="264"/>
      <c r="J37" s="264"/>
      <c r="K37" s="123"/>
    </row>
  </sheetData>
  <mergeCells count="3">
    <mergeCell ref="B35:H37"/>
    <mergeCell ref="B2:H2"/>
    <mergeCell ref="L2:M2"/>
  </mergeCells>
  <phoneticPr fontId="0" type="noConversion"/>
  <pageMargins left="0.75" right="0.75" top="1" bottom="1" header="0" footer="0"/>
  <pageSetup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  <pageSetUpPr autoPageBreaks="0"/>
  </sheetPr>
  <dimension ref="A1:G169"/>
  <sheetViews>
    <sheetView showGridLines="0" zoomScale="111" zoomScaleNormal="85" workbookViewId="0">
      <selection activeCell="A16" sqref="A16"/>
    </sheetView>
  </sheetViews>
  <sheetFormatPr defaultColWidth="11.46484375" defaultRowHeight="12.75" x14ac:dyDescent="0.35"/>
  <cols>
    <col min="1" max="1" width="21.33203125" bestFit="1" customWidth="1"/>
    <col min="2" max="5" width="22.796875" customWidth="1"/>
  </cols>
  <sheetData>
    <row r="1" spans="1:7" ht="5.25" customHeight="1" thickBot="1" x14ac:dyDescent="0.4"/>
    <row r="2" spans="1:7" ht="12.75" customHeight="1" x14ac:dyDescent="0.35">
      <c r="A2" s="646" t="s">
        <v>370</v>
      </c>
      <c r="B2" s="217" t="s">
        <v>543</v>
      </c>
      <c r="C2" s="217" t="s">
        <v>544</v>
      </c>
      <c r="D2" s="217" t="s">
        <v>545</v>
      </c>
      <c r="E2" s="217" t="s">
        <v>454</v>
      </c>
    </row>
    <row r="3" spans="1:7" ht="14.65" thickBot="1" x14ac:dyDescent="0.4">
      <c r="A3" s="647"/>
      <c r="B3" s="218" t="s">
        <v>455</v>
      </c>
      <c r="C3" s="218" t="s">
        <v>452</v>
      </c>
      <c r="D3" s="218" t="s">
        <v>453</v>
      </c>
      <c r="E3" s="218" t="s">
        <v>454</v>
      </c>
    </row>
    <row r="4" spans="1:7" ht="15.5" customHeight="1" thickBot="1" x14ac:dyDescent="0.45">
      <c r="A4" s="499" t="s">
        <v>9</v>
      </c>
      <c r="B4" s="558">
        <f>Cifras_en_Millones!B5</f>
        <v>2544</v>
      </c>
      <c r="C4" s="500">
        <v>6213</v>
      </c>
      <c r="D4" s="560">
        <v>665.78800000000001</v>
      </c>
      <c r="E4" s="561">
        <v>2298.4720000000002</v>
      </c>
      <c r="F4" s="112"/>
      <c r="G4" s="568" t="s">
        <v>547</v>
      </c>
    </row>
    <row r="5" spans="1:7" ht="15.5" customHeight="1" x14ac:dyDescent="0.35">
      <c r="A5" s="501" t="s">
        <v>419</v>
      </c>
      <c r="B5" s="553" t="s">
        <v>477</v>
      </c>
      <c r="C5" s="4" t="s">
        <v>478</v>
      </c>
      <c r="D5" s="4" t="s">
        <v>481</v>
      </c>
      <c r="E5" s="512" t="s">
        <v>483</v>
      </c>
      <c r="G5" s="566" t="e">
        <f>AVERAGE(B5:E5)</f>
        <v>#DIV/0!</v>
      </c>
    </row>
    <row r="6" spans="1:7" ht="15.5" customHeight="1" x14ac:dyDescent="0.35">
      <c r="A6" s="501" t="s">
        <v>420</v>
      </c>
      <c r="B6" s="554" t="s">
        <v>480</v>
      </c>
      <c r="C6" s="4" t="s">
        <v>479</v>
      </c>
      <c r="D6" s="4" t="s">
        <v>482</v>
      </c>
      <c r="E6" s="502">
        <v>0.67</v>
      </c>
      <c r="G6" s="566">
        <f t="shared" ref="G6:G21" si="0">AVERAGE(B6:E6)</f>
        <v>0.67</v>
      </c>
    </row>
    <row r="7" spans="1:7" ht="15.5" hidden="1" customHeight="1" x14ac:dyDescent="0.35">
      <c r="A7" s="501" t="s">
        <v>17</v>
      </c>
      <c r="B7" s="503">
        <v>122278</v>
      </c>
      <c r="C7" s="503">
        <v>82110</v>
      </c>
      <c r="D7" s="503">
        <v>26772</v>
      </c>
      <c r="E7" s="504">
        <v>100504</v>
      </c>
      <c r="G7" s="566">
        <f t="shared" si="0"/>
        <v>82916</v>
      </c>
    </row>
    <row r="8" spans="1:7" ht="15.5" hidden="1" customHeight="1" x14ac:dyDescent="0.35">
      <c r="A8" s="501" t="s">
        <v>133</v>
      </c>
      <c r="B8" s="503">
        <v>323888</v>
      </c>
      <c r="C8" s="503">
        <v>301311</v>
      </c>
      <c r="D8" s="503">
        <v>319616</v>
      </c>
      <c r="E8" s="504">
        <v>321195</v>
      </c>
      <c r="G8" s="566">
        <f t="shared" si="0"/>
        <v>316502.5</v>
      </c>
    </row>
    <row r="9" spans="1:7" ht="15.5" customHeight="1" x14ac:dyDescent="0.35">
      <c r="A9" s="501" t="s">
        <v>132</v>
      </c>
      <c r="B9" s="555">
        <f>Cifras_Originales!$B$41/Cifras_Originales!$B$29</f>
        <v>0.10004233295552308</v>
      </c>
      <c r="C9" s="514">
        <f>14622/14622</f>
        <v>1</v>
      </c>
      <c r="D9" s="514">
        <f>652162/1363493</f>
        <v>0.47830241886096958</v>
      </c>
      <c r="E9" s="515">
        <f>3611552/6288842</f>
        <v>0.57427933473284909</v>
      </c>
      <c r="G9" s="569">
        <f t="shared" si="0"/>
        <v>0.53815602163733545</v>
      </c>
    </row>
    <row r="10" spans="1:7" ht="15.5" customHeight="1" x14ac:dyDescent="0.35">
      <c r="A10" s="501" t="s">
        <v>180</v>
      </c>
      <c r="B10" s="514">
        <f>733/793</f>
        <v>0.92433795712484235</v>
      </c>
      <c r="C10" s="509">
        <f>(14622.5/1241.9)</f>
        <v>11.774297447459537</v>
      </c>
      <c r="D10" s="425">
        <f>652.162/31.09</f>
        <v>20.97658411064651</v>
      </c>
      <c r="E10" s="505">
        <f>6288.842/498.5</f>
        <v>12.615530591775325</v>
      </c>
      <c r="G10" s="569">
        <f t="shared" si="0"/>
        <v>11.572687526751555</v>
      </c>
    </row>
    <row r="11" spans="1:7" ht="15.5" customHeight="1" x14ac:dyDescent="0.35">
      <c r="A11" s="506" t="s">
        <v>172</v>
      </c>
      <c r="B11" s="498">
        <f>-DCFF!G22/DCFF!G6</f>
        <v>1.1013701044098859E-2</v>
      </c>
      <c r="C11" s="4" t="s">
        <v>513</v>
      </c>
      <c r="D11" s="4" t="s">
        <v>514</v>
      </c>
      <c r="E11" s="512" t="s">
        <v>515</v>
      </c>
      <c r="G11" s="566">
        <f>AVERAGE(B11:E11)</f>
        <v>1.1013701044098859E-2</v>
      </c>
    </row>
    <row r="12" spans="1:7" ht="15.5" customHeight="1" x14ac:dyDescent="0.35">
      <c r="A12" s="501" t="s">
        <v>202</v>
      </c>
      <c r="B12" s="554" t="s">
        <v>508</v>
      </c>
      <c r="C12" s="4" t="s">
        <v>508</v>
      </c>
      <c r="D12" s="498">
        <v>-6.4999999999999997E-3</v>
      </c>
      <c r="E12" s="512" t="s">
        <v>510</v>
      </c>
      <c r="G12" s="566">
        <f t="shared" si="0"/>
        <v>-6.4999999999999997E-3</v>
      </c>
    </row>
    <row r="13" spans="1:7" ht="15.5" customHeight="1" x14ac:dyDescent="0.35">
      <c r="A13" s="501" t="s">
        <v>203</v>
      </c>
      <c r="B13" s="4" t="s">
        <v>509</v>
      </c>
      <c r="C13" s="554" t="s">
        <v>511</v>
      </c>
      <c r="D13" s="559">
        <f>-0.0192%%</f>
        <v>-1.9199999999999998E-6</v>
      </c>
      <c r="E13" s="512" t="s">
        <v>512</v>
      </c>
      <c r="G13" s="566">
        <f t="shared" si="0"/>
        <v>-1.9199999999999998E-6</v>
      </c>
    </row>
    <row r="14" spans="1:7" ht="15.5" customHeight="1" x14ac:dyDescent="0.35">
      <c r="A14" s="563" t="s">
        <v>546</v>
      </c>
      <c r="B14" s="554" t="s">
        <v>488</v>
      </c>
      <c r="C14" s="4" t="s">
        <v>489</v>
      </c>
      <c r="D14" s="564">
        <v>2.656E-2</v>
      </c>
      <c r="E14" s="512" t="s">
        <v>490</v>
      </c>
      <c r="G14" s="566">
        <f t="shared" si="0"/>
        <v>2.656E-2</v>
      </c>
    </row>
    <row r="15" spans="1:7" ht="15.5" customHeight="1" x14ac:dyDescent="0.35">
      <c r="A15" s="507" t="s">
        <v>491</v>
      </c>
      <c r="B15" s="4" t="s">
        <v>492</v>
      </c>
      <c r="C15" s="4" t="s">
        <v>493</v>
      </c>
      <c r="D15" s="565">
        <v>3.9659999999999999E-4</v>
      </c>
      <c r="E15" s="512" t="s">
        <v>494</v>
      </c>
      <c r="G15" s="566">
        <f t="shared" si="0"/>
        <v>3.9659999999999999E-4</v>
      </c>
    </row>
    <row r="16" spans="1:7" ht="15.5" customHeight="1" x14ac:dyDescent="0.35">
      <c r="A16" s="501" t="s">
        <v>171</v>
      </c>
      <c r="B16" s="4" t="s">
        <v>484</v>
      </c>
      <c r="C16" s="4" t="s">
        <v>485</v>
      </c>
      <c r="D16" s="4" t="s">
        <v>486</v>
      </c>
      <c r="E16" s="512" t="s">
        <v>487</v>
      </c>
      <c r="G16" s="566" t="e">
        <f t="shared" si="0"/>
        <v>#DIV/0!</v>
      </c>
    </row>
    <row r="17" spans="1:7" ht="15.5" customHeight="1" x14ac:dyDescent="0.35">
      <c r="A17" s="508" t="s">
        <v>204</v>
      </c>
      <c r="B17" s="4" t="s">
        <v>505</v>
      </c>
      <c r="C17" s="4" t="s">
        <v>506</v>
      </c>
      <c r="D17" s="4">
        <v>1.42</v>
      </c>
      <c r="E17" s="512" t="s">
        <v>507</v>
      </c>
      <c r="G17" s="569">
        <f t="shared" si="0"/>
        <v>1.42</v>
      </c>
    </row>
    <row r="18" spans="1:7" ht="15.5" customHeight="1" x14ac:dyDescent="0.35">
      <c r="A18" s="501" t="s">
        <v>205</v>
      </c>
      <c r="B18" s="509">
        <v>51.02</v>
      </c>
      <c r="C18" s="509">
        <v>44.13</v>
      </c>
      <c r="D18" s="557">
        <v>698.62</v>
      </c>
      <c r="E18" s="510">
        <v>49.74</v>
      </c>
      <c r="G18" s="569">
        <f t="shared" si="0"/>
        <v>210.8775</v>
      </c>
    </row>
    <row r="19" spans="1:7" ht="15.5" customHeight="1" x14ac:dyDescent="0.35">
      <c r="A19" s="507" t="s">
        <v>371</v>
      </c>
      <c r="B19" s="562">
        <v>11.99</v>
      </c>
      <c r="C19" s="509">
        <v>7.34</v>
      </c>
      <c r="D19" s="509">
        <v>14.61</v>
      </c>
      <c r="E19" s="510">
        <v>9.66</v>
      </c>
      <c r="G19" s="569">
        <f t="shared" si="0"/>
        <v>10.899999999999999</v>
      </c>
    </row>
    <row r="20" spans="1:7" ht="15.5" customHeight="1" x14ac:dyDescent="0.35">
      <c r="A20" s="501" t="s">
        <v>49</v>
      </c>
      <c r="B20" s="509">
        <v>3.6082474226804124</v>
      </c>
      <c r="C20" s="509">
        <v>2.7491961414790995</v>
      </c>
      <c r="D20" s="509">
        <v>6.2377631985710851</v>
      </c>
      <c r="E20" s="510">
        <v>3.7241379310344831</v>
      </c>
      <c r="G20" s="569">
        <f t="shared" si="0"/>
        <v>4.0798361734412705</v>
      </c>
    </row>
    <row r="21" spans="1:7" ht="15.5" customHeight="1" x14ac:dyDescent="0.35">
      <c r="A21" s="501" t="s">
        <v>206</v>
      </c>
      <c r="B21" s="562">
        <v>33.24</v>
      </c>
      <c r="C21" s="556">
        <v>22.21</v>
      </c>
      <c r="D21" s="509">
        <v>91.2</v>
      </c>
      <c r="E21" s="510">
        <v>32.590000000000003</v>
      </c>
      <c r="G21" s="569">
        <f t="shared" si="0"/>
        <v>44.81</v>
      </c>
    </row>
    <row r="22" spans="1:7" ht="15.5" customHeight="1" thickBot="1" x14ac:dyDescent="0.4">
      <c r="A22" s="511" t="s">
        <v>65</v>
      </c>
      <c r="B22" s="551">
        <v>0</v>
      </c>
      <c r="C22" s="513" t="s">
        <v>495</v>
      </c>
      <c r="D22" s="550">
        <v>0</v>
      </c>
      <c r="E22" s="552">
        <v>0</v>
      </c>
      <c r="G22" s="567"/>
    </row>
    <row r="24" spans="1:7" x14ac:dyDescent="0.35">
      <c r="B24" s="51" t="s">
        <v>114</v>
      </c>
    </row>
    <row r="25" spans="1:7" x14ac:dyDescent="0.35">
      <c r="B25" s="51" t="s">
        <v>175</v>
      </c>
    </row>
    <row r="26" spans="1:7" ht="20.25" x14ac:dyDescent="0.5">
      <c r="A26" s="435"/>
      <c r="B26" s="436"/>
      <c r="C26" s="436"/>
      <c r="D26" s="436"/>
      <c r="E26" s="436"/>
      <c r="F26" s="437"/>
    </row>
    <row r="27" spans="1:7" ht="20.25" x14ac:dyDescent="0.35">
      <c r="A27" s="51" t="s">
        <v>433</v>
      </c>
      <c r="B27" s="438"/>
      <c r="C27" s="436"/>
      <c r="D27" s="436"/>
      <c r="E27" s="437"/>
      <c r="F27" s="437"/>
    </row>
    <row r="28" spans="1:7" ht="20.25" x14ac:dyDescent="0.5">
      <c r="A28" s="435"/>
      <c r="B28" s="436"/>
      <c r="C28" s="436"/>
      <c r="D28" s="436"/>
      <c r="E28" s="436"/>
      <c r="F28" s="437"/>
    </row>
    <row r="29" spans="1:7" ht="20.25" x14ac:dyDescent="0.5">
      <c r="A29" s="435"/>
      <c r="B29" s="438"/>
      <c r="C29" s="436"/>
      <c r="D29" s="436"/>
      <c r="E29" s="437"/>
      <c r="F29" s="437"/>
    </row>
    <row r="30" spans="1:7" ht="20.25" x14ac:dyDescent="0.5">
      <c r="A30" s="435"/>
      <c r="B30" s="438"/>
      <c r="C30" s="436"/>
      <c r="D30" s="436"/>
      <c r="E30" s="436"/>
      <c r="F30" s="437"/>
    </row>
    <row r="31" spans="1:7" ht="20.25" x14ac:dyDescent="0.5">
      <c r="A31" s="435"/>
      <c r="B31" s="439"/>
      <c r="C31" s="436"/>
      <c r="D31" s="436"/>
      <c r="E31" s="437"/>
      <c r="F31" s="437"/>
    </row>
    <row r="32" spans="1:7" ht="15.75" x14ac:dyDescent="0.5">
      <c r="A32" s="435"/>
      <c r="B32" s="439"/>
      <c r="C32" s="439"/>
      <c r="D32" s="440"/>
      <c r="E32" s="437"/>
      <c r="F32" s="437"/>
    </row>
    <row r="33" spans="1:6" x14ac:dyDescent="0.35">
      <c r="A33" s="437"/>
      <c r="B33" s="437"/>
      <c r="C33" s="437"/>
      <c r="D33" s="437"/>
      <c r="E33" s="437"/>
      <c r="F33" s="437"/>
    </row>
    <row r="34" spans="1:6" x14ac:dyDescent="0.35">
      <c r="A34" s="437"/>
      <c r="B34" s="437"/>
      <c r="C34" s="437"/>
      <c r="D34" s="437"/>
      <c r="E34" s="437"/>
      <c r="F34" s="437"/>
    </row>
    <row r="35" spans="1:6" x14ac:dyDescent="0.35">
      <c r="A35" s="437"/>
      <c r="B35" s="437"/>
      <c r="C35" s="437"/>
      <c r="D35" s="437"/>
      <c r="E35" s="437"/>
      <c r="F35" s="437"/>
    </row>
    <row r="36" spans="1:6" x14ac:dyDescent="0.35">
      <c r="A36" s="437"/>
      <c r="B36" s="437"/>
      <c r="C36" s="437"/>
      <c r="D36" s="437"/>
      <c r="E36" s="437"/>
      <c r="F36" s="437"/>
    </row>
    <row r="37" spans="1:6" x14ac:dyDescent="0.35">
      <c r="A37" s="437"/>
      <c r="B37" s="437"/>
      <c r="C37" s="437"/>
      <c r="D37" s="437"/>
      <c r="E37" s="437"/>
      <c r="F37" s="437"/>
    </row>
    <row r="38" spans="1:6" x14ac:dyDescent="0.35">
      <c r="A38" s="437"/>
      <c r="B38" s="437"/>
      <c r="C38" s="437"/>
      <c r="D38" s="437"/>
      <c r="E38" s="437"/>
      <c r="F38" s="437"/>
    </row>
    <row r="39" spans="1:6" x14ac:dyDescent="0.35">
      <c r="A39" s="437"/>
      <c r="B39" s="437"/>
      <c r="C39" s="437"/>
      <c r="D39" s="437"/>
      <c r="E39" s="437"/>
      <c r="F39" s="437"/>
    </row>
    <row r="40" spans="1:6" x14ac:dyDescent="0.35">
      <c r="A40" s="437"/>
      <c r="B40" s="437"/>
      <c r="C40" s="437"/>
      <c r="D40" s="437"/>
      <c r="E40" s="437"/>
      <c r="F40" s="437"/>
    </row>
    <row r="41" spans="1:6" x14ac:dyDescent="0.35">
      <c r="A41" s="437"/>
      <c r="B41" s="437"/>
      <c r="C41" s="437"/>
      <c r="D41" s="437"/>
      <c r="E41" s="437"/>
      <c r="F41" s="437"/>
    </row>
    <row r="42" spans="1:6" x14ac:dyDescent="0.35">
      <c r="A42" s="437"/>
      <c r="B42" s="437"/>
      <c r="C42" s="437"/>
      <c r="D42" s="437"/>
      <c r="E42" s="437"/>
      <c r="F42" s="437"/>
    </row>
    <row r="43" spans="1:6" x14ac:dyDescent="0.35">
      <c r="A43" s="437"/>
      <c r="B43" s="437"/>
      <c r="C43" s="437"/>
      <c r="D43" s="437"/>
      <c r="E43" s="437"/>
      <c r="F43" s="437"/>
    </row>
    <row r="44" spans="1:6" x14ac:dyDescent="0.35">
      <c r="A44" s="437"/>
      <c r="B44" s="437"/>
      <c r="C44" s="437"/>
      <c r="D44" s="437"/>
      <c r="E44" s="437"/>
      <c r="F44" s="437"/>
    </row>
    <row r="45" spans="1:6" x14ac:dyDescent="0.35">
      <c r="A45" s="437"/>
      <c r="B45" s="437"/>
      <c r="C45" s="437"/>
      <c r="D45" s="437"/>
      <c r="E45" s="437"/>
      <c r="F45" s="437"/>
    </row>
    <row r="46" spans="1:6" x14ac:dyDescent="0.35">
      <c r="A46" s="437"/>
      <c r="B46" s="437"/>
      <c r="C46" s="437"/>
      <c r="D46" s="437"/>
      <c r="E46" s="437"/>
      <c r="F46" s="437"/>
    </row>
    <row r="47" spans="1:6" x14ac:dyDescent="0.35">
      <c r="A47" s="437"/>
      <c r="B47" s="437"/>
      <c r="C47" s="437"/>
      <c r="D47" s="437"/>
      <c r="E47" s="437"/>
      <c r="F47" s="437"/>
    </row>
    <row r="48" spans="1:6" x14ac:dyDescent="0.35">
      <c r="A48" s="437"/>
      <c r="B48" s="437"/>
      <c r="C48" s="437"/>
      <c r="D48" s="437"/>
      <c r="E48" s="437"/>
      <c r="F48" s="437"/>
    </row>
    <row r="49" spans="1:6" x14ac:dyDescent="0.35">
      <c r="A49" s="437"/>
      <c r="B49" s="437"/>
      <c r="C49" s="437"/>
      <c r="D49" s="437"/>
      <c r="E49" s="437"/>
      <c r="F49" s="437"/>
    </row>
    <row r="50" spans="1:6" x14ac:dyDescent="0.35">
      <c r="A50" s="437"/>
      <c r="B50" s="437"/>
      <c r="C50" s="437"/>
      <c r="D50" s="437"/>
      <c r="E50" s="437"/>
      <c r="F50" s="437"/>
    </row>
    <row r="51" spans="1:6" x14ac:dyDescent="0.35">
      <c r="A51" s="437"/>
      <c r="B51" s="437"/>
      <c r="C51" s="437"/>
      <c r="D51" s="437"/>
      <c r="E51" s="437"/>
      <c r="F51" s="437"/>
    </row>
    <row r="52" spans="1:6" x14ac:dyDescent="0.35">
      <c r="A52" s="437"/>
      <c r="B52" s="437"/>
      <c r="C52" s="437"/>
      <c r="D52" s="437"/>
      <c r="E52" s="437"/>
      <c r="F52" s="437"/>
    </row>
    <row r="53" spans="1:6" x14ac:dyDescent="0.35">
      <c r="A53" s="437"/>
      <c r="B53" s="437"/>
      <c r="C53" s="437"/>
      <c r="D53" s="437"/>
      <c r="E53" s="437"/>
      <c r="F53" s="437"/>
    </row>
    <row r="54" spans="1:6" x14ac:dyDescent="0.35">
      <c r="A54" s="437"/>
      <c r="B54" s="437"/>
      <c r="C54" s="437"/>
      <c r="D54" s="437"/>
      <c r="E54" s="437"/>
      <c r="F54" s="437"/>
    </row>
    <row r="55" spans="1:6" x14ac:dyDescent="0.35">
      <c r="A55" s="437"/>
      <c r="B55" s="437"/>
      <c r="C55" s="437"/>
      <c r="D55" s="437"/>
      <c r="E55" s="437"/>
      <c r="F55" s="437"/>
    </row>
    <row r="56" spans="1:6" x14ac:dyDescent="0.35">
      <c r="A56" s="437"/>
      <c r="B56" s="437"/>
      <c r="C56" s="437"/>
      <c r="D56" s="437"/>
      <c r="E56" s="437"/>
      <c r="F56" s="437"/>
    </row>
    <row r="57" spans="1:6" x14ac:dyDescent="0.35">
      <c r="A57" s="437"/>
      <c r="B57" s="437"/>
      <c r="C57" s="437"/>
      <c r="D57" s="437"/>
      <c r="E57" s="437"/>
      <c r="F57" s="437"/>
    </row>
    <row r="58" spans="1:6" x14ac:dyDescent="0.35">
      <c r="A58" s="437"/>
      <c r="B58" s="437"/>
      <c r="C58" s="437"/>
      <c r="D58" s="437"/>
      <c r="E58" s="437"/>
      <c r="F58" s="437"/>
    </row>
    <row r="59" spans="1:6" x14ac:dyDescent="0.35">
      <c r="A59" s="437"/>
      <c r="B59" s="437"/>
      <c r="C59" s="437"/>
      <c r="D59" s="437"/>
      <c r="E59" s="437"/>
      <c r="F59" s="437"/>
    </row>
    <row r="60" spans="1:6" x14ac:dyDescent="0.35">
      <c r="A60" s="437"/>
      <c r="B60" s="437"/>
      <c r="C60" s="437"/>
      <c r="D60" s="437"/>
      <c r="E60" s="437"/>
      <c r="F60" s="437"/>
    </row>
    <row r="61" spans="1:6" x14ac:dyDescent="0.35">
      <c r="A61" s="437"/>
      <c r="B61" s="437"/>
      <c r="C61" s="437"/>
      <c r="D61" s="437"/>
      <c r="E61" s="437"/>
      <c r="F61" s="437"/>
    </row>
    <row r="62" spans="1:6" x14ac:dyDescent="0.35">
      <c r="A62" s="437"/>
      <c r="B62" s="437"/>
      <c r="C62" s="437"/>
      <c r="D62" s="437"/>
      <c r="E62" s="437"/>
      <c r="F62" s="437"/>
    </row>
    <row r="63" spans="1:6" x14ac:dyDescent="0.35">
      <c r="A63" s="437"/>
      <c r="B63" s="437"/>
      <c r="C63" s="437"/>
      <c r="D63" s="437"/>
      <c r="E63" s="437"/>
      <c r="F63" s="437"/>
    </row>
    <row r="64" spans="1:6" x14ac:dyDescent="0.35">
      <c r="A64" s="437"/>
      <c r="B64" s="437"/>
      <c r="C64" s="437"/>
      <c r="D64" s="437"/>
      <c r="E64" s="437"/>
      <c r="F64" s="437"/>
    </row>
    <row r="65" spans="1:6" x14ac:dyDescent="0.35">
      <c r="A65" s="437"/>
      <c r="B65" s="437"/>
      <c r="C65" s="437"/>
      <c r="D65" s="437"/>
      <c r="E65" s="437"/>
      <c r="F65" s="437"/>
    </row>
    <row r="66" spans="1:6" x14ac:dyDescent="0.35">
      <c r="A66" s="437"/>
      <c r="B66" s="437"/>
      <c r="C66" s="437"/>
      <c r="D66" s="437"/>
      <c r="E66" s="437"/>
      <c r="F66" s="437"/>
    </row>
    <row r="67" spans="1:6" x14ac:dyDescent="0.35">
      <c r="A67" s="437"/>
      <c r="B67" s="437"/>
      <c r="C67" s="437"/>
      <c r="D67" s="437"/>
      <c r="E67" s="437"/>
      <c r="F67" s="437"/>
    </row>
    <row r="68" spans="1:6" x14ac:dyDescent="0.35">
      <c r="A68" s="437"/>
      <c r="B68" s="437"/>
      <c r="C68" s="437"/>
      <c r="D68" s="437"/>
      <c r="E68" s="437"/>
      <c r="F68" s="437"/>
    </row>
    <row r="69" spans="1:6" x14ac:dyDescent="0.35">
      <c r="A69" s="437"/>
      <c r="B69" s="437"/>
      <c r="C69" s="437"/>
      <c r="D69" s="437"/>
      <c r="E69" s="437"/>
      <c r="F69" s="437"/>
    </row>
    <row r="70" spans="1:6" x14ac:dyDescent="0.35">
      <c r="A70" s="437"/>
      <c r="B70" s="437"/>
      <c r="C70" s="437"/>
      <c r="D70" s="437"/>
      <c r="E70" s="437"/>
      <c r="F70" s="437"/>
    </row>
    <row r="71" spans="1:6" x14ac:dyDescent="0.35">
      <c r="A71" s="437"/>
      <c r="B71" s="437"/>
      <c r="C71" s="437"/>
      <c r="D71" s="437"/>
      <c r="E71" s="437"/>
      <c r="F71" s="437"/>
    </row>
    <row r="72" spans="1:6" x14ac:dyDescent="0.35">
      <c r="A72" s="437"/>
      <c r="B72" s="437"/>
      <c r="C72" s="437"/>
      <c r="D72" s="437"/>
      <c r="E72" s="437"/>
      <c r="F72" s="437"/>
    </row>
    <row r="73" spans="1:6" x14ac:dyDescent="0.35">
      <c r="A73" s="437"/>
      <c r="B73" s="437"/>
      <c r="C73" s="437"/>
      <c r="D73" s="437"/>
      <c r="E73" s="437"/>
      <c r="F73" s="437"/>
    </row>
    <row r="74" spans="1:6" x14ac:dyDescent="0.35">
      <c r="A74" s="437"/>
      <c r="B74" s="437"/>
      <c r="C74" s="437"/>
      <c r="D74" s="437"/>
      <c r="E74" s="437"/>
      <c r="F74" s="437"/>
    </row>
    <row r="75" spans="1:6" x14ac:dyDescent="0.35">
      <c r="A75" s="437"/>
      <c r="B75" s="437"/>
      <c r="C75" s="437"/>
      <c r="D75" s="437"/>
      <c r="E75" s="437"/>
      <c r="F75" s="437"/>
    </row>
    <row r="76" spans="1:6" x14ac:dyDescent="0.35">
      <c r="A76" s="437"/>
      <c r="B76" s="437"/>
      <c r="C76" s="437"/>
      <c r="D76" s="437"/>
      <c r="E76" s="437"/>
      <c r="F76" s="437"/>
    </row>
    <row r="77" spans="1:6" x14ac:dyDescent="0.35">
      <c r="A77" s="437"/>
      <c r="B77" s="437"/>
      <c r="C77" s="437"/>
      <c r="D77" s="437"/>
      <c r="E77" s="437"/>
      <c r="F77" s="437"/>
    </row>
    <row r="78" spans="1:6" x14ac:dyDescent="0.35">
      <c r="A78" s="437"/>
      <c r="B78" s="437"/>
      <c r="C78" s="437"/>
      <c r="D78" s="437"/>
      <c r="E78" s="437"/>
      <c r="F78" s="437"/>
    </row>
    <row r="79" spans="1:6" x14ac:dyDescent="0.35">
      <c r="A79" s="437"/>
      <c r="B79" s="437"/>
      <c r="C79" s="437"/>
      <c r="D79" s="437"/>
      <c r="E79" s="437"/>
      <c r="F79" s="437"/>
    </row>
    <row r="80" spans="1:6" x14ac:dyDescent="0.35">
      <c r="A80" s="437"/>
      <c r="B80" s="437"/>
      <c r="C80" s="437"/>
      <c r="D80" s="437"/>
      <c r="E80" s="437"/>
      <c r="F80" s="437"/>
    </row>
    <row r="81" spans="1:6" x14ac:dyDescent="0.35">
      <c r="A81" s="437"/>
      <c r="B81" s="437"/>
      <c r="C81" s="437"/>
      <c r="D81" s="437"/>
      <c r="E81" s="437"/>
      <c r="F81" s="437"/>
    </row>
    <row r="82" spans="1:6" x14ac:dyDescent="0.35">
      <c r="A82" s="437"/>
      <c r="B82" s="437"/>
      <c r="C82" s="437"/>
      <c r="D82" s="437"/>
      <c r="E82" s="437"/>
      <c r="F82" s="437"/>
    </row>
    <row r="83" spans="1:6" x14ac:dyDescent="0.35">
      <c r="A83" s="437"/>
      <c r="B83" s="437"/>
      <c r="C83" s="437"/>
      <c r="D83" s="437"/>
      <c r="E83" s="437"/>
      <c r="F83" s="437"/>
    </row>
    <row r="84" spans="1:6" x14ac:dyDescent="0.35">
      <c r="A84" s="437"/>
      <c r="B84" s="437"/>
      <c r="C84" s="437"/>
      <c r="D84" s="437"/>
      <c r="E84" s="437"/>
      <c r="F84" s="437"/>
    </row>
    <row r="85" spans="1:6" x14ac:dyDescent="0.35">
      <c r="A85" s="437"/>
      <c r="B85" s="437"/>
      <c r="C85" s="437"/>
      <c r="D85" s="437"/>
      <c r="E85" s="437"/>
      <c r="F85" s="437"/>
    </row>
    <row r="86" spans="1:6" x14ac:dyDescent="0.35">
      <c r="A86" s="437"/>
      <c r="B86" s="437"/>
      <c r="C86" s="437"/>
      <c r="D86" s="437"/>
      <c r="E86" s="437"/>
      <c r="F86" s="437"/>
    </row>
    <row r="87" spans="1:6" x14ac:dyDescent="0.35">
      <c r="A87" s="437"/>
      <c r="B87" s="437"/>
      <c r="C87" s="437"/>
      <c r="D87" s="437"/>
      <c r="E87" s="437"/>
      <c r="F87" s="437"/>
    </row>
    <row r="88" spans="1:6" x14ac:dyDescent="0.35">
      <c r="A88" s="437"/>
      <c r="B88" s="437"/>
      <c r="C88" s="437"/>
      <c r="D88" s="437"/>
      <c r="E88" s="437"/>
      <c r="F88" s="437"/>
    </row>
    <row r="89" spans="1:6" x14ac:dyDescent="0.35">
      <c r="A89" s="437"/>
      <c r="B89" s="437"/>
      <c r="C89" s="437"/>
      <c r="D89" s="437"/>
      <c r="E89" s="437"/>
      <c r="F89" s="437"/>
    </row>
    <row r="90" spans="1:6" x14ac:dyDescent="0.35">
      <c r="A90" s="437"/>
      <c r="B90" s="437"/>
      <c r="C90" s="437"/>
      <c r="D90" s="437"/>
      <c r="E90" s="437"/>
      <c r="F90" s="437"/>
    </row>
    <row r="91" spans="1:6" x14ac:dyDescent="0.35">
      <c r="A91" s="437"/>
      <c r="B91" s="437"/>
      <c r="C91" s="437"/>
      <c r="D91" s="437"/>
      <c r="E91" s="437"/>
      <c r="F91" s="437"/>
    </row>
    <row r="92" spans="1:6" x14ac:dyDescent="0.35">
      <c r="A92" s="437"/>
      <c r="B92" s="437"/>
      <c r="C92" s="437"/>
      <c r="D92" s="437"/>
      <c r="E92" s="437"/>
      <c r="F92" s="437"/>
    </row>
    <row r="93" spans="1:6" x14ac:dyDescent="0.35">
      <c r="A93" s="437"/>
      <c r="B93" s="437"/>
      <c r="C93" s="437"/>
      <c r="D93" s="437"/>
      <c r="E93" s="437"/>
      <c r="F93" s="437"/>
    </row>
    <row r="94" spans="1:6" x14ac:dyDescent="0.35">
      <c r="A94" s="437"/>
      <c r="B94" s="437"/>
      <c r="C94" s="437"/>
      <c r="D94" s="437"/>
      <c r="E94" s="437"/>
      <c r="F94" s="437"/>
    </row>
    <row r="95" spans="1:6" x14ac:dyDescent="0.35">
      <c r="A95" s="437"/>
      <c r="B95" s="437"/>
      <c r="C95" s="437"/>
      <c r="D95" s="437"/>
      <c r="E95" s="437"/>
      <c r="F95" s="437"/>
    </row>
    <row r="96" spans="1:6" x14ac:dyDescent="0.35">
      <c r="A96" s="437"/>
      <c r="B96" s="437"/>
      <c r="C96" s="437"/>
      <c r="D96" s="437"/>
      <c r="E96" s="437"/>
      <c r="F96" s="437"/>
    </row>
    <row r="97" spans="1:6" x14ac:dyDescent="0.35">
      <c r="A97" s="437"/>
      <c r="B97" s="437"/>
      <c r="C97" s="437"/>
      <c r="D97" s="437"/>
      <c r="E97" s="437"/>
      <c r="F97" s="437"/>
    </row>
    <row r="98" spans="1:6" x14ac:dyDescent="0.35">
      <c r="A98" s="437"/>
      <c r="B98" s="437"/>
      <c r="C98" s="437"/>
      <c r="D98" s="437"/>
      <c r="E98" s="437"/>
      <c r="F98" s="437"/>
    </row>
    <row r="99" spans="1:6" x14ac:dyDescent="0.35">
      <c r="A99" s="437"/>
      <c r="B99" s="437"/>
      <c r="C99" s="437"/>
      <c r="D99" s="437"/>
      <c r="E99" s="437"/>
      <c r="F99" s="437"/>
    </row>
    <row r="100" spans="1:6" x14ac:dyDescent="0.35">
      <c r="A100" s="437"/>
      <c r="B100" s="437"/>
      <c r="C100" s="437"/>
      <c r="D100" s="437"/>
      <c r="E100" s="437"/>
      <c r="F100" s="437"/>
    </row>
    <row r="101" spans="1:6" x14ac:dyDescent="0.35">
      <c r="A101" s="437"/>
      <c r="B101" s="437"/>
      <c r="C101" s="437"/>
      <c r="D101" s="437"/>
      <c r="E101" s="437"/>
      <c r="F101" s="437"/>
    </row>
    <row r="102" spans="1:6" x14ac:dyDescent="0.35">
      <c r="A102" s="437"/>
      <c r="B102" s="437"/>
      <c r="C102" s="437"/>
      <c r="D102" s="437"/>
      <c r="E102" s="437"/>
      <c r="F102" s="437"/>
    </row>
    <row r="103" spans="1:6" x14ac:dyDescent="0.35">
      <c r="A103" s="437"/>
      <c r="B103" s="437"/>
      <c r="C103" s="437"/>
      <c r="D103" s="437"/>
      <c r="E103" s="437"/>
      <c r="F103" s="437"/>
    </row>
    <row r="104" spans="1:6" x14ac:dyDescent="0.35">
      <c r="A104" s="437"/>
      <c r="B104" s="437"/>
      <c r="C104" s="437"/>
      <c r="D104" s="437"/>
      <c r="E104" s="437"/>
      <c r="F104" s="437"/>
    </row>
    <row r="105" spans="1:6" x14ac:dyDescent="0.35">
      <c r="A105" s="437"/>
      <c r="B105" s="437"/>
      <c r="C105" s="437"/>
      <c r="D105" s="437"/>
      <c r="E105" s="437"/>
      <c r="F105" s="437"/>
    </row>
    <row r="106" spans="1:6" x14ac:dyDescent="0.35">
      <c r="A106" s="437"/>
      <c r="B106" s="437"/>
      <c r="C106" s="437"/>
      <c r="D106" s="437"/>
      <c r="E106" s="437"/>
      <c r="F106" s="437"/>
    </row>
    <row r="107" spans="1:6" x14ac:dyDescent="0.35">
      <c r="A107" s="437"/>
      <c r="B107" s="437"/>
      <c r="C107" s="437"/>
      <c r="D107" s="437"/>
      <c r="E107" s="437"/>
      <c r="F107" s="437"/>
    </row>
    <row r="108" spans="1:6" x14ac:dyDescent="0.35">
      <c r="A108" s="437"/>
      <c r="B108" s="437"/>
      <c r="C108" s="437"/>
      <c r="D108" s="437"/>
      <c r="E108" s="437"/>
      <c r="F108" s="437"/>
    </row>
    <row r="109" spans="1:6" x14ac:dyDescent="0.35">
      <c r="A109" s="437"/>
      <c r="B109" s="437"/>
      <c r="C109" s="437"/>
      <c r="D109" s="437"/>
      <c r="E109" s="437"/>
      <c r="F109" s="437"/>
    </row>
    <row r="110" spans="1:6" x14ac:dyDescent="0.35">
      <c r="A110" s="437"/>
      <c r="B110" s="437"/>
      <c r="C110" s="437"/>
      <c r="D110" s="437"/>
      <c r="E110" s="437"/>
      <c r="F110" s="437"/>
    </row>
    <row r="111" spans="1:6" x14ac:dyDescent="0.35">
      <c r="A111" s="437"/>
      <c r="B111" s="437"/>
      <c r="C111" s="437"/>
      <c r="D111" s="437"/>
      <c r="E111" s="437"/>
      <c r="F111" s="437"/>
    </row>
    <row r="112" spans="1:6" x14ac:dyDescent="0.35">
      <c r="A112" s="437"/>
      <c r="B112" s="437"/>
      <c r="C112" s="437"/>
      <c r="D112" s="437"/>
      <c r="E112" s="437"/>
      <c r="F112" s="437"/>
    </row>
    <row r="113" spans="1:6" x14ac:dyDescent="0.35">
      <c r="A113" s="437"/>
      <c r="B113" s="437"/>
      <c r="C113" s="437"/>
      <c r="D113" s="437"/>
      <c r="E113" s="437"/>
      <c r="F113" s="437"/>
    </row>
    <row r="114" spans="1:6" x14ac:dyDescent="0.35">
      <c r="A114" s="437"/>
      <c r="B114" s="437"/>
      <c r="C114" s="437"/>
      <c r="D114" s="437"/>
      <c r="E114" s="437"/>
      <c r="F114" s="437"/>
    </row>
    <row r="115" spans="1:6" x14ac:dyDescent="0.35">
      <c r="A115" s="437"/>
      <c r="B115" s="437"/>
      <c r="C115" s="437"/>
      <c r="D115" s="437"/>
      <c r="E115" s="437"/>
      <c r="F115" s="437"/>
    </row>
    <row r="116" spans="1:6" x14ac:dyDescent="0.35">
      <c r="A116" s="437"/>
      <c r="B116" s="437"/>
      <c r="C116" s="437"/>
      <c r="D116" s="437"/>
      <c r="E116" s="437"/>
      <c r="F116" s="437"/>
    </row>
    <row r="117" spans="1:6" x14ac:dyDescent="0.35">
      <c r="A117" s="437"/>
      <c r="B117" s="437"/>
      <c r="C117" s="437"/>
      <c r="D117" s="437"/>
      <c r="E117" s="437"/>
      <c r="F117" s="437"/>
    </row>
    <row r="118" spans="1:6" x14ac:dyDescent="0.35">
      <c r="A118" s="437"/>
      <c r="B118" s="437"/>
      <c r="C118" s="437"/>
      <c r="D118" s="437"/>
      <c r="E118" s="437"/>
      <c r="F118" s="437"/>
    </row>
    <row r="119" spans="1:6" x14ac:dyDescent="0.35">
      <c r="A119" s="437"/>
      <c r="B119" s="437"/>
      <c r="C119" s="437"/>
      <c r="D119" s="437"/>
      <c r="E119" s="437"/>
      <c r="F119" s="437"/>
    </row>
    <row r="120" spans="1:6" x14ac:dyDescent="0.35">
      <c r="A120" s="437"/>
      <c r="B120" s="437"/>
      <c r="C120" s="437"/>
      <c r="D120" s="437"/>
      <c r="E120" s="437"/>
      <c r="F120" s="437"/>
    </row>
    <row r="121" spans="1:6" x14ac:dyDescent="0.35">
      <c r="A121" s="437"/>
      <c r="B121" s="437"/>
      <c r="C121" s="437"/>
      <c r="D121" s="437"/>
      <c r="E121" s="437"/>
      <c r="F121" s="437"/>
    </row>
    <row r="122" spans="1:6" x14ac:dyDescent="0.35">
      <c r="A122" s="437"/>
      <c r="B122" s="437"/>
      <c r="C122" s="437"/>
      <c r="D122" s="437"/>
      <c r="E122" s="437"/>
      <c r="F122" s="437"/>
    </row>
    <row r="123" spans="1:6" x14ac:dyDescent="0.35">
      <c r="A123" s="437"/>
      <c r="B123" s="437"/>
      <c r="C123" s="437"/>
      <c r="D123" s="437"/>
      <c r="E123" s="437"/>
      <c r="F123" s="437"/>
    </row>
    <row r="124" spans="1:6" x14ac:dyDescent="0.35">
      <c r="A124" s="437"/>
      <c r="B124" s="437"/>
      <c r="C124" s="437"/>
      <c r="D124" s="437"/>
      <c r="E124" s="437"/>
      <c r="F124" s="437"/>
    </row>
    <row r="125" spans="1:6" x14ac:dyDescent="0.35">
      <c r="A125" s="437"/>
      <c r="B125" s="437"/>
      <c r="C125" s="437"/>
      <c r="D125" s="437"/>
      <c r="E125" s="437"/>
      <c r="F125" s="437"/>
    </row>
    <row r="126" spans="1:6" x14ac:dyDescent="0.35">
      <c r="A126" s="437"/>
      <c r="B126" s="437"/>
      <c r="C126" s="437"/>
      <c r="D126" s="437"/>
      <c r="E126" s="437"/>
      <c r="F126" s="437"/>
    </row>
    <row r="127" spans="1:6" x14ac:dyDescent="0.35">
      <c r="A127" s="437"/>
      <c r="B127" s="437"/>
      <c r="C127" s="437"/>
      <c r="D127" s="437"/>
      <c r="E127" s="437"/>
      <c r="F127" s="437"/>
    </row>
    <row r="128" spans="1:6" x14ac:dyDescent="0.35">
      <c r="A128" s="437"/>
      <c r="B128" s="437"/>
      <c r="C128" s="437"/>
      <c r="D128" s="437"/>
      <c r="E128" s="437"/>
      <c r="F128" s="437"/>
    </row>
    <row r="129" spans="1:6" x14ac:dyDescent="0.35">
      <c r="A129" s="437"/>
      <c r="B129" s="437"/>
      <c r="C129" s="437"/>
      <c r="D129" s="437"/>
      <c r="E129" s="437"/>
      <c r="F129" s="437"/>
    </row>
    <row r="130" spans="1:6" x14ac:dyDescent="0.35">
      <c r="A130" s="437"/>
      <c r="B130" s="437"/>
      <c r="C130" s="437"/>
      <c r="D130" s="437"/>
      <c r="E130" s="437"/>
      <c r="F130" s="437"/>
    </row>
    <row r="131" spans="1:6" x14ac:dyDescent="0.35">
      <c r="A131" s="437"/>
      <c r="B131" s="437"/>
      <c r="C131" s="437"/>
      <c r="D131" s="437"/>
      <c r="E131" s="437"/>
      <c r="F131" s="437"/>
    </row>
    <row r="132" spans="1:6" x14ac:dyDescent="0.35">
      <c r="A132" s="437"/>
      <c r="B132" s="437"/>
      <c r="C132" s="437"/>
      <c r="D132" s="437"/>
      <c r="E132" s="437"/>
      <c r="F132" s="437"/>
    </row>
    <row r="133" spans="1:6" x14ac:dyDescent="0.35">
      <c r="A133" s="437"/>
      <c r="B133" s="437"/>
      <c r="C133" s="437"/>
      <c r="D133" s="437"/>
      <c r="E133" s="437"/>
      <c r="F133" s="437"/>
    </row>
    <row r="134" spans="1:6" x14ac:dyDescent="0.35">
      <c r="A134" s="437"/>
      <c r="B134" s="437"/>
      <c r="C134" s="437"/>
      <c r="D134" s="437"/>
      <c r="E134" s="437"/>
      <c r="F134" s="437"/>
    </row>
    <row r="135" spans="1:6" x14ac:dyDescent="0.35">
      <c r="A135" s="437"/>
      <c r="B135" s="437"/>
      <c r="C135" s="437"/>
      <c r="D135" s="437"/>
      <c r="E135" s="437"/>
      <c r="F135" s="437"/>
    </row>
    <row r="136" spans="1:6" x14ac:dyDescent="0.35">
      <c r="A136" s="437"/>
      <c r="B136" s="437"/>
      <c r="C136" s="437"/>
      <c r="D136" s="437"/>
      <c r="E136" s="437"/>
      <c r="F136" s="437"/>
    </row>
    <row r="137" spans="1:6" x14ac:dyDescent="0.35">
      <c r="A137" s="437"/>
      <c r="B137" s="437"/>
      <c r="C137" s="437"/>
      <c r="D137" s="437"/>
      <c r="E137" s="437"/>
      <c r="F137" s="437"/>
    </row>
    <row r="138" spans="1:6" x14ac:dyDescent="0.35">
      <c r="A138" s="437"/>
      <c r="B138" s="437"/>
      <c r="C138" s="437"/>
      <c r="D138" s="437"/>
      <c r="E138" s="437"/>
      <c r="F138" s="437"/>
    </row>
    <row r="139" spans="1:6" x14ac:dyDescent="0.35">
      <c r="A139" s="437"/>
      <c r="B139" s="437"/>
      <c r="C139" s="437"/>
      <c r="D139" s="437"/>
      <c r="E139" s="437"/>
      <c r="F139" s="437"/>
    </row>
    <row r="140" spans="1:6" x14ac:dyDescent="0.35">
      <c r="A140" s="437"/>
      <c r="B140" s="437"/>
      <c r="C140" s="437"/>
      <c r="D140" s="437"/>
      <c r="E140" s="437"/>
      <c r="F140" s="437"/>
    </row>
    <row r="141" spans="1:6" x14ac:dyDescent="0.35">
      <c r="A141" s="437"/>
      <c r="B141" s="437"/>
      <c r="C141" s="437"/>
      <c r="D141" s="437"/>
      <c r="E141" s="437"/>
      <c r="F141" s="437"/>
    </row>
    <row r="142" spans="1:6" x14ac:dyDescent="0.35">
      <c r="A142" s="437"/>
      <c r="B142" s="437"/>
      <c r="C142" s="437"/>
      <c r="D142" s="437"/>
      <c r="E142" s="437"/>
      <c r="F142" s="437"/>
    </row>
    <row r="143" spans="1:6" x14ac:dyDescent="0.35">
      <c r="A143" s="437"/>
      <c r="B143" s="437"/>
      <c r="C143" s="437"/>
      <c r="D143" s="437"/>
      <c r="E143" s="437"/>
      <c r="F143" s="437"/>
    </row>
    <row r="144" spans="1:6" x14ac:dyDescent="0.35">
      <c r="A144" s="437"/>
      <c r="B144" s="437"/>
      <c r="C144" s="437"/>
      <c r="D144" s="437"/>
      <c r="E144" s="437"/>
      <c r="F144" s="437"/>
    </row>
    <row r="145" spans="1:6" x14ac:dyDescent="0.35">
      <c r="A145" s="437"/>
      <c r="B145" s="437"/>
      <c r="C145" s="437"/>
      <c r="D145" s="437"/>
      <c r="E145" s="437"/>
      <c r="F145" s="437"/>
    </row>
    <row r="146" spans="1:6" x14ac:dyDescent="0.35">
      <c r="A146" s="437"/>
      <c r="B146" s="437"/>
      <c r="C146" s="437"/>
      <c r="D146" s="437"/>
      <c r="E146" s="437"/>
      <c r="F146" s="437"/>
    </row>
    <row r="147" spans="1:6" x14ac:dyDescent="0.35">
      <c r="A147" s="437"/>
      <c r="B147" s="437"/>
      <c r="C147" s="437"/>
      <c r="D147" s="437"/>
      <c r="E147" s="437"/>
      <c r="F147" s="437"/>
    </row>
    <row r="148" spans="1:6" x14ac:dyDescent="0.35">
      <c r="A148" s="437"/>
      <c r="B148" s="437"/>
      <c r="C148" s="437"/>
      <c r="D148" s="437"/>
      <c r="E148" s="437"/>
      <c r="F148" s="437"/>
    </row>
    <row r="149" spans="1:6" x14ac:dyDescent="0.35">
      <c r="A149" s="437"/>
      <c r="B149" s="437"/>
      <c r="C149" s="437"/>
      <c r="D149" s="437"/>
      <c r="E149" s="437"/>
      <c r="F149" s="437"/>
    </row>
    <row r="150" spans="1:6" x14ac:dyDescent="0.35">
      <c r="A150" s="437"/>
      <c r="B150" s="437"/>
      <c r="C150" s="437"/>
      <c r="D150" s="437"/>
      <c r="E150" s="437"/>
      <c r="F150" s="437"/>
    </row>
    <row r="151" spans="1:6" x14ac:dyDescent="0.35">
      <c r="A151" s="437"/>
      <c r="B151" s="437"/>
      <c r="C151" s="437"/>
      <c r="D151" s="437"/>
      <c r="E151" s="437"/>
      <c r="F151" s="437"/>
    </row>
    <row r="152" spans="1:6" x14ac:dyDescent="0.35">
      <c r="A152" s="437"/>
      <c r="B152" s="437"/>
      <c r="C152" s="437"/>
      <c r="D152" s="437"/>
      <c r="E152" s="437"/>
      <c r="F152" s="437"/>
    </row>
    <row r="153" spans="1:6" x14ac:dyDescent="0.35">
      <c r="A153" s="437"/>
      <c r="B153" s="437"/>
      <c r="C153" s="437"/>
      <c r="D153" s="437"/>
      <c r="E153" s="437"/>
      <c r="F153" s="437"/>
    </row>
    <row r="154" spans="1:6" x14ac:dyDescent="0.35">
      <c r="A154" s="437"/>
      <c r="B154" s="437"/>
      <c r="C154" s="437"/>
      <c r="D154" s="437"/>
      <c r="E154" s="437"/>
      <c r="F154" s="437"/>
    </row>
    <row r="155" spans="1:6" x14ac:dyDescent="0.35">
      <c r="A155" s="437"/>
      <c r="B155" s="437"/>
      <c r="C155" s="437"/>
      <c r="D155" s="437"/>
      <c r="E155" s="437"/>
      <c r="F155" s="437"/>
    </row>
    <row r="156" spans="1:6" x14ac:dyDescent="0.35">
      <c r="A156" s="437"/>
      <c r="B156" s="437"/>
      <c r="C156" s="437"/>
      <c r="D156" s="437"/>
      <c r="E156" s="437"/>
      <c r="F156" s="437"/>
    </row>
    <row r="157" spans="1:6" x14ac:dyDescent="0.35">
      <c r="A157" s="437"/>
      <c r="B157" s="437"/>
      <c r="C157" s="437"/>
      <c r="D157" s="437"/>
      <c r="E157" s="437"/>
      <c r="F157" s="437"/>
    </row>
    <row r="158" spans="1:6" x14ac:dyDescent="0.35">
      <c r="A158" s="437"/>
      <c r="B158" s="437"/>
      <c r="C158" s="437"/>
      <c r="D158" s="437"/>
      <c r="E158" s="437"/>
      <c r="F158" s="437"/>
    </row>
    <row r="159" spans="1:6" x14ac:dyDescent="0.35">
      <c r="A159" s="437"/>
      <c r="B159" s="437"/>
      <c r="C159" s="437"/>
      <c r="D159" s="437"/>
      <c r="E159" s="437"/>
      <c r="F159" s="437"/>
    </row>
    <row r="160" spans="1:6" x14ac:dyDescent="0.35">
      <c r="A160" s="437"/>
      <c r="B160" s="437"/>
      <c r="C160" s="437"/>
      <c r="D160" s="437"/>
      <c r="E160" s="437"/>
      <c r="F160" s="437"/>
    </row>
    <row r="161" spans="1:6" x14ac:dyDescent="0.35">
      <c r="A161" s="437"/>
      <c r="B161" s="437"/>
      <c r="C161" s="437"/>
      <c r="D161" s="437"/>
      <c r="E161" s="437"/>
      <c r="F161" s="437"/>
    </row>
    <row r="162" spans="1:6" x14ac:dyDescent="0.35">
      <c r="A162" s="437"/>
      <c r="B162" s="437"/>
      <c r="C162" s="437"/>
      <c r="D162" s="437"/>
      <c r="E162" s="437"/>
      <c r="F162" s="437"/>
    </row>
    <row r="163" spans="1:6" x14ac:dyDescent="0.35">
      <c r="A163" s="437"/>
      <c r="B163" s="437"/>
      <c r="C163" s="437"/>
      <c r="D163" s="437"/>
      <c r="E163" s="437"/>
      <c r="F163" s="437"/>
    </row>
    <row r="164" spans="1:6" x14ac:dyDescent="0.35">
      <c r="A164" s="437"/>
      <c r="B164" s="437"/>
      <c r="C164" s="437"/>
      <c r="D164" s="437"/>
      <c r="E164" s="437"/>
      <c r="F164" s="437"/>
    </row>
    <row r="165" spans="1:6" x14ac:dyDescent="0.35">
      <c r="A165" s="437"/>
      <c r="B165" s="437"/>
      <c r="C165" s="437"/>
      <c r="D165" s="437"/>
      <c r="E165" s="437"/>
      <c r="F165" s="437"/>
    </row>
    <row r="166" spans="1:6" x14ac:dyDescent="0.35">
      <c r="A166" s="437"/>
      <c r="B166" s="437"/>
      <c r="C166" s="437"/>
      <c r="D166" s="437"/>
      <c r="E166" s="437"/>
      <c r="F166" s="437"/>
    </row>
    <row r="167" spans="1:6" x14ac:dyDescent="0.35">
      <c r="A167" s="437"/>
      <c r="B167" s="437"/>
      <c r="C167" s="437"/>
      <c r="D167" s="437"/>
      <c r="E167" s="437"/>
      <c r="F167" s="437"/>
    </row>
    <row r="168" spans="1:6" x14ac:dyDescent="0.35">
      <c r="A168" s="437"/>
      <c r="B168" s="437"/>
      <c r="C168" s="437"/>
      <c r="D168" s="437"/>
      <c r="E168" s="437"/>
      <c r="F168" s="437"/>
    </row>
    <row r="169" spans="1:6" x14ac:dyDescent="0.35">
      <c r="A169" s="437"/>
      <c r="B169" s="437"/>
      <c r="C169" s="437"/>
      <c r="D169" s="437"/>
      <c r="E169" s="437"/>
      <c r="F169" s="437"/>
    </row>
  </sheetData>
  <mergeCells count="1">
    <mergeCell ref="A2:A3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>
      <selection activeCell="C6" sqref="C6"/>
    </sheetView>
  </sheetViews>
  <sheetFormatPr defaultColWidth="11.46484375" defaultRowHeight="12.75" x14ac:dyDescent="0.35"/>
  <cols>
    <col min="1" max="1" width="27.06640625" bestFit="1" customWidth="1"/>
  </cols>
  <sheetData>
    <row r="1" spans="1:1" x14ac:dyDescent="0.35">
      <c r="A1" t="s">
        <v>157</v>
      </c>
    </row>
    <row r="2" spans="1:1" x14ac:dyDescent="0.35">
      <c r="A2" t="s">
        <v>158</v>
      </c>
    </row>
    <row r="3" spans="1:1" x14ac:dyDescent="0.35">
      <c r="A3" t="s">
        <v>159</v>
      </c>
    </row>
    <row r="4" spans="1:1" x14ac:dyDescent="0.35">
      <c r="A4" t="s">
        <v>160</v>
      </c>
    </row>
    <row r="5" spans="1:1" x14ac:dyDescent="0.35">
      <c r="A5" t="s">
        <v>161</v>
      </c>
    </row>
    <row r="6" spans="1:1" x14ac:dyDescent="0.35">
      <c r="A6" s="11" t="s">
        <v>162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B1:X33"/>
  <sheetViews>
    <sheetView showGridLines="0" zoomScale="52" zoomScaleNormal="25" workbookViewId="0">
      <selection activeCell="G11" sqref="G11"/>
    </sheetView>
  </sheetViews>
  <sheetFormatPr defaultColWidth="11.46484375" defaultRowHeight="12.75" x14ac:dyDescent="0.35"/>
  <cols>
    <col min="1" max="1" width="1.06640625" style="11" customWidth="1"/>
    <col min="2" max="2" width="59.46484375" style="11" customWidth="1"/>
    <col min="3" max="3" width="10.06640625" style="11" bestFit="1" customWidth="1"/>
    <col min="4" max="4" width="10.59765625" style="11" bestFit="1" customWidth="1"/>
    <col min="5" max="5" width="11.796875" style="11" bestFit="1" customWidth="1"/>
    <col min="6" max="6" width="10.46484375" style="11" bestFit="1" customWidth="1"/>
    <col min="7" max="7" width="9.796875" style="11" bestFit="1" customWidth="1"/>
    <col min="8" max="8" width="121.46484375" style="11" customWidth="1"/>
    <col min="9" max="9" width="2.796875" style="11" customWidth="1"/>
    <col min="10" max="10" width="7.06640625" style="11" customWidth="1"/>
    <col min="11" max="11" width="3.796875" style="11" customWidth="1"/>
    <col min="12" max="12" width="13.33203125" style="11" bestFit="1" customWidth="1"/>
    <col min="13" max="13" width="18.59765625" style="11" customWidth="1"/>
    <col min="14" max="16384" width="11.46484375" style="11"/>
  </cols>
  <sheetData>
    <row r="1" spans="2:17" ht="6" customHeight="1" thickBot="1" x14ac:dyDescent="0.4"/>
    <row r="2" spans="2:17" ht="20.65" x14ac:dyDescent="0.35">
      <c r="B2" s="660" t="s">
        <v>108</v>
      </c>
      <c r="C2" s="661"/>
      <c r="D2" s="661"/>
      <c r="E2" s="661"/>
      <c r="F2" s="661"/>
      <c r="G2" s="661"/>
      <c r="H2" s="662"/>
      <c r="J2" s="657" t="s">
        <v>102</v>
      </c>
      <c r="K2" s="658"/>
      <c r="L2" s="658"/>
      <c r="M2" s="659"/>
    </row>
    <row r="3" spans="2:17" ht="13.15" x14ac:dyDescent="0.4">
      <c r="B3" s="25"/>
      <c r="C3" s="23" t="s">
        <v>69</v>
      </c>
      <c r="D3" s="23" t="s">
        <v>70</v>
      </c>
      <c r="E3" s="23" t="s">
        <v>109</v>
      </c>
      <c r="F3" s="23" t="s">
        <v>71</v>
      </c>
      <c r="G3" s="23" t="s">
        <v>72</v>
      </c>
      <c r="H3" s="26" t="s">
        <v>98</v>
      </c>
      <c r="J3" s="663" t="s">
        <v>101</v>
      </c>
      <c r="K3" s="664"/>
      <c r="L3" s="24" t="s">
        <v>100</v>
      </c>
      <c r="M3" s="29" t="s">
        <v>99</v>
      </c>
    </row>
    <row r="4" spans="2:17" ht="13.9" x14ac:dyDescent="0.4">
      <c r="B4" s="27" t="s">
        <v>73</v>
      </c>
      <c r="C4" s="166"/>
      <c r="D4" s="166"/>
      <c r="E4" s="166"/>
      <c r="F4" s="166"/>
      <c r="G4" s="167"/>
      <c r="H4" s="168"/>
      <c r="J4" s="45" t="s">
        <v>434</v>
      </c>
      <c r="K4" s="46">
        <v>0</v>
      </c>
      <c r="L4" s="47" t="s">
        <v>76</v>
      </c>
      <c r="M4" s="665" t="s">
        <v>441</v>
      </c>
    </row>
    <row r="5" spans="2:17" ht="13.15" thickBot="1" x14ac:dyDescent="0.4">
      <c r="B5" s="41" t="s">
        <v>74</v>
      </c>
      <c r="C5" s="169">
        <v>0</v>
      </c>
      <c r="D5" s="169" t="s">
        <v>536</v>
      </c>
      <c r="E5" s="169" t="s">
        <v>76</v>
      </c>
      <c r="F5" s="170"/>
      <c r="G5" s="452"/>
      <c r="H5" s="126"/>
      <c r="J5" s="45" t="s">
        <v>435</v>
      </c>
      <c r="K5" s="46">
        <v>1</v>
      </c>
      <c r="L5" s="47" t="s">
        <v>438</v>
      </c>
      <c r="M5" s="665"/>
    </row>
    <row r="6" spans="2:17" s="54" customFormat="1" x14ac:dyDescent="0.35">
      <c r="B6" s="53" t="s">
        <v>75</v>
      </c>
      <c r="C6" s="169"/>
      <c r="D6" s="169" t="s">
        <v>537</v>
      </c>
      <c r="E6" s="169"/>
      <c r="F6" s="170"/>
      <c r="G6" s="441"/>
      <c r="H6" s="171"/>
      <c r="J6" s="55" t="s">
        <v>436</v>
      </c>
      <c r="K6" s="56">
        <v>2</v>
      </c>
      <c r="L6" s="57" t="s">
        <v>439</v>
      </c>
      <c r="M6" s="665"/>
    </row>
    <row r="7" spans="2:17" ht="13.15" thickBot="1" x14ac:dyDescent="0.4">
      <c r="B7" s="41" t="s">
        <v>77</v>
      </c>
      <c r="C7" s="169">
        <v>1</v>
      </c>
      <c r="D7" s="169" t="s">
        <v>536</v>
      </c>
      <c r="E7" s="169" t="s">
        <v>76</v>
      </c>
      <c r="F7" s="170"/>
      <c r="G7" s="452"/>
      <c r="H7" s="171"/>
      <c r="J7" s="48" t="s">
        <v>437</v>
      </c>
      <c r="K7" s="49">
        <v>3</v>
      </c>
      <c r="L7" s="50" t="s">
        <v>440</v>
      </c>
      <c r="M7" s="666"/>
    </row>
    <row r="8" spans="2:17" ht="13.15" thickBot="1" x14ac:dyDescent="0.4">
      <c r="B8" s="41" t="s">
        <v>78</v>
      </c>
      <c r="C8" s="169"/>
      <c r="D8" s="169" t="s">
        <v>537</v>
      </c>
      <c r="E8" s="169"/>
      <c r="F8" s="170"/>
      <c r="G8" s="441"/>
      <c r="H8" s="126"/>
    </row>
    <row r="9" spans="2:17" ht="13.15" x14ac:dyDescent="0.35">
      <c r="B9" s="42" t="s">
        <v>79</v>
      </c>
      <c r="C9" s="169"/>
      <c r="D9" s="169" t="s">
        <v>537</v>
      </c>
      <c r="E9" s="169"/>
      <c r="F9" s="170"/>
      <c r="G9" s="442"/>
      <c r="H9" s="127"/>
      <c r="J9" s="667" t="s">
        <v>442</v>
      </c>
      <c r="K9" s="668"/>
      <c r="L9" s="669"/>
    </row>
    <row r="10" spans="2:17" ht="13.9" x14ac:dyDescent="0.4">
      <c r="B10" s="27" t="s">
        <v>80</v>
      </c>
      <c r="C10" s="172"/>
      <c r="D10" s="173"/>
      <c r="E10" s="173"/>
      <c r="F10" s="173"/>
      <c r="G10" s="174"/>
      <c r="H10" s="175"/>
      <c r="J10" s="651"/>
      <c r="K10" s="652"/>
      <c r="L10" s="653"/>
    </row>
    <row r="11" spans="2:17" x14ac:dyDescent="0.35">
      <c r="B11" s="41" t="s">
        <v>81</v>
      </c>
      <c r="C11" s="537">
        <v>0</v>
      </c>
      <c r="D11" s="536" t="s">
        <v>536</v>
      </c>
      <c r="E11" s="169" t="s">
        <v>76</v>
      </c>
      <c r="F11" s="538"/>
      <c r="G11" s="542"/>
      <c r="H11" s="540"/>
      <c r="J11" s="648"/>
      <c r="K11" s="649"/>
      <c r="L11" s="650"/>
    </row>
    <row r="12" spans="2:17" ht="13.15" thickBot="1" x14ac:dyDescent="0.4">
      <c r="B12" s="41" t="s">
        <v>82</v>
      </c>
      <c r="C12" s="537">
        <v>1</v>
      </c>
      <c r="D12" s="536" t="s">
        <v>536</v>
      </c>
      <c r="E12" s="169" t="s">
        <v>438</v>
      </c>
      <c r="F12" s="539"/>
      <c r="G12" s="543"/>
      <c r="H12" s="541"/>
      <c r="J12" s="654"/>
      <c r="K12" s="655"/>
      <c r="L12" s="656"/>
    </row>
    <row r="13" spans="2:17" ht="13.15" thickBot="1" x14ac:dyDescent="0.4">
      <c r="B13" s="43" t="s">
        <v>83</v>
      </c>
      <c r="C13" s="169">
        <v>0</v>
      </c>
      <c r="D13" s="536" t="s">
        <v>536</v>
      </c>
      <c r="E13" s="169" t="s">
        <v>76</v>
      </c>
      <c r="F13" s="170"/>
      <c r="G13" s="174"/>
      <c r="H13" s="178"/>
      <c r="O13" s="451"/>
      <c r="P13" s="452"/>
      <c r="Q13" s="453"/>
    </row>
    <row r="14" spans="2:17" x14ac:dyDescent="0.35">
      <c r="B14" s="43" t="s">
        <v>84</v>
      </c>
      <c r="C14" s="169"/>
      <c r="D14" s="169" t="s">
        <v>537</v>
      </c>
      <c r="E14" s="169"/>
      <c r="F14" s="170"/>
      <c r="G14" s="174"/>
      <c r="H14" s="178"/>
    </row>
    <row r="15" spans="2:17" x14ac:dyDescent="0.35">
      <c r="B15" s="41" t="s">
        <v>85</v>
      </c>
      <c r="C15" s="169"/>
      <c r="D15" s="169" t="s">
        <v>537</v>
      </c>
      <c r="E15" s="169"/>
      <c r="F15" s="170"/>
      <c r="G15" s="179"/>
      <c r="H15" s="178"/>
    </row>
    <row r="16" spans="2:17" x14ac:dyDescent="0.35">
      <c r="B16" s="41" t="s">
        <v>86</v>
      </c>
      <c r="C16" s="179"/>
      <c r="D16" s="169" t="s">
        <v>537</v>
      </c>
      <c r="E16" s="179"/>
      <c r="F16" s="179"/>
      <c r="G16" s="174"/>
      <c r="H16" s="178"/>
    </row>
    <row r="17" spans="2:24" x14ac:dyDescent="0.35">
      <c r="B17" s="41" t="s">
        <v>87</v>
      </c>
      <c r="C17" s="180"/>
      <c r="D17" s="169"/>
      <c r="E17" s="169"/>
      <c r="F17" s="170"/>
      <c r="G17" s="174"/>
      <c r="H17" s="181"/>
    </row>
    <row r="18" spans="2:24" x14ac:dyDescent="0.35">
      <c r="B18" s="41" t="s">
        <v>88</v>
      </c>
      <c r="C18" s="169"/>
      <c r="D18" s="169" t="s">
        <v>537</v>
      </c>
      <c r="E18" s="169"/>
      <c r="F18" s="170"/>
      <c r="G18" s="174"/>
      <c r="H18" s="197"/>
    </row>
    <row r="19" spans="2:24" x14ac:dyDescent="0.35">
      <c r="B19" s="41" t="s">
        <v>89</v>
      </c>
      <c r="C19" s="169" t="s">
        <v>439</v>
      </c>
      <c r="D19" s="536" t="s">
        <v>536</v>
      </c>
      <c r="E19" s="169"/>
      <c r="F19" s="170"/>
      <c r="G19" s="449"/>
      <c r="H19" s="178"/>
      <c r="O19" s="648"/>
      <c r="P19" s="649"/>
      <c r="Q19" s="650"/>
    </row>
    <row r="20" spans="2:24" x14ac:dyDescent="0.35">
      <c r="B20" s="41" t="s">
        <v>90</v>
      </c>
      <c r="C20" s="169"/>
      <c r="D20" s="169" t="s">
        <v>537</v>
      </c>
      <c r="E20" s="169"/>
      <c r="F20" s="170"/>
      <c r="G20" s="174"/>
      <c r="H20" s="178"/>
    </row>
    <row r="21" spans="2:24" x14ac:dyDescent="0.35">
      <c r="B21" s="42" t="s">
        <v>91</v>
      </c>
      <c r="C21" s="182"/>
      <c r="D21" s="182" t="s">
        <v>537</v>
      </c>
      <c r="E21" s="182"/>
      <c r="F21" s="183"/>
      <c r="G21" s="442"/>
      <c r="H21" s="127"/>
    </row>
    <row r="22" spans="2:24" ht="13.9" x14ac:dyDescent="0.4">
      <c r="B22" s="28" t="s">
        <v>92</v>
      </c>
      <c r="C22" s="184"/>
      <c r="D22" s="184"/>
      <c r="E22" s="177"/>
      <c r="F22" s="184"/>
      <c r="G22" s="174"/>
      <c r="H22" s="185"/>
      <c r="O22" s="648"/>
      <c r="P22" s="649"/>
      <c r="Q22" s="650"/>
      <c r="V22" s="448"/>
      <c r="W22" s="449"/>
      <c r="X22" s="450"/>
    </row>
    <row r="23" spans="2:24" x14ac:dyDescent="0.35">
      <c r="B23" s="41" t="s">
        <v>93</v>
      </c>
      <c r="C23" s="180"/>
      <c r="D23" s="180"/>
      <c r="E23" s="177"/>
      <c r="F23" s="177"/>
      <c r="G23" s="443"/>
      <c r="H23" s="186"/>
    </row>
    <row r="24" spans="2:24" x14ac:dyDescent="0.35">
      <c r="B24" s="41" t="s">
        <v>94</v>
      </c>
      <c r="C24" s="180"/>
      <c r="D24" s="180"/>
      <c r="E24" s="177"/>
      <c r="F24" s="177"/>
      <c r="G24" s="443"/>
      <c r="H24" s="178"/>
    </row>
    <row r="25" spans="2:24" x14ac:dyDescent="0.35">
      <c r="B25" s="41" t="s">
        <v>184</v>
      </c>
      <c r="C25" s="180"/>
      <c r="D25" s="180"/>
      <c r="E25" s="177"/>
      <c r="F25" s="177"/>
      <c r="G25" s="174"/>
      <c r="H25" s="178"/>
    </row>
    <row r="26" spans="2:24" x14ac:dyDescent="0.35">
      <c r="B26" s="41" t="s">
        <v>139</v>
      </c>
      <c r="C26" s="180"/>
      <c r="D26" s="180"/>
      <c r="E26" s="177"/>
      <c r="F26" s="177"/>
      <c r="G26" s="174"/>
      <c r="H26" s="178"/>
    </row>
    <row r="27" spans="2:24" x14ac:dyDescent="0.35">
      <c r="B27" s="41" t="s">
        <v>95</v>
      </c>
      <c r="C27" s="180"/>
      <c r="D27" s="180"/>
      <c r="E27" s="177"/>
      <c r="F27" s="177"/>
      <c r="G27" s="443"/>
      <c r="H27" s="178"/>
    </row>
    <row r="28" spans="2:24" x14ac:dyDescent="0.35">
      <c r="B28" s="41" t="s">
        <v>142</v>
      </c>
      <c r="C28" s="180"/>
      <c r="D28" s="180"/>
      <c r="E28" s="177"/>
      <c r="F28" s="177"/>
      <c r="G28" s="174"/>
      <c r="H28" s="178"/>
    </row>
    <row r="29" spans="2:24" x14ac:dyDescent="0.35">
      <c r="B29" s="41" t="s">
        <v>185</v>
      </c>
      <c r="C29" s="180"/>
      <c r="D29" s="180"/>
      <c r="E29" s="177"/>
      <c r="F29" s="177"/>
      <c r="G29" s="444"/>
      <c r="H29" s="176"/>
    </row>
    <row r="30" spans="2:24" x14ac:dyDescent="0.35">
      <c r="B30" s="41" t="s">
        <v>138</v>
      </c>
      <c r="C30" s="180"/>
      <c r="D30" s="180"/>
      <c r="E30" s="177"/>
      <c r="F30" s="177"/>
      <c r="G30" s="174"/>
      <c r="H30" s="176"/>
    </row>
    <row r="31" spans="2:24" x14ac:dyDescent="0.35">
      <c r="B31" s="41" t="s">
        <v>96</v>
      </c>
      <c r="C31" s="180"/>
      <c r="D31" s="536" t="s">
        <v>536</v>
      </c>
      <c r="E31" s="177"/>
      <c r="F31" s="177"/>
      <c r="G31" s="443"/>
      <c r="H31" s="178"/>
    </row>
    <row r="32" spans="2:24" ht="13.15" thickBot="1" x14ac:dyDescent="0.4">
      <c r="B32" s="44" t="s">
        <v>97</v>
      </c>
      <c r="C32" s="187"/>
      <c r="D32" s="188" t="s">
        <v>536</v>
      </c>
      <c r="E32" s="188"/>
      <c r="F32" s="188"/>
      <c r="G32" s="445"/>
      <c r="H32" s="189"/>
    </row>
    <row r="33" spans="2:8" ht="15.75" customHeight="1" x14ac:dyDescent="0.5">
      <c r="B33" s="58"/>
      <c r="H33" s="95"/>
    </row>
  </sheetData>
  <mergeCells count="10">
    <mergeCell ref="J2:M2"/>
    <mergeCell ref="B2:H2"/>
    <mergeCell ref="J3:K3"/>
    <mergeCell ref="M4:M7"/>
    <mergeCell ref="J9:L9"/>
    <mergeCell ref="O19:Q19"/>
    <mergeCell ref="O22:Q22"/>
    <mergeCell ref="J10:L10"/>
    <mergeCell ref="J11:L11"/>
    <mergeCell ref="J12:L12"/>
  </mergeCells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4">
    <tabColor rgb="FF0070C0"/>
  </sheetPr>
  <dimension ref="A1:AD88"/>
  <sheetViews>
    <sheetView topLeftCell="P25" zoomScaleNormal="100" workbookViewId="0">
      <pane xSplit="15563" topLeftCell="Y1"/>
      <selection activeCell="AC36" sqref="AC36"/>
      <selection pane="topRight" activeCell="AB41" sqref="AB41"/>
    </sheetView>
  </sheetViews>
  <sheetFormatPr defaultColWidth="11.46484375" defaultRowHeight="12.75" x14ac:dyDescent="0.35"/>
  <cols>
    <col min="1" max="1" width="24.46484375" bestFit="1" customWidth="1"/>
    <col min="2" max="2" width="11.33203125" customWidth="1"/>
    <col min="3" max="3" width="20" bestFit="1" customWidth="1"/>
    <col min="4" max="9" width="11.06640625" style="4" customWidth="1"/>
    <col min="10" max="11" width="8.796875" style="4" bestFit="1" customWidth="1"/>
    <col min="12" max="12" width="9.46484375" style="4" bestFit="1" customWidth="1"/>
    <col min="13" max="13" width="9.06640625" style="4" bestFit="1" customWidth="1"/>
    <col min="14" max="16" width="9.33203125" style="4" bestFit="1" customWidth="1"/>
    <col min="17" max="20" width="9.46484375" style="4" bestFit="1" customWidth="1"/>
    <col min="21" max="21" width="10" style="4" bestFit="1" customWidth="1"/>
    <col min="22" max="22" width="9.796875" style="4" bestFit="1" customWidth="1"/>
    <col min="23" max="23" width="10" style="4" bestFit="1" customWidth="1"/>
    <col min="24" max="25" width="9.796875" style="4" bestFit="1" customWidth="1"/>
    <col min="26" max="26" width="10.06640625" style="4" bestFit="1" customWidth="1"/>
    <col min="27" max="28" width="10" style="4" bestFit="1" customWidth="1"/>
    <col min="29" max="29" width="10.46484375" style="4" bestFit="1" customWidth="1"/>
  </cols>
  <sheetData>
    <row r="1" spans="1:30" ht="20.65" x14ac:dyDescent="0.6">
      <c r="A1" s="671" t="s">
        <v>111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</row>
    <row r="2" spans="1:30" ht="13.15" x14ac:dyDescent="0.4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30" ht="13.15" x14ac:dyDescent="0.4">
      <c r="A3" s="63" t="s">
        <v>9</v>
      </c>
      <c r="B3" s="63"/>
      <c r="C3" s="63"/>
      <c r="D3" s="63"/>
      <c r="E3" s="63" t="s">
        <v>1</v>
      </c>
      <c r="F3" s="63"/>
      <c r="G3" s="63"/>
      <c r="H3" s="63"/>
      <c r="I3" s="63"/>
      <c r="J3" s="63"/>
      <c r="K3" s="63"/>
      <c r="L3" s="63"/>
    </row>
    <row r="4" spans="1:30" ht="13.15" x14ac:dyDescent="0.4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30" ht="13.15" x14ac:dyDescent="0.4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30" ht="13.15" x14ac:dyDescent="0.4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</row>
    <row r="7" spans="1:30" ht="13.15" x14ac:dyDescent="0.4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</row>
    <row r="8" spans="1:30" ht="13.15" x14ac:dyDescent="0.4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</row>
    <row r="9" spans="1:30" ht="13.15" x14ac:dyDescent="0.4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</row>
    <row r="10" spans="1:30" ht="13.15" x14ac:dyDescent="0.4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</row>
    <row r="11" spans="1:30" ht="13.15" x14ac:dyDescent="0.4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</row>
    <row r="12" spans="1:30" ht="13.15" x14ac:dyDescent="0.4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Z12" s="1"/>
    </row>
    <row r="13" spans="1:30" ht="13.15" x14ac:dyDescent="0.4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</row>
    <row r="14" spans="1:30" ht="13.15" x14ac:dyDescent="0.4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</row>
    <row r="15" spans="1:30" ht="13.15" x14ac:dyDescent="0.4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AD15" s="101"/>
    </row>
    <row r="16" spans="1:30" ht="13.15" x14ac:dyDescent="0.4">
      <c r="A16" s="63" t="s">
        <v>19</v>
      </c>
      <c r="B16" s="63"/>
      <c r="C16" s="63"/>
      <c r="D16" s="63"/>
      <c r="E16" s="63" t="s">
        <v>41</v>
      </c>
      <c r="F16" s="63"/>
      <c r="G16" s="63"/>
      <c r="H16" s="63"/>
      <c r="I16" s="63"/>
      <c r="J16" s="63"/>
      <c r="K16" s="63"/>
      <c r="L16" s="63"/>
      <c r="AD16" s="101"/>
    </row>
    <row r="17" spans="4:30" x14ac:dyDescent="0.35">
      <c r="AD17" s="101"/>
    </row>
    <row r="18" spans="4:30" x14ac:dyDescent="0.35">
      <c r="AD18" s="101"/>
    </row>
    <row r="19" spans="4:30" x14ac:dyDescent="0.35">
      <c r="AD19" s="101"/>
    </row>
    <row r="20" spans="4:30" x14ac:dyDescent="0.35">
      <c r="AD20" s="101"/>
    </row>
    <row r="21" spans="4:30" x14ac:dyDescent="0.35">
      <c r="AD21" s="101"/>
    </row>
    <row r="22" spans="4:30" x14ac:dyDescent="0.35">
      <c r="AD22" s="101"/>
    </row>
    <row r="23" spans="4:30" x14ac:dyDescent="0.35">
      <c r="AD23" s="101"/>
    </row>
    <row r="24" spans="4:30" x14ac:dyDescent="0.35">
      <c r="AD24" s="101"/>
    </row>
    <row r="25" spans="4:30" x14ac:dyDescent="0.35">
      <c r="AD25" s="101"/>
    </row>
    <row r="26" spans="4:30" x14ac:dyDescent="0.35">
      <c r="K26" s="198"/>
      <c r="AD26" s="101"/>
    </row>
    <row r="27" spans="4:30" x14ac:dyDescent="0.35">
      <c r="K27" s="198"/>
      <c r="AD27" s="101"/>
    </row>
    <row r="31" spans="4:30" x14ac:dyDescent="0.35">
      <c r="D31" s="265">
        <v>1E-3</v>
      </c>
      <c r="E31" s="266">
        <f>1/((1+$B$59+$D31)^(E35-2021))</f>
        <v>0.92250922509225108</v>
      </c>
      <c r="F31" s="266">
        <f t="shared" ref="F31:AC31" si="0">1/((1+$B$59+$D31)^(F35-2021))</f>
        <v>0.85102327038030556</v>
      </c>
      <c r="G31" s="266">
        <f t="shared" si="0"/>
        <v>0.78507681769400894</v>
      </c>
      <c r="H31" s="266">
        <f t="shared" si="0"/>
        <v>0.72424060672879054</v>
      </c>
      <c r="I31" s="266">
        <f t="shared" si="0"/>
        <v>0.66811864089371831</v>
      </c>
      <c r="J31" s="266">
        <f t="shared" si="0"/>
        <v>0.61634560968055208</v>
      </c>
      <c r="K31" s="266">
        <f t="shared" si="0"/>
        <v>0.56858451077541716</v>
      </c>
      <c r="L31" s="266">
        <f t="shared" si="0"/>
        <v>0.52452445643488677</v>
      </c>
      <c r="M31" s="266">
        <f t="shared" si="0"/>
        <v>0.48387864984768159</v>
      </c>
      <c r="N31" s="266">
        <f t="shared" si="0"/>
        <v>0.44638251830966935</v>
      </c>
      <c r="O31" s="266">
        <f t="shared" si="0"/>
        <v>0.41179199106058068</v>
      </c>
      <c r="P31" s="266">
        <f t="shared" si="0"/>
        <v>0.37988191057249149</v>
      </c>
      <c r="Q31" s="266">
        <f t="shared" si="0"/>
        <v>0.35044456694879283</v>
      </c>
      <c r="R31" s="266">
        <f t="shared" si="0"/>
        <v>0.32328834589372041</v>
      </c>
      <c r="S31" s="266">
        <f t="shared" si="0"/>
        <v>0.29823648145177167</v>
      </c>
      <c r="T31" s="266">
        <f t="shared" si="0"/>
        <v>0.27512590539831339</v>
      </c>
      <c r="U31" s="266">
        <f t="shared" si="0"/>
        <v>0.25380618579180203</v>
      </c>
      <c r="V31" s="266">
        <f t="shared" si="0"/>
        <v>0.2341385477784152</v>
      </c>
      <c r="W31" s="266">
        <f t="shared" si="0"/>
        <v>0.21599497027529083</v>
      </c>
      <c r="X31" s="266">
        <f t="shared" si="0"/>
        <v>0.19925735265248232</v>
      </c>
      <c r="Y31" s="266">
        <f t="shared" si="0"/>
        <v>0.18381674598937486</v>
      </c>
      <c r="Z31" s="266">
        <f t="shared" si="0"/>
        <v>0.16957264390163737</v>
      </c>
      <c r="AA31" s="266">
        <f t="shared" si="0"/>
        <v>0.1564323283225437</v>
      </c>
      <c r="AB31" s="266">
        <f t="shared" si="0"/>
        <v>0.14431026598020638</v>
      </c>
      <c r="AC31" s="266">
        <f t="shared" si="0"/>
        <v>0.13312755164225684</v>
      </c>
    </row>
    <row r="32" spans="4:30" x14ac:dyDescent="0.35">
      <c r="D32" s="267">
        <v>5.0000000000000001E-3</v>
      </c>
      <c r="E32" s="266">
        <f>1/((1+$B$59+$D32)^(E35-2021))</f>
        <v>0.91911764705882371</v>
      </c>
      <c r="F32" s="266">
        <f t="shared" ref="F32:AC32" si="1">1/((1+$B$59+$D32)^(F35-2021))</f>
        <v>0.84477724913494834</v>
      </c>
      <c r="G32" s="266">
        <f t="shared" si="1"/>
        <v>0.77644967751373939</v>
      </c>
      <c r="H32" s="266">
        <f t="shared" si="1"/>
        <v>0.71364860065601055</v>
      </c>
      <c r="I32" s="266">
        <f t="shared" si="1"/>
        <v>0.65592702266177449</v>
      </c>
      <c r="J32" s="266">
        <f t="shared" si="1"/>
        <v>0.60287410171118994</v>
      </c>
      <c r="K32" s="266">
        <f t="shared" si="1"/>
        <v>0.55411222583749076</v>
      </c>
      <c r="L32" s="266">
        <f t="shared" si="1"/>
        <v>0.509294325218282</v>
      </c>
      <c r="M32" s="266">
        <f t="shared" si="1"/>
        <v>0.46810140185503862</v>
      </c>
      <c r="N32" s="266">
        <f t="shared" si="1"/>
        <v>0.43024025905793994</v>
      </c>
      <c r="O32" s="266">
        <f t="shared" si="1"/>
        <v>0.39544141457531257</v>
      </c>
      <c r="P32" s="266">
        <f t="shared" si="1"/>
        <v>0.36345718251407405</v>
      </c>
      <c r="Q32" s="266">
        <f t="shared" si="1"/>
        <v>0.33405991039896515</v>
      </c>
      <c r="R32" s="266">
        <f t="shared" si="1"/>
        <v>0.30704035882257835</v>
      </c>
      <c r="S32" s="266">
        <f t="shared" si="1"/>
        <v>0.28220621215310515</v>
      </c>
      <c r="T32" s="266">
        <f t="shared" si="1"/>
        <v>0.25938070969954519</v>
      </c>
      <c r="U32" s="266">
        <f t="shared" si="1"/>
        <v>0.23840138759149374</v>
      </c>
      <c r="V32" s="266">
        <f t="shared" si="1"/>
        <v>0.21911892241865238</v>
      </c>
      <c r="W32" s="266">
        <f t="shared" si="1"/>
        <v>0.2013960683994967</v>
      </c>
      <c r="X32" s="266">
        <f t="shared" si="1"/>
        <v>0.18510668051424331</v>
      </c>
      <c r="Y32" s="266">
        <f t="shared" si="1"/>
        <v>0.17013481664912072</v>
      </c>
      <c r="Z32" s="266">
        <f t="shared" si="1"/>
        <v>0.15637391236132422</v>
      </c>
      <c r="AA32" s="266">
        <f t="shared" si="1"/>
        <v>0.143726022390923</v>
      </c>
      <c r="AB32" s="266">
        <f t="shared" si="1"/>
        <v>0.13210112352106895</v>
      </c>
      <c r="AC32" s="266">
        <f t="shared" si="1"/>
        <v>0.1214164738245119</v>
      </c>
    </row>
    <row r="33" spans="1:30" x14ac:dyDescent="0.35">
      <c r="D33" s="112" t="s">
        <v>269</v>
      </c>
      <c r="E33" s="266">
        <f>1/((1+$B$59)^(E35-2021))</f>
        <v>0.92336103416435833</v>
      </c>
      <c r="F33" s="266">
        <f t="shared" ref="F33:AC33" si="2">1/((1+$B$59)^(F35-2021))</f>
        <v>0.85259559941307328</v>
      </c>
      <c r="G33" s="266">
        <f t="shared" si="2"/>
        <v>0.78725355439803635</v>
      </c>
      <c r="H33" s="266">
        <f t="shared" si="2"/>
        <v>0.72691925613853769</v>
      </c>
      <c r="I33" s="266">
        <f t="shared" si="2"/>
        <v>0.67120891610206623</v>
      </c>
      <c r="J33" s="266">
        <f t="shared" si="2"/>
        <v>0.61976815891234194</v>
      </c>
      <c r="K33" s="266">
        <f t="shared" si="2"/>
        <v>0.57226976815544039</v>
      </c>
      <c r="L33" s="266">
        <f t="shared" si="2"/>
        <v>0.52841160494500505</v>
      </c>
      <c r="M33" s="266">
        <f t="shared" si="2"/>
        <v>0.48791468600646815</v>
      </c>
      <c r="N33" s="266">
        <f t="shared" si="2"/>
        <v>0.45052140905491062</v>
      </c>
      <c r="O33" s="266">
        <f t="shared" si="2"/>
        <v>0.4159939141781262</v>
      </c>
      <c r="P33" s="266">
        <f t="shared" si="2"/>
        <v>0.38411257080159389</v>
      </c>
      <c r="Q33" s="266">
        <f t="shared" si="2"/>
        <v>0.35467458061089008</v>
      </c>
      <c r="R33" s="266">
        <f t="shared" si="2"/>
        <v>0.32749268754468147</v>
      </c>
      <c r="S33" s="266">
        <f t="shared" si="2"/>
        <v>0.30239398665252215</v>
      </c>
      <c r="T33" s="266">
        <f t="shared" si="2"/>
        <v>0.27921882424055605</v>
      </c>
      <c r="U33" s="266">
        <f t="shared" si="2"/>
        <v>0.25781978230891606</v>
      </c>
      <c r="V33" s="266">
        <f t="shared" si="2"/>
        <v>0.23806074082079043</v>
      </c>
      <c r="W33" s="266">
        <f t="shared" si="2"/>
        <v>0.21981601183821831</v>
      </c>
      <c r="X33" s="266">
        <f t="shared" si="2"/>
        <v>0.2029695400168221</v>
      </c>
      <c r="Y33" s="266">
        <f t="shared" si="2"/>
        <v>0.18741416437379693</v>
      </c>
      <c r="Z33" s="266">
        <f t="shared" si="2"/>
        <v>0.1730509366332382</v>
      </c>
      <c r="AA33" s="266">
        <f t="shared" si="2"/>
        <v>0.15978849181277768</v>
      </c>
      <c r="AB33" s="266">
        <f t="shared" si="2"/>
        <v>0.14754246704780949</v>
      </c>
      <c r="AC33" s="266">
        <f t="shared" si="2"/>
        <v>0.13623496495642612</v>
      </c>
    </row>
    <row r="35" spans="1:30" ht="13.15" x14ac:dyDescent="0.4">
      <c r="B35" s="34" t="s">
        <v>177</v>
      </c>
      <c r="C35" s="34" t="s">
        <v>201</v>
      </c>
      <c r="D35" s="13">
        <v>2021</v>
      </c>
      <c r="E35" s="13">
        <f>D35+1</f>
        <v>2022</v>
      </c>
      <c r="F35" s="13">
        <f t="shared" ref="F35:AC35" si="3">E35+1</f>
        <v>2023</v>
      </c>
      <c r="G35" s="13">
        <f t="shared" si="3"/>
        <v>2024</v>
      </c>
      <c r="H35" s="13">
        <f t="shared" si="3"/>
        <v>2025</v>
      </c>
      <c r="I35" s="13">
        <f t="shared" si="3"/>
        <v>2026</v>
      </c>
      <c r="J35" s="13">
        <f t="shared" si="3"/>
        <v>2027</v>
      </c>
      <c r="K35" s="13">
        <f t="shared" si="3"/>
        <v>2028</v>
      </c>
      <c r="L35" s="13">
        <f t="shared" si="3"/>
        <v>2029</v>
      </c>
      <c r="M35" s="13">
        <f t="shared" si="3"/>
        <v>2030</v>
      </c>
      <c r="N35" s="13">
        <f t="shared" si="3"/>
        <v>2031</v>
      </c>
      <c r="O35" s="13">
        <f t="shared" si="3"/>
        <v>2032</v>
      </c>
      <c r="P35" s="13">
        <f t="shared" si="3"/>
        <v>2033</v>
      </c>
      <c r="Q35" s="13">
        <f t="shared" si="3"/>
        <v>2034</v>
      </c>
      <c r="R35" s="13">
        <f t="shared" si="3"/>
        <v>2035</v>
      </c>
      <c r="S35" s="13">
        <f t="shared" si="3"/>
        <v>2036</v>
      </c>
      <c r="T35" s="13">
        <f t="shared" si="3"/>
        <v>2037</v>
      </c>
      <c r="U35" s="13">
        <f t="shared" si="3"/>
        <v>2038</v>
      </c>
      <c r="V35" s="13">
        <f t="shared" si="3"/>
        <v>2039</v>
      </c>
      <c r="W35" s="13">
        <f t="shared" si="3"/>
        <v>2040</v>
      </c>
      <c r="X35" s="13">
        <f t="shared" si="3"/>
        <v>2041</v>
      </c>
      <c r="Y35" s="13">
        <f t="shared" si="3"/>
        <v>2042</v>
      </c>
      <c r="Z35" s="13">
        <f t="shared" si="3"/>
        <v>2043</v>
      </c>
      <c r="AA35" s="13">
        <f t="shared" si="3"/>
        <v>2044</v>
      </c>
      <c r="AB35" s="13">
        <f t="shared" si="3"/>
        <v>2045</v>
      </c>
      <c r="AC35" s="13">
        <f t="shared" si="3"/>
        <v>2046</v>
      </c>
    </row>
    <row r="36" spans="1:30" s="19" customFormat="1" ht="13.15" x14ac:dyDescent="0.4">
      <c r="A36" s="31" t="s">
        <v>10</v>
      </c>
      <c r="B36" s="52">
        <f>OP!N34</f>
        <v>0.13406292749658011</v>
      </c>
      <c r="C36" s="52">
        <f>OP!N35</f>
        <v>8.3337703886295689E-2</v>
      </c>
      <c r="D36" s="216">
        <v>0.35</v>
      </c>
      <c r="E36" s="216">
        <v>3.4000000000000002E-2</v>
      </c>
      <c r="F36" s="216">
        <v>9.5000000000000001E-2</v>
      </c>
      <c r="G36" s="216">
        <v>9.5000000000000001E-2</v>
      </c>
      <c r="H36" s="216">
        <v>9.5000000000000001E-2</v>
      </c>
      <c r="I36" s="216">
        <v>9.5000000000000001E-2</v>
      </c>
      <c r="J36" s="216">
        <v>9.5000000000000001E-2</v>
      </c>
      <c r="K36" s="52">
        <v>0.08</v>
      </c>
      <c r="L36" s="52">
        <v>0.06</v>
      </c>
      <c r="M36" s="52">
        <v>0.05</v>
      </c>
      <c r="N36" s="52">
        <v>0.04</v>
      </c>
      <c r="O36" s="52">
        <v>3.5000000000000003E-2</v>
      </c>
      <c r="P36" s="52">
        <v>3.5000000000000003E-2</v>
      </c>
      <c r="Q36" s="52">
        <v>3.5000000000000003E-2</v>
      </c>
      <c r="R36" s="52">
        <v>3.5000000000000003E-2</v>
      </c>
      <c r="S36" s="52">
        <v>3.5000000000000003E-2</v>
      </c>
      <c r="T36" s="52">
        <v>3.5000000000000003E-2</v>
      </c>
      <c r="U36" s="52">
        <v>3.5000000000000003E-2</v>
      </c>
      <c r="V36" s="52">
        <v>3.5000000000000003E-2</v>
      </c>
      <c r="W36" s="52">
        <v>3.5000000000000003E-2</v>
      </c>
      <c r="X36" s="52">
        <v>3.5000000000000003E-2</v>
      </c>
      <c r="Y36" s="52">
        <v>3.5000000000000003E-2</v>
      </c>
      <c r="Z36" s="52">
        <v>3.5000000000000003E-2</v>
      </c>
      <c r="AA36" s="52">
        <v>3.5000000000000003E-2</v>
      </c>
      <c r="AB36" s="52">
        <v>3.5000000000000003E-2</v>
      </c>
      <c r="AC36" s="52">
        <v>3.5000000000000003E-2</v>
      </c>
    </row>
    <row r="37" spans="1:30" s="7" customFormat="1" x14ac:dyDescent="0.35">
      <c r="A37" s="14" t="s">
        <v>9</v>
      </c>
      <c r="B37" s="74">
        <f>OP!C34</f>
        <v>1906.7</v>
      </c>
      <c r="C37" s="74">
        <f>OP!C35</f>
        <v>2065.6</v>
      </c>
      <c r="D37" s="1">
        <f>OP!C34*(1+D36)</f>
        <v>2574.0450000000001</v>
      </c>
      <c r="E37" s="1">
        <f t="shared" ref="E37:AC37" si="4">D37*(1+E36)</f>
        <v>2661.5625300000002</v>
      </c>
      <c r="F37" s="1">
        <f t="shared" si="4"/>
        <v>2914.4109703500003</v>
      </c>
      <c r="G37" s="1">
        <f t="shared" si="4"/>
        <v>3191.2800125332501</v>
      </c>
      <c r="H37" s="1">
        <f t="shared" si="4"/>
        <v>3494.4516137239088</v>
      </c>
      <c r="I37" s="1">
        <f t="shared" si="4"/>
        <v>3826.4245170276799</v>
      </c>
      <c r="J37" s="1">
        <f t="shared" si="4"/>
        <v>4189.9348461453092</v>
      </c>
      <c r="K37" s="1">
        <f t="shared" si="4"/>
        <v>4525.1296338369339</v>
      </c>
      <c r="L37" s="1">
        <f t="shared" si="4"/>
        <v>4796.6374118671501</v>
      </c>
      <c r="M37" s="1">
        <f t="shared" si="4"/>
        <v>5036.4692824605081</v>
      </c>
      <c r="N37" s="1">
        <f t="shared" si="4"/>
        <v>5237.9280537589284</v>
      </c>
      <c r="O37" s="1">
        <f t="shared" si="4"/>
        <v>5421.2555356404901</v>
      </c>
      <c r="P37" s="1">
        <f t="shared" si="4"/>
        <v>5610.9994793879068</v>
      </c>
      <c r="Q37" s="1">
        <f t="shared" si="4"/>
        <v>5807.3844611664836</v>
      </c>
      <c r="R37" s="1">
        <f t="shared" si="4"/>
        <v>6010.6429173073102</v>
      </c>
      <c r="S37" s="1">
        <f t="shared" si="4"/>
        <v>6221.0154194130655</v>
      </c>
      <c r="T37" s="1">
        <f t="shared" si="4"/>
        <v>6438.750959092522</v>
      </c>
      <c r="U37" s="1">
        <f t="shared" si="4"/>
        <v>6664.1072426607598</v>
      </c>
      <c r="V37" s="1">
        <f t="shared" si="4"/>
        <v>6897.3509961538857</v>
      </c>
      <c r="W37" s="1">
        <f t="shared" si="4"/>
        <v>7138.7582810192707</v>
      </c>
      <c r="X37" s="1">
        <f t="shared" si="4"/>
        <v>7388.6148208549448</v>
      </c>
      <c r="Y37" s="1">
        <f t="shared" si="4"/>
        <v>7647.2163395848675</v>
      </c>
      <c r="Z37" s="1">
        <f t="shared" si="4"/>
        <v>7914.8689114703375</v>
      </c>
      <c r="AA37" s="1">
        <f t="shared" si="4"/>
        <v>8191.889323371799</v>
      </c>
      <c r="AB37" s="1">
        <f t="shared" si="4"/>
        <v>8478.6054496898105</v>
      </c>
      <c r="AC37" s="1">
        <f t="shared" si="4"/>
        <v>8775.3566404289541</v>
      </c>
    </row>
    <row r="38" spans="1:30" s="19" customFormat="1" ht="13.15" x14ac:dyDescent="0.4">
      <c r="A38" s="31" t="s">
        <v>1</v>
      </c>
      <c r="B38" s="89">
        <f>+OP!D34</f>
        <v>0.26920858026957567</v>
      </c>
      <c r="C38" s="89">
        <f>+OP!D35</f>
        <v>0.28693841982958951</v>
      </c>
      <c r="D38" s="216">
        <f>108166.4/365513.2</f>
        <v>0.29593021537936248</v>
      </c>
      <c r="E38" s="216">
        <f>108162.8/377959.8</f>
        <v>0.28617540807249875</v>
      </c>
      <c r="F38" s="216">
        <v>0.27</v>
      </c>
      <c r="G38" s="216">
        <v>0.27500000000000002</v>
      </c>
      <c r="H38" s="216">
        <v>0.26</v>
      </c>
      <c r="I38" s="216">
        <v>0.255</v>
      </c>
      <c r="J38" s="216">
        <v>0.25</v>
      </c>
      <c r="K38" s="52">
        <v>0.25</v>
      </c>
      <c r="L38" s="52">
        <v>0.25</v>
      </c>
      <c r="M38" s="52">
        <v>0.25</v>
      </c>
      <c r="N38" s="52">
        <v>0.25</v>
      </c>
      <c r="O38" s="52">
        <v>0.25</v>
      </c>
      <c r="P38" s="52">
        <v>0.25</v>
      </c>
      <c r="Q38" s="52">
        <v>0.25</v>
      </c>
      <c r="R38" s="52">
        <v>0.25</v>
      </c>
      <c r="S38" s="52">
        <v>0.25</v>
      </c>
      <c r="T38" s="52">
        <v>0.25</v>
      </c>
      <c r="U38" s="52">
        <v>0.25</v>
      </c>
      <c r="V38" s="52">
        <v>0.25</v>
      </c>
      <c r="W38" s="52">
        <v>0.25</v>
      </c>
      <c r="X38" s="52">
        <v>0.25</v>
      </c>
      <c r="Y38" s="52">
        <v>0.25</v>
      </c>
      <c r="Z38" s="52">
        <v>0.25</v>
      </c>
      <c r="AA38" s="52">
        <v>0.25</v>
      </c>
      <c r="AB38" s="52">
        <v>0.25</v>
      </c>
      <c r="AC38" s="52">
        <v>0.25</v>
      </c>
    </row>
    <row r="39" spans="1:30" x14ac:dyDescent="0.35">
      <c r="A39" s="11" t="s">
        <v>3</v>
      </c>
      <c r="B39" s="74">
        <v>63930</v>
      </c>
      <c r="C39" s="74">
        <v>66288</v>
      </c>
      <c r="D39" s="1">
        <f t="shared" ref="D39:AC39" si="5">D37*D38</f>
        <v>761.73769124617115</v>
      </c>
      <c r="E39" s="1">
        <f t="shared" si="5"/>
        <v>761.67374313322227</v>
      </c>
      <c r="F39" s="1">
        <f t="shared" si="5"/>
        <v>786.89096199450012</v>
      </c>
      <c r="G39" s="1">
        <f t="shared" si="5"/>
        <v>877.60200344664383</v>
      </c>
      <c r="H39" s="1">
        <f t="shared" si="5"/>
        <v>908.55741956821635</v>
      </c>
      <c r="I39" s="1">
        <f t="shared" si="5"/>
        <v>975.73825184205839</v>
      </c>
      <c r="J39" s="1">
        <f t="shared" si="5"/>
        <v>1047.4837115363273</v>
      </c>
      <c r="K39" s="1">
        <f t="shared" si="5"/>
        <v>1131.2824084592335</v>
      </c>
      <c r="L39" s="1">
        <f t="shared" si="5"/>
        <v>1199.1593529667875</v>
      </c>
      <c r="M39" s="1">
        <f t="shared" si="5"/>
        <v>1259.117320615127</v>
      </c>
      <c r="N39" s="1">
        <f t="shared" si="5"/>
        <v>1309.4820134397321</v>
      </c>
      <c r="O39" s="1">
        <f t="shared" si="5"/>
        <v>1355.3138839101225</v>
      </c>
      <c r="P39" s="1">
        <f t="shared" si="5"/>
        <v>1402.7498698469767</v>
      </c>
      <c r="Q39" s="1">
        <f t="shared" si="5"/>
        <v>1451.8461152916209</v>
      </c>
      <c r="R39" s="1">
        <f t="shared" si="5"/>
        <v>1502.6607293268275</v>
      </c>
      <c r="S39" s="1">
        <f t="shared" si="5"/>
        <v>1555.2538548532664</v>
      </c>
      <c r="T39" s="1">
        <f t="shared" si="5"/>
        <v>1609.6877397731305</v>
      </c>
      <c r="U39" s="1">
        <f t="shared" si="5"/>
        <v>1666.0268106651899</v>
      </c>
      <c r="V39" s="1">
        <f t="shared" si="5"/>
        <v>1724.3377490384714</v>
      </c>
      <c r="W39" s="1">
        <f t="shared" si="5"/>
        <v>1784.6895702548177</v>
      </c>
      <c r="X39" s="1">
        <f t="shared" si="5"/>
        <v>1847.1537052137362</v>
      </c>
      <c r="Y39" s="1">
        <f t="shared" si="5"/>
        <v>1911.8040848962169</v>
      </c>
      <c r="Z39" s="1">
        <f t="shared" si="5"/>
        <v>1978.7172278675844</v>
      </c>
      <c r="AA39" s="1">
        <f t="shared" si="5"/>
        <v>2047.9723308429498</v>
      </c>
      <c r="AB39" s="1">
        <f t="shared" si="5"/>
        <v>2119.6513624224526</v>
      </c>
      <c r="AC39" s="1">
        <f t="shared" si="5"/>
        <v>2193.8391601072385</v>
      </c>
    </row>
    <row r="40" spans="1:30" x14ac:dyDescent="0.35">
      <c r="A40" s="11" t="s">
        <v>21</v>
      </c>
      <c r="B40" s="74">
        <f>OP!H34</f>
        <v>0</v>
      </c>
      <c r="C40" s="74">
        <f>OP!H35</f>
        <v>0</v>
      </c>
      <c r="D40" s="1">
        <v>11000</v>
      </c>
      <c r="E40" s="1">
        <f>D40*(1+E36*$H$59)</f>
        <v>11374</v>
      </c>
      <c r="F40" s="1">
        <f>E40*(1+F36*$H$59)</f>
        <v>12454.529999999999</v>
      </c>
      <c r="G40" s="1">
        <f>F40*(1+G36*$H$59)</f>
        <v>13637.710349999998</v>
      </c>
      <c r="H40" s="1">
        <f>G40*(1+H36*$H$59)</f>
        <v>14933.292833249998</v>
      </c>
      <c r="I40" s="1">
        <f t="shared" ref="I40:AC40" si="6">H40*(1+I36*$I$59)</f>
        <v>16351.955652408747</v>
      </c>
      <c r="J40" s="1">
        <f t="shared" si="6"/>
        <v>17905.391439387578</v>
      </c>
      <c r="K40" s="1">
        <f t="shared" si="6"/>
        <v>19337.822754538585</v>
      </c>
      <c r="L40" s="1">
        <f t="shared" si="6"/>
        <v>20498.092119810903</v>
      </c>
      <c r="M40" s="1">
        <f t="shared" si="6"/>
        <v>21522.996725801448</v>
      </c>
      <c r="N40" s="1">
        <f t="shared" si="6"/>
        <v>22383.916594833507</v>
      </c>
      <c r="O40" s="1">
        <f t="shared" si="6"/>
        <v>23167.353675652677</v>
      </c>
      <c r="P40" s="1">
        <f t="shared" si="6"/>
        <v>23978.211054300518</v>
      </c>
      <c r="Q40" s="1">
        <f t="shared" si="6"/>
        <v>24817.448441201035</v>
      </c>
      <c r="R40" s="1">
        <f t="shared" si="6"/>
        <v>25686.059136643071</v>
      </c>
      <c r="S40" s="1">
        <f t="shared" si="6"/>
        <v>26585.071206425575</v>
      </c>
      <c r="T40" s="1">
        <f t="shared" si="6"/>
        <v>27515.548698650469</v>
      </c>
      <c r="U40" s="1">
        <f t="shared" si="6"/>
        <v>28478.592903103232</v>
      </c>
      <c r="V40" s="1">
        <f t="shared" si="6"/>
        <v>29475.343654711844</v>
      </c>
      <c r="W40" s="1">
        <f t="shared" si="6"/>
        <v>30506.980682626756</v>
      </c>
      <c r="X40" s="1">
        <f t="shared" si="6"/>
        <v>31574.725006518689</v>
      </c>
      <c r="Y40" s="1">
        <f t="shared" si="6"/>
        <v>32679.840381746839</v>
      </c>
      <c r="Z40" s="1">
        <f t="shared" si="6"/>
        <v>33823.634795107973</v>
      </c>
      <c r="AA40" s="1">
        <f t="shared" si="6"/>
        <v>35007.462012936747</v>
      </c>
      <c r="AB40" s="1">
        <f t="shared" si="6"/>
        <v>36232.723183389528</v>
      </c>
      <c r="AC40" s="1">
        <f t="shared" si="6"/>
        <v>37500.868494808157</v>
      </c>
      <c r="AD40" s="1"/>
    </row>
    <row r="41" spans="1:30" s="7" customFormat="1" x14ac:dyDescent="0.35">
      <c r="A41" s="14" t="s">
        <v>22</v>
      </c>
      <c r="B41" s="74">
        <f>+B39+B40</f>
        <v>63930</v>
      </c>
      <c r="C41" s="74">
        <f>+C39+C40</f>
        <v>66288</v>
      </c>
      <c r="D41" s="1">
        <f>D39+D40</f>
        <v>11761.737691246171</v>
      </c>
      <c r="E41" s="1">
        <f t="shared" ref="E41:AC41" si="7">E39+E40</f>
        <v>12135.673743133222</v>
      </c>
      <c r="F41" s="1">
        <f t="shared" si="7"/>
        <v>13241.4209619945</v>
      </c>
      <c r="G41" s="1">
        <f t="shared" si="7"/>
        <v>14515.312353446641</v>
      </c>
      <c r="H41" s="1">
        <f t="shared" si="7"/>
        <v>15841.850252818214</v>
      </c>
      <c r="I41" s="1">
        <f t="shared" si="7"/>
        <v>17327.693904250806</v>
      </c>
      <c r="J41" s="1">
        <f t="shared" si="7"/>
        <v>18952.875150923905</v>
      </c>
      <c r="K41" s="1">
        <f t="shared" si="7"/>
        <v>20469.105162997817</v>
      </c>
      <c r="L41" s="1">
        <f t="shared" si="7"/>
        <v>21697.251472777691</v>
      </c>
      <c r="M41" s="1">
        <f t="shared" si="7"/>
        <v>22782.114046416573</v>
      </c>
      <c r="N41" s="1">
        <f t="shared" si="7"/>
        <v>23693.398608273237</v>
      </c>
      <c r="O41" s="1">
        <f t="shared" si="7"/>
        <v>24522.6675595628</v>
      </c>
      <c r="P41" s="1">
        <f t="shared" si="7"/>
        <v>25380.960924147494</v>
      </c>
      <c r="Q41" s="1">
        <f t="shared" si="7"/>
        <v>26269.294556492656</v>
      </c>
      <c r="R41" s="1">
        <f t="shared" si="7"/>
        <v>27188.719865969899</v>
      </c>
      <c r="S41" s="1">
        <f t="shared" si="7"/>
        <v>28140.32506127884</v>
      </c>
      <c r="T41" s="1">
        <f t="shared" si="7"/>
        <v>29125.236438423599</v>
      </c>
      <c r="U41" s="1">
        <f t="shared" si="7"/>
        <v>30144.619713768421</v>
      </c>
      <c r="V41" s="1">
        <f t="shared" si="7"/>
        <v>31199.681403750314</v>
      </c>
      <c r="W41" s="1">
        <f t="shared" si="7"/>
        <v>32291.670252881573</v>
      </c>
      <c r="X41" s="1">
        <f t="shared" si="7"/>
        <v>33421.878711732425</v>
      </c>
      <c r="Y41" s="1">
        <f t="shared" si="7"/>
        <v>34591.644466643054</v>
      </c>
      <c r="Z41" s="1">
        <f t="shared" si="7"/>
        <v>35802.35202297556</v>
      </c>
      <c r="AA41" s="1">
        <f t="shared" si="7"/>
        <v>37055.4343437797</v>
      </c>
      <c r="AB41" s="1">
        <f t="shared" si="7"/>
        <v>38352.374545811981</v>
      </c>
      <c r="AC41" s="1">
        <f t="shared" si="7"/>
        <v>39694.707654915394</v>
      </c>
    </row>
    <row r="42" spans="1:30" s="19" customFormat="1" x14ac:dyDescent="0.35">
      <c r="A42" s="32" t="s">
        <v>178</v>
      </c>
      <c r="B42" s="33">
        <v>-1385</v>
      </c>
      <c r="C42" s="33">
        <v>-890</v>
      </c>
      <c r="D42" s="33">
        <f t="shared" ref="D42:AC42" si="8">(C48)*$H$60</f>
        <v>-1124.3600000000001</v>
      </c>
      <c r="E42" s="33">
        <f t="shared" si="8"/>
        <v>-1113.1164000000001</v>
      </c>
      <c r="F42" s="33">
        <f t="shared" si="8"/>
        <v>-1113.1164000000001</v>
      </c>
      <c r="G42" s="33">
        <f t="shared" si="8"/>
        <v>-1113.1164000000001</v>
      </c>
      <c r="H42" s="33">
        <f t="shared" si="8"/>
        <v>-1113.1164000000001</v>
      </c>
      <c r="I42" s="33">
        <f t="shared" si="8"/>
        <v>-1113.1164000000001</v>
      </c>
      <c r="J42" s="33">
        <f t="shared" si="8"/>
        <v>-1113.1164000000001</v>
      </c>
      <c r="K42" s="33">
        <f t="shared" si="8"/>
        <v>-1113.1164000000001</v>
      </c>
      <c r="L42" s="33">
        <f t="shared" si="8"/>
        <v>-1113.1164000000001</v>
      </c>
      <c r="M42" s="33">
        <f t="shared" si="8"/>
        <v>-1113.1164000000001</v>
      </c>
      <c r="N42" s="33">
        <f t="shared" si="8"/>
        <v>-1113.1164000000001</v>
      </c>
      <c r="O42" s="33">
        <f t="shared" si="8"/>
        <v>-1113.1164000000001</v>
      </c>
      <c r="P42" s="33">
        <f t="shared" si="8"/>
        <v>-1113.1164000000001</v>
      </c>
      <c r="Q42" s="33">
        <f t="shared" si="8"/>
        <v>-1113.1164000000001</v>
      </c>
      <c r="R42" s="33">
        <f t="shared" si="8"/>
        <v>-1113.1164000000001</v>
      </c>
      <c r="S42" s="33">
        <f t="shared" si="8"/>
        <v>-1113.1164000000001</v>
      </c>
      <c r="T42" s="33">
        <f t="shared" si="8"/>
        <v>-1113.1164000000001</v>
      </c>
      <c r="U42" s="33">
        <f t="shared" si="8"/>
        <v>-1113.1164000000001</v>
      </c>
      <c r="V42" s="33">
        <f t="shared" si="8"/>
        <v>-1113.1164000000001</v>
      </c>
      <c r="W42" s="33">
        <f t="shared" si="8"/>
        <v>-1113.1164000000001</v>
      </c>
      <c r="X42" s="33">
        <f t="shared" si="8"/>
        <v>-1113.1164000000001</v>
      </c>
      <c r="Y42" s="33">
        <f t="shared" si="8"/>
        <v>-1113.1164000000001</v>
      </c>
      <c r="Z42" s="33">
        <f t="shared" si="8"/>
        <v>-1113.1164000000001</v>
      </c>
      <c r="AA42" s="33">
        <f t="shared" si="8"/>
        <v>-1113.1164000000001</v>
      </c>
      <c r="AB42" s="33">
        <f t="shared" si="8"/>
        <v>-1113.1164000000001</v>
      </c>
      <c r="AC42" s="33">
        <f t="shared" si="8"/>
        <v>-1113.1164000000001</v>
      </c>
    </row>
    <row r="43" spans="1:30" x14ac:dyDescent="0.35">
      <c r="A43" s="14" t="s">
        <v>23</v>
      </c>
      <c r="B43" s="74">
        <f>-422-2817</f>
        <v>-3239</v>
      </c>
      <c r="C43" s="74">
        <f>87-3634</f>
        <v>-3547</v>
      </c>
      <c r="D43" s="1">
        <f>-C43*(1+D36)</f>
        <v>4788.4500000000007</v>
      </c>
      <c r="E43" s="1">
        <f>D43*(1+E36*0.5)</f>
        <v>4869.85365</v>
      </c>
      <c r="F43" s="1">
        <f t="shared" ref="F43:AC43" si="9">E43*(1+F36*0.5)</f>
        <v>5101.1716983750002</v>
      </c>
      <c r="G43" s="1">
        <f t="shared" si="9"/>
        <v>5343.4773540478136</v>
      </c>
      <c r="H43" s="1">
        <f t="shared" si="9"/>
        <v>5597.2925283650857</v>
      </c>
      <c r="I43" s="1">
        <f t="shared" si="9"/>
        <v>5863.1639234624281</v>
      </c>
      <c r="J43" s="1">
        <f t="shared" si="9"/>
        <v>6141.664209826894</v>
      </c>
      <c r="K43" s="1">
        <f t="shared" si="9"/>
        <v>6387.3307782199699</v>
      </c>
      <c r="L43" s="1">
        <f t="shared" si="9"/>
        <v>6578.9507015665695</v>
      </c>
      <c r="M43" s="1">
        <f t="shared" si="9"/>
        <v>6743.4244691057329</v>
      </c>
      <c r="N43" s="1">
        <f t="shared" si="9"/>
        <v>6878.2929584878475</v>
      </c>
      <c r="O43" s="1">
        <f t="shared" si="9"/>
        <v>6998.6630852613853</v>
      </c>
      <c r="P43" s="1">
        <f t="shared" si="9"/>
        <v>7121.1396892534603</v>
      </c>
      <c r="Q43" s="1">
        <f t="shared" si="9"/>
        <v>7245.7596338153962</v>
      </c>
      <c r="R43" s="1">
        <f t="shared" si="9"/>
        <v>7372.5604274071666</v>
      </c>
      <c r="S43" s="1">
        <f t="shared" si="9"/>
        <v>7501.5802348867928</v>
      </c>
      <c r="T43" s="1">
        <f t="shared" si="9"/>
        <v>7632.8578889973123</v>
      </c>
      <c r="U43" s="1">
        <f t="shared" si="9"/>
        <v>7766.4329020547657</v>
      </c>
      <c r="V43" s="1">
        <f t="shared" si="9"/>
        <v>7902.3454778407249</v>
      </c>
      <c r="W43" s="1">
        <f t="shared" si="9"/>
        <v>8040.6365237029386</v>
      </c>
      <c r="X43" s="1">
        <f t="shared" si="9"/>
        <v>8181.3476628677408</v>
      </c>
      <c r="Y43" s="1">
        <f t="shared" si="9"/>
        <v>8324.5212469679263</v>
      </c>
      <c r="Z43" s="1">
        <f t="shared" si="9"/>
        <v>8470.200368789865</v>
      </c>
      <c r="AA43" s="1">
        <f t="shared" si="9"/>
        <v>8618.4288752436878</v>
      </c>
      <c r="AB43" s="1">
        <f t="shared" si="9"/>
        <v>8769.2513805604522</v>
      </c>
      <c r="AC43" s="1">
        <f t="shared" si="9"/>
        <v>8922.7132797202612</v>
      </c>
    </row>
    <row r="44" spans="1:30" x14ac:dyDescent="0.35">
      <c r="A44" s="14" t="s">
        <v>18</v>
      </c>
      <c r="B44" s="74">
        <f>B39-B42-B43</f>
        <v>68554</v>
      </c>
      <c r="C44" s="74">
        <f>C39-C42-C43</f>
        <v>70725</v>
      </c>
      <c r="D44" s="1">
        <f>D39-D42-D43</f>
        <v>-2902.3523087538297</v>
      </c>
      <c r="E44" s="1">
        <f t="shared" ref="E44:AC44" si="10">E39-E42-E43</f>
        <v>-2995.0635068667775</v>
      </c>
      <c r="F44" s="1">
        <f t="shared" si="10"/>
        <v>-3201.1643363805001</v>
      </c>
      <c r="G44" s="1">
        <f t="shared" si="10"/>
        <v>-3352.7589506011695</v>
      </c>
      <c r="H44" s="1">
        <f t="shared" si="10"/>
        <v>-3575.6187087968692</v>
      </c>
      <c r="I44" s="1">
        <f t="shared" si="10"/>
        <v>-3774.3092716203696</v>
      </c>
      <c r="J44" s="1">
        <f t="shared" si="10"/>
        <v>-3981.0640982905666</v>
      </c>
      <c r="K44" s="1">
        <f t="shared" si="10"/>
        <v>-4142.9319697607361</v>
      </c>
      <c r="L44" s="1">
        <f t="shared" si="10"/>
        <v>-4266.6749485997816</v>
      </c>
      <c r="M44" s="1">
        <f t="shared" si="10"/>
        <v>-4371.190748490606</v>
      </c>
      <c r="N44" s="1">
        <f t="shared" si="10"/>
        <v>-4455.6945450481153</v>
      </c>
      <c r="O44" s="1">
        <f t="shared" si="10"/>
        <v>-4530.2328013512624</v>
      </c>
      <c r="P44" s="1">
        <f t="shared" si="10"/>
        <v>-4605.2734194064833</v>
      </c>
      <c r="Q44" s="1">
        <f t="shared" si="10"/>
        <v>-4680.7971185237748</v>
      </c>
      <c r="R44" s="1">
        <f t="shared" si="10"/>
        <v>-4756.7832980803387</v>
      </c>
      <c r="S44" s="1">
        <f t="shared" si="10"/>
        <v>-4833.2099800335263</v>
      </c>
      <c r="T44" s="1">
        <f t="shared" si="10"/>
        <v>-4910.053749224182</v>
      </c>
      <c r="U44" s="1">
        <f t="shared" si="10"/>
        <v>-4987.2896913895756</v>
      </c>
      <c r="V44" s="1">
        <f t="shared" si="10"/>
        <v>-5064.8913288022532</v>
      </c>
      <c r="W44" s="1">
        <f t="shared" si="10"/>
        <v>-5142.8305534481206</v>
      </c>
      <c r="X44" s="1">
        <f t="shared" si="10"/>
        <v>-5221.0775576540045</v>
      </c>
      <c r="Y44" s="1">
        <f t="shared" si="10"/>
        <v>-5299.6007620717091</v>
      </c>
      <c r="Z44" s="1">
        <f t="shared" si="10"/>
        <v>-5378.3667409222808</v>
      </c>
      <c r="AA44" s="1">
        <f t="shared" si="10"/>
        <v>-5457.3401444007377</v>
      </c>
      <c r="AB44" s="1">
        <f t="shared" si="10"/>
        <v>-5536.4836181379997</v>
      </c>
      <c r="AC44" s="1">
        <f t="shared" si="10"/>
        <v>-5615.7577196130223</v>
      </c>
    </row>
    <row r="45" spans="1:30" x14ac:dyDescent="0.35">
      <c r="A45" s="14" t="s">
        <v>11</v>
      </c>
      <c r="B45" s="74">
        <v>10481</v>
      </c>
      <c r="C45" s="74">
        <v>9680</v>
      </c>
      <c r="D45" s="1">
        <f>$H$61*D44</f>
        <v>-609.49398483830419</v>
      </c>
      <c r="E45" s="1">
        <f>$H$61*E44</f>
        <v>-628.96333644202321</v>
      </c>
      <c r="F45" s="1">
        <f>$H$61*F44</f>
        <v>-672.244510639905</v>
      </c>
      <c r="G45" s="1">
        <f t="shared" ref="G45:AC45" si="11">$I$61*G44</f>
        <v>-771.13455863826903</v>
      </c>
      <c r="H45" s="1">
        <f t="shared" si="11"/>
        <v>-822.39230302327996</v>
      </c>
      <c r="I45" s="1">
        <f t="shared" si="11"/>
        <v>-868.09113247268499</v>
      </c>
      <c r="J45" s="1">
        <f t="shared" si="11"/>
        <v>-915.64474260683039</v>
      </c>
      <c r="K45" s="1">
        <f t="shared" si="11"/>
        <v>-952.87435304496933</v>
      </c>
      <c r="L45" s="1">
        <f t="shared" si="11"/>
        <v>-981.3352381779498</v>
      </c>
      <c r="M45" s="1">
        <f t="shared" si="11"/>
        <v>-1005.3738721528395</v>
      </c>
      <c r="N45" s="1">
        <f t="shared" si="11"/>
        <v>-1024.8097453610665</v>
      </c>
      <c r="O45" s="1">
        <f t="shared" si="11"/>
        <v>-1041.9535443107904</v>
      </c>
      <c r="P45" s="1">
        <f t="shared" si="11"/>
        <v>-1059.2128864634913</v>
      </c>
      <c r="Q45" s="1">
        <f t="shared" si="11"/>
        <v>-1076.5833372604682</v>
      </c>
      <c r="R45" s="1">
        <f t="shared" si="11"/>
        <v>-1094.060158558478</v>
      </c>
      <c r="S45" s="1">
        <f t="shared" si="11"/>
        <v>-1111.6382954077112</v>
      </c>
      <c r="T45" s="1">
        <f t="shared" si="11"/>
        <v>-1129.312362321562</v>
      </c>
      <c r="U45" s="1">
        <f t="shared" si="11"/>
        <v>-1147.0766290196025</v>
      </c>
      <c r="V45" s="1">
        <f t="shared" si="11"/>
        <v>-1164.9250056245182</v>
      </c>
      <c r="W45" s="1">
        <f t="shared" si="11"/>
        <v>-1182.8510272930678</v>
      </c>
      <c r="X45" s="1">
        <f t="shared" si="11"/>
        <v>-1200.847838260421</v>
      </c>
      <c r="Y45" s="1">
        <f t="shared" si="11"/>
        <v>-1218.9081752764932</v>
      </c>
      <c r="Z45" s="1">
        <f t="shared" si="11"/>
        <v>-1237.0243504121247</v>
      </c>
      <c r="AA45" s="1">
        <f t="shared" si="11"/>
        <v>-1255.1882332121697</v>
      </c>
      <c r="AB45" s="1">
        <f t="shared" si="11"/>
        <v>-1273.3912321717401</v>
      </c>
      <c r="AC45" s="1">
        <f t="shared" si="11"/>
        <v>-1291.6242755109952</v>
      </c>
    </row>
    <row r="46" spans="1:30" x14ac:dyDescent="0.35">
      <c r="A46" s="14" t="s">
        <v>41</v>
      </c>
      <c r="B46" s="74">
        <f t="shared" ref="B46:AC46" si="12">B44-B45</f>
        <v>58073</v>
      </c>
      <c r="C46" s="74">
        <f t="shared" si="12"/>
        <v>61045</v>
      </c>
      <c r="D46" s="21">
        <f>D44-D45</f>
        <v>-2292.8583239155255</v>
      </c>
      <c r="E46" s="21">
        <f t="shared" si="12"/>
        <v>-2366.1001704247542</v>
      </c>
      <c r="F46" s="21">
        <f t="shared" si="12"/>
        <v>-2528.9198257405951</v>
      </c>
      <c r="G46" s="21">
        <f t="shared" si="12"/>
        <v>-2581.6243919629005</v>
      </c>
      <c r="H46" s="21">
        <f t="shared" si="12"/>
        <v>-2753.2264057735892</v>
      </c>
      <c r="I46" s="21">
        <f t="shared" si="12"/>
        <v>-2906.2181391476847</v>
      </c>
      <c r="J46" s="21">
        <f t="shared" si="12"/>
        <v>-3065.4193556837363</v>
      </c>
      <c r="K46" s="21">
        <f t="shared" si="12"/>
        <v>-3190.0576167157669</v>
      </c>
      <c r="L46" s="21">
        <f t="shared" si="12"/>
        <v>-3285.339710421832</v>
      </c>
      <c r="M46" s="21">
        <f t="shared" si="12"/>
        <v>-3365.8168763377666</v>
      </c>
      <c r="N46" s="21">
        <f t="shared" si="12"/>
        <v>-3430.8847996870491</v>
      </c>
      <c r="O46" s="21">
        <f t="shared" si="12"/>
        <v>-3488.2792570404717</v>
      </c>
      <c r="P46" s="21">
        <f t="shared" si="12"/>
        <v>-3546.0605329429918</v>
      </c>
      <c r="Q46" s="21">
        <f t="shared" si="12"/>
        <v>-3604.2137812633064</v>
      </c>
      <c r="R46" s="21">
        <f t="shared" si="12"/>
        <v>-3662.7231395218605</v>
      </c>
      <c r="S46" s="21">
        <f t="shared" si="12"/>
        <v>-3721.5716846258151</v>
      </c>
      <c r="T46" s="21">
        <f t="shared" si="12"/>
        <v>-3780.74138690262</v>
      </c>
      <c r="U46" s="21">
        <f t="shared" si="12"/>
        <v>-3840.2130623699732</v>
      </c>
      <c r="V46" s="21">
        <f t="shared" si="12"/>
        <v>-3899.9663231777349</v>
      </c>
      <c r="W46" s="21">
        <f t="shared" si="12"/>
        <v>-3959.9795261550526</v>
      </c>
      <c r="X46" s="21">
        <f t="shared" si="12"/>
        <v>-4020.2297193935838</v>
      </c>
      <c r="Y46" s="21">
        <f t="shared" si="12"/>
        <v>-4080.6925867952159</v>
      </c>
      <c r="Z46" s="21">
        <f t="shared" si="12"/>
        <v>-4141.3423905101563</v>
      </c>
      <c r="AA46" s="21">
        <f t="shared" si="12"/>
        <v>-4202.1519111885682</v>
      </c>
      <c r="AB46" s="21">
        <f t="shared" si="12"/>
        <v>-4263.0923859662598</v>
      </c>
      <c r="AC46" s="21">
        <f t="shared" si="12"/>
        <v>-4324.1334441020272</v>
      </c>
    </row>
    <row r="47" spans="1:30" x14ac:dyDescent="0.35">
      <c r="A47" s="133" t="s">
        <v>182</v>
      </c>
      <c r="B47" s="74">
        <f>OP!I34</f>
        <v>0</v>
      </c>
      <c r="C47" s="74">
        <f>OP!I35</f>
        <v>0</v>
      </c>
      <c r="D47" s="1">
        <v>10000</v>
      </c>
      <c r="E47" s="1">
        <f t="shared" ref="E47:AC47" si="13">D47*(1+E36*$H$62)</f>
        <v>10408</v>
      </c>
      <c r="F47" s="1">
        <f t="shared" si="13"/>
        <v>11594.511999999999</v>
      </c>
      <c r="G47" s="1">
        <f t="shared" si="13"/>
        <v>12916.286367999997</v>
      </c>
      <c r="H47" s="1">
        <f t="shared" si="13"/>
        <v>14388.743013951995</v>
      </c>
      <c r="I47" s="1">
        <f t="shared" si="13"/>
        <v>16029.059717542521</v>
      </c>
      <c r="J47" s="1">
        <f t="shared" si="13"/>
        <v>17856.372525342365</v>
      </c>
      <c r="K47" s="1">
        <f t="shared" si="13"/>
        <v>19570.584287775233</v>
      </c>
      <c r="L47" s="1">
        <f t="shared" si="13"/>
        <v>20979.66635649505</v>
      </c>
      <c r="M47" s="1">
        <f t="shared" si="13"/>
        <v>22238.446337884754</v>
      </c>
      <c r="N47" s="1">
        <f t="shared" si="13"/>
        <v>23305.891762103223</v>
      </c>
      <c r="O47" s="1">
        <f t="shared" si="13"/>
        <v>24284.73921611156</v>
      </c>
      <c r="P47" s="1">
        <f t="shared" si="13"/>
        <v>25304.698263188246</v>
      </c>
      <c r="Q47" s="1">
        <f t="shared" si="13"/>
        <v>26367.495590242153</v>
      </c>
      <c r="R47" s="1">
        <f t="shared" si="13"/>
        <v>27474.930405032326</v>
      </c>
      <c r="S47" s="1">
        <f t="shared" si="13"/>
        <v>28628.877482043685</v>
      </c>
      <c r="T47" s="1">
        <f t="shared" si="13"/>
        <v>29831.290336289519</v>
      </c>
      <c r="U47" s="1">
        <f t="shared" si="13"/>
        <v>31084.204530413681</v>
      </c>
      <c r="V47" s="1">
        <f t="shared" si="13"/>
        <v>32389.741120691058</v>
      </c>
      <c r="W47" s="1">
        <f t="shared" si="13"/>
        <v>33750.110247760087</v>
      </c>
      <c r="X47" s="1">
        <f t="shared" si="13"/>
        <v>35167.614878166009</v>
      </c>
      <c r="Y47" s="1">
        <f t="shared" si="13"/>
        <v>36644.654703048982</v>
      </c>
      <c r="Z47" s="1">
        <f t="shared" si="13"/>
        <v>38183.73020057704</v>
      </c>
      <c r="AA47" s="1">
        <f t="shared" si="13"/>
        <v>39787.44686900128</v>
      </c>
      <c r="AB47" s="1">
        <f t="shared" si="13"/>
        <v>41458.519637499332</v>
      </c>
      <c r="AC47" s="1">
        <f t="shared" si="13"/>
        <v>43199.777462274309</v>
      </c>
    </row>
    <row r="48" spans="1:30" s="19" customFormat="1" x14ac:dyDescent="0.35">
      <c r="A48" s="32" t="s">
        <v>267</v>
      </c>
      <c r="B48" s="33">
        <v>108047</v>
      </c>
      <c r="C48" s="33">
        <v>112436</v>
      </c>
      <c r="D48" s="33">
        <f>C48*0.99</f>
        <v>111311.64</v>
      </c>
      <c r="E48" s="33">
        <f>D48</f>
        <v>111311.64</v>
      </c>
      <c r="F48" s="33">
        <f t="shared" ref="F48:AC48" si="14">E48</f>
        <v>111311.64</v>
      </c>
      <c r="G48" s="33">
        <f t="shared" si="14"/>
        <v>111311.64</v>
      </c>
      <c r="H48" s="33">
        <f t="shared" si="14"/>
        <v>111311.64</v>
      </c>
      <c r="I48" s="33">
        <f t="shared" si="14"/>
        <v>111311.64</v>
      </c>
      <c r="J48" s="33">
        <f t="shared" si="14"/>
        <v>111311.64</v>
      </c>
      <c r="K48" s="33">
        <f t="shared" si="14"/>
        <v>111311.64</v>
      </c>
      <c r="L48" s="33">
        <f t="shared" si="14"/>
        <v>111311.64</v>
      </c>
      <c r="M48" s="33">
        <f t="shared" si="14"/>
        <v>111311.64</v>
      </c>
      <c r="N48" s="33">
        <f t="shared" si="14"/>
        <v>111311.64</v>
      </c>
      <c r="O48" s="33">
        <f t="shared" si="14"/>
        <v>111311.64</v>
      </c>
      <c r="P48" s="33">
        <f t="shared" si="14"/>
        <v>111311.64</v>
      </c>
      <c r="Q48" s="33">
        <f t="shared" si="14"/>
        <v>111311.64</v>
      </c>
      <c r="R48" s="33">
        <f t="shared" si="14"/>
        <v>111311.64</v>
      </c>
      <c r="S48" s="33">
        <f t="shared" si="14"/>
        <v>111311.64</v>
      </c>
      <c r="T48" s="33">
        <f t="shared" si="14"/>
        <v>111311.64</v>
      </c>
      <c r="U48" s="33">
        <f t="shared" si="14"/>
        <v>111311.64</v>
      </c>
      <c r="V48" s="33">
        <f t="shared" si="14"/>
        <v>111311.64</v>
      </c>
      <c r="W48" s="33">
        <f t="shared" si="14"/>
        <v>111311.64</v>
      </c>
      <c r="X48" s="33">
        <f t="shared" si="14"/>
        <v>111311.64</v>
      </c>
      <c r="Y48" s="33">
        <f t="shared" si="14"/>
        <v>111311.64</v>
      </c>
      <c r="Z48" s="33">
        <f t="shared" si="14"/>
        <v>111311.64</v>
      </c>
      <c r="AA48" s="33">
        <f t="shared" si="14"/>
        <v>111311.64</v>
      </c>
      <c r="AB48" s="33">
        <f t="shared" si="14"/>
        <v>111311.64</v>
      </c>
      <c r="AC48" s="33">
        <f t="shared" si="14"/>
        <v>111311.64</v>
      </c>
    </row>
    <row r="49" spans="1:29" s="19" customFormat="1" x14ac:dyDescent="0.35">
      <c r="A49" s="14" t="s">
        <v>180</v>
      </c>
      <c r="B49" s="138">
        <f>B48/B41</f>
        <v>1.6900829031753479</v>
      </c>
      <c r="C49" s="138">
        <f t="shared" ref="C49:E49" si="15">C48/C41</f>
        <v>1.6961742698527638</v>
      </c>
      <c r="D49" s="139">
        <f t="shared" si="15"/>
        <v>9.4638771006468847</v>
      </c>
      <c r="E49" s="139">
        <f t="shared" si="15"/>
        <v>9.1722670167351783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35">
      <c r="A50" s="14" t="s">
        <v>12</v>
      </c>
      <c r="B50" s="75">
        <f>OP!F34</f>
        <v>0</v>
      </c>
      <c r="C50" s="75">
        <f>OP!F35</f>
        <v>0</v>
      </c>
      <c r="D50" s="1">
        <f t="shared" ref="D50:AC50" si="16">D41-D42-D43-D45-D47+D48-C48</f>
        <v>-2417.2183239155274</v>
      </c>
      <c r="E50" s="1">
        <f t="shared" si="16"/>
        <v>-1400.1001704247465</v>
      </c>
      <c r="F50" s="1">
        <f t="shared" si="16"/>
        <v>-1668.9018257405987</v>
      </c>
      <c r="G50" s="1">
        <f t="shared" si="16"/>
        <v>-1860.2004099628975</v>
      </c>
      <c r="H50" s="1">
        <f t="shared" si="16"/>
        <v>-2208.6765864755871</v>
      </c>
      <c r="I50" s="1">
        <f t="shared" si="16"/>
        <v>-2583.3222042814596</v>
      </c>
      <c r="J50" s="1">
        <f t="shared" si="16"/>
        <v>-3016.4004416385287</v>
      </c>
      <c r="K50" s="1">
        <f t="shared" si="16"/>
        <v>-3422.819149952411</v>
      </c>
      <c r="L50" s="1">
        <f t="shared" si="16"/>
        <v>-3766.9139471059752</v>
      </c>
      <c r="M50" s="1">
        <f t="shared" si="16"/>
        <v>-4081.2664884210826</v>
      </c>
      <c r="N50" s="1">
        <f t="shared" si="16"/>
        <v>-4352.8599669567629</v>
      </c>
      <c r="O50" s="1">
        <f t="shared" si="16"/>
        <v>-4605.6647974993539</v>
      </c>
      <c r="P50" s="1">
        <f t="shared" si="16"/>
        <v>-4872.5477418307273</v>
      </c>
      <c r="Q50" s="1">
        <f t="shared" si="16"/>
        <v>-5154.2609303044301</v>
      </c>
      <c r="R50" s="1">
        <f t="shared" si="16"/>
        <v>-5451.5944079111214</v>
      </c>
      <c r="S50" s="1">
        <f t="shared" si="16"/>
        <v>-5765.3779602439317</v>
      </c>
      <c r="T50" s="1">
        <f t="shared" si="16"/>
        <v>-6096.4830245416815</v>
      </c>
      <c r="U50" s="1">
        <f t="shared" si="16"/>
        <v>-6445.8246896804194</v>
      </c>
      <c r="V50" s="1">
        <f t="shared" si="16"/>
        <v>-6814.3637891569524</v>
      </c>
      <c r="W50" s="1">
        <f t="shared" si="16"/>
        <v>-7203.109091288381</v>
      </c>
      <c r="X50" s="1">
        <f t="shared" si="16"/>
        <v>-7613.1195910409006</v>
      </c>
      <c r="Y50" s="1">
        <f t="shared" si="16"/>
        <v>-8045.5069080973626</v>
      </c>
      <c r="Z50" s="1">
        <f t="shared" si="16"/>
        <v>-8501.4377959792182</v>
      </c>
      <c r="AA50" s="1">
        <f t="shared" si="16"/>
        <v>-8982.1367672530905</v>
      </c>
      <c r="AB50" s="1">
        <f t="shared" si="16"/>
        <v>-9488.8888400760625</v>
      </c>
      <c r="AC50" s="1">
        <f t="shared" si="16"/>
        <v>-10023.042411568182</v>
      </c>
    </row>
    <row r="51" spans="1:29" x14ac:dyDescent="0.35">
      <c r="A51" s="14" t="s">
        <v>13</v>
      </c>
      <c r="B51" s="75">
        <v>0</v>
      </c>
      <c r="C51" s="75">
        <v>0</v>
      </c>
      <c r="D51" s="1">
        <f t="shared" ref="D51:AC51" si="17">C51*(1+$B$59)+D50</f>
        <v>-2417.2183239155274</v>
      </c>
      <c r="E51" s="1">
        <f t="shared" si="17"/>
        <v>-4017.9476152252628</v>
      </c>
      <c r="F51" s="1">
        <f t="shared" si="17"/>
        <v>-6020.3390930295582</v>
      </c>
      <c r="G51" s="1">
        <f t="shared" si="17"/>
        <v>-8380.2276477139094</v>
      </c>
      <c r="H51" s="1">
        <f t="shared" si="17"/>
        <v>-11284.46312894975</v>
      </c>
      <c r="I51" s="1">
        <f t="shared" si="17"/>
        <v>-14804.395772934038</v>
      </c>
      <c r="J51" s="1">
        <f t="shared" si="17"/>
        <v>-19049.561063726091</v>
      </c>
      <c r="K51" s="1">
        <f t="shared" si="17"/>
        <v>-24053.493781967765</v>
      </c>
      <c r="L51" s="1">
        <f t="shared" si="17"/>
        <v>-29816.847712977065</v>
      </c>
      <c r="M51" s="1">
        <f t="shared" si="17"/>
        <v>-36372.912561575242</v>
      </c>
      <c r="N51" s="1">
        <f t="shared" si="17"/>
        <v>-43744.724271142746</v>
      </c>
      <c r="O51" s="1">
        <f t="shared" si="17"/>
        <v>-51981.20118314695</v>
      </c>
      <c r="P51" s="1">
        <f t="shared" si="17"/>
        <v>-61168.188623178874</v>
      </c>
      <c r="Q51" s="1">
        <f t="shared" si="17"/>
        <v>-71399.409209207151</v>
      </c>
      <c r="R51" s="1">
        <f t="shared" si="17"/>
        <v>-82777.154581482464</v>
      </c>
      <c r="S51" s="1">
        <f t="shared" si="17"/>
        <v>-95413.036371989438</v>
      </c>
      <c r="T51" s="1">
        <f t="shared" si="17"/>
        <v>-109428.80141540624</v>
      </c>
      <c r="U51" s="1">
        <f t="shared" si="17"/>
        <v>-124957.21662256538</v>
      </c>
      <c r="V51" s="1">
        <f t="shared" si="17"/>
        <v>-142143.02939139525</v>
      </c>
      <c r="W51" s="1">
        <f t="shared" si="17"/>
        <v>-161144.00992216944</v>
      </c>
      <c r="X51" s="1">
        <f t="shared" si="17"/>
        <v>-182132.08233675041</v>
      </c>
      <c r="Y51" s="1">
        <f t="shared" si="17"/>
        <v>-205294.55207879803</v>
      </c>
      <c r="Z51" s="1">
        <f t="shared" si="17"/>
        <v>-230835.43769731751</v>
      </c>
      <c r="AA51" s="1">
        <f t="shared" si="17"/>
        <v>-258976.91579344793</v>
      </c>
      <c r="AB51" s="1">
        <f t="shared" si="17"/>
        <v>-289960.88864438015</v>
      </c>
      <c r="AC51" s="1">
        <f t="shared" si="17"/>
        <v>-324050.68481343187</v>
      </c>
    </row>
    <row r="52" spans="1:29" x14ac:dyDescent="0.35">
      <c r="A52" s="14"/>
      <c r="B52" s="60"/>
      <c r="C52" s="60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>
        <f>AB51-AB48</f>
        <v>-401272.52864438016</v>
      </c>
      <c r="AC52" s="1">
        <f>AC50/(B59-AC36)</f>
        <v>-208813.38357433712</v>
      </c>
    </row>
    <row r="53" spans="1:29" x14ac:dyDescent="0.35">
      <c r="A53" s="76" t="s">
        <v>134</v>
      </c>
      <c r="B53" s="77"/>
      <c r="C53" s="84">
        <f>1000000*C46/OP!$C$8</f>
        <v>698056032.01829612</v>
      </c>
      <c r="D53" s="84">
        <f>1000000*D46/OP!$C$8</f>
        <v>-26219077.460440543</v>
      </c>
      <c r="E53" s="84">
        <f>1000000*E46/OP!$C$8</f>
        <v>-27056605.722409993</v>
      </c>
      <c r="F53" s="84">
        <f>1000000*F46/OP!$C$8</f>
        <v>-28918465.703151461</v>
      </c>
      <c r="G53" s="1"/>
      <c r="H53"/>
      <c r="I53"/>
      <c r="J5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35">
      <c r="A54" s="14" t="s">
        <v>153</v>
      </c>
      <c r="B54" s="1"/>
      <c r="C54" s="93">
        <v>3.3</v>
      </c>
      <c r="D54" s="93">
        <v>5.6</v>
      </c>
      <c r="E54" s="93">
        <v>5.6</v>
      </c>
      <c r="F54" s="79"/>
      <c r="G54" s="1"/>
      <c r="H54"/>
      <c r="I54"/>
      <c r="J5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35">
      <c r="A55" s="78" t="s">
        <v>135</v>
      </c>
      <c r="B55" s="21"/>
      <c r="C55" s="21"/>
      <c r="D55" s="61">
        <f>$B$61/D46</f>
        <v>36.249528374518256</v>
      </c>
      <c r="E55" s="61">
        <f>$B$61/E46</f>
        <v>35.12743623893391</v>
      </c>
      <c r="F55" s="79">
        <f>$B$61/F46</f>
        <v>32.865823592167835</v>
      </c>
      <c r="G55" s="1"/>
      <c r="H55"/>
      <c r="I55"/>
      <c r="J5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35">
      <c r="A56" s="80" t="s">
        <v>136</v>
      </c>
      <c r="B56" s="81"/>
      <c r="C56" s="81"/>
      <c r="D56" s="82">
        <f>($B$61+D48-D51)/D41</f>
        <v>2.6028318481523405</v>
      </c>
      <c r="E56" s="82">
        <f>($B$61+E48-E51)/E41</f>
        <v>2.6545336851962702</v>
      </c>
      <c r="F56" s="83">
        <f>($B$61+F48-F51)/F41</f>
        <v>2.5840841643591541</v>
      </c>
      <c r="G56" s="1"/>
      <c r="H56"/>
      <c r="I56"/>
      <c r="J56"/>
      <c r="K56" s="1"/>
      <c r="L56" s="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/>
      <c r="AC56"/>
    </row>
    <row r="57" spans="1:29" x14ac:dyDescent="0.35">
      <c r="A57" s="14"/>
      <c r="B57" s="1"/>
      <c r="C57" s="1"/>
      <c r="D57" s="61"/>
      <c r="E57" s="61"/>
      <c r="F57" s="6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/>
      <c r="AC57"/>
    </row>
    <row r="58" spans="1:29" ht="13.15" x14ac:dyDescent="0.4">
      <c r="A58" s="7"/>
      <c r="B58" s="21"/>
      <c r="C58" s="36" t="s">
        <v>54</v>
      </c>
      <c r="D58" s="36" t="s">
        <v>152</v>
      </c>
      <c r="E58" s="36" t="s">
        <v>112</v>
      </c>
      <c r="F58"/>
      <c r="G58"/>
      <c r="H58" s="36" t="s">
        <v>144</v>
      </c>
      <c r="I58" s="36" t="s">
        <v>145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15" x14ac:dyDescent="0.4">
      <c r="A59" s="38" t="s">
        <v>106</v>
      </c>
      <c r="B59" s="34">
        <f>SUM(C59:E59)</f>
        <v>8.3000000000000004E-2</v>
      </c>
      <c r="C59" s="35">
        <v>3.0700000000000002E-2</v>
      </c>
      <c r="D59" s="35">
        <v>5.2299999999999999E-2</v>
      </c>
      <c r="E59" s="34">
        <v>0</v>
      </c>
      <c r="F59"/>
      <c r="G59" s="11" t="s">
        <v>143</v>
      </c>
      <c r="H59" s="5">
        <v>1</v>
      </c>
      <c r="I59" s="5">
        <v>1</v>
      </c>
      <c r="J59" s="1"/>
    </row>
    <row r="60" spans="1:29" ht="13.15" x14ac:dyDescent="0.4">
      <c r="A60" s="38"/>
      <c r="C60" s="35"/>
      <c r="D60" s="35"/>
      <c r="E60" s="112"/>
      <c r="F60"/>
      <c r="G60" t="s">
        <v>164</v>
      </c>
      <c r="H60" s="672">
        <v>-0.01</v>
      </c>
      <c r="I60" s="672"/>
    </row>
    <row r="61" spans="1:29" x14ac:dyDescent="0.35">
      <c r="A61" s="37" t="s">
        <v>15</v>
      </c>
      <c r="B61" s="4">
        <f>C62+C63</f>
        <v>-83115.032871526215</v>
      </c>
      <c r="C61" s="275" t="s">
        <v>269</v>
      </c>
      <c r="D61" s="268">
        <f>D31</f>
        <v>1E-3</v>
      </c>
      <c r="E61" s="269">
        <f>D32</f>
        <v>5.0000000000000001E-3</v>
      </c>
      <c r="F61"/>
      <c r="G61" t="s">
        <v>165</v>
      </c>
      <c r="H61" s="3">
        <v>0.21</v>
      </c>
      <c r="I61" s="3">
        <v>0.23</v>
      </c>
      <c r="AA61" s="3"/>
      <c r="AB61" s="3"/>
      <c r="AC61" s="3"/>
    </row>
    <row r="62" spans="1:29" x14ac:dyDescent="0.35">
      <c r="A62" s="37" t="s">
        <v>68</v>
      </c>
      <c r="B62" s="3">
        <f>C62/B61</f>
        <v>0.6577311827854877</v>
      </c>
      <c r="C62" s="266">
        <f>AB52/(1+B59)^25</f>
        <v>-54667.348877843629</v>
      </c>
      <c r="D62" s="270">
        <f>SUMPRODUCT(E50:AB50,E31:AB31)</f>
        <v>-39909.169129258473</v>
      </c>
      <c r="E62" s="271">
        <f>SUMPRODUCT(E50:AB50,E32:AB32)</f>
        <v>-38157.285018818075</v>
      </c>
      <c r="F62"/>
      <c r="G62" s="95" t="s">
        <v>166</v>
      </c>
      <c r="H62" s="673">
        <v>1.2</v>
      </c>
      <c r="I62" s="673"/>
    </row>
    <row r="63" spans="1:29" x14ac:dyDescent="0.35">
      <c r="A63" s="37" t="s">
        <v>53</v>
      </c>
      <c r="B63" s="3">
        <f>1-B62</f>
        <v>0.3422688172145123</v>
      </c>
      <c r="C63" s="266">
        <f>AC52/(1+B59)^25</f>
        <v>-28447.683993682582</v>
      </c>
      <c r="D63" s="272">
        <f>(AC50/($B$59+D31-$AC$36))*AC31</f>
        <v>-27231.491760379053</v>
      </c>
      <c r="E63" s="273">
        <f>(AC50/($B$59+D32-$AC$36))*AC32</f>
        <v>-22961.555973700764</v>
      </c>
      <c r="F63"/>
      <c r="G63" t="s">
        <v>167</v>
      </c>
      <c r="H63" s="670">
        <f>SUM(40:40)</f>
        <v>628429.57179785392</v>
      </c>
      <c r="I63" s="670"/>
    </row>
    <row r="64" spans="1:29" ht="13.15" x14ac:dyDescent="0.4">
      <c r="A64" s="38" t="s">
        <v>14</v>
      </c>
      <c r="B64" s="39">
        <f>1000000*B61/OP!C8</f>
        <v>-950429192.35593152</v>
      </c>
      <c r="C64" s="4"/>
      <c r="D64" s="39">
        <f>1000000*SUM(D62:D63)/OP!C8</f>
        <v>-767760559.0581764</v>
      </c>
      <c r="E64" s="274">
        <f>1000000*SUM(E62:E63)/OP!C8</f>
        <v>-698900411.57825994</v>
      </c>
      <c r="F64"/>
      <c r="G64" t="s">
        <v>168</v>
      </c>
      <c r="H64" s="670">
        <f>SUM(47:47)</f>
        <v>672845.39331143443</v>
      </c>
      <c r="I64" s="670"/>
    </row>
    <row r="65" spans="1:29" ht="13.15" x14ac:dyDescent="0.4">
      <c r="B65" s="40">
        <f>B64/OP!C7-1</f>
        <v>-2845597.3842991963</v>
      </c>
      <c r="C65" s="2"/>
      <c r="D65" s="10">
        <f>D64/B64-1</f>
        <v>-0.19219594133567663</v>
      </c>
      <c r="E65" s="111">
        <f>E64/B64-1</f>
        <v>-0.26464757480163248</v>
      </c>
      <c r="F65"/>
      <c r="G65" s="101" t="s">
        <v>169</v>
      </c>
      <c r="H65" s="670">
        <f>SUM(47:47)+(OP!E12*OP!E7)</f>
        <v>678337.58531143446</v>
      </c>
      <c r="I65" s="670"/>
    </row>
    <row r="66" spans="1:29" x14ac:dyDescent="0.35">
      <c r="B66" s="4"/>
      <c r="C66" s="4"/>
      <c r="G66" s="2"/>
      <c r="I66" s="6"/>
    </row>
    <row r="67" spans="1:29" x14ac:dyDescent="0.35">
      <c r="A67" t="s">
        <v>270</v>
      </c>
      <c r="B67" s="276">
        <f>B62*D68+B63*D69</f>
        <v>21.117541658469651</v>
      </c>
      <c r="C67" s="101"/>
      <c r="E67" s="277">
        <v>1</v>
      </c>
      <c r="F67" s="277">
        <v>2</v>
      </c>
      <c r="G67" s="277">
        <v>3</v>
      </c>
      <c r="H67" s="4">
        <v>4</v>
      </c>
      <c r="I67" s="277">
        <v>5</v>
      </c>
      <c r="J67" s="277">
        <v>6</v>
      </c>
      <c r="K67" s="277">
        <v>7</v>
      </c>
      <c r="L67" s="4">
        <v>8</v>
      </c>
      <c r="M67" s="277">
        <v>9</v>
      </c>
      <c r="N67" s="277">
        <v>10</v>
      </c>
      <c r="O67" s="277">
        <v>11</v>
      </c>
      <c r="P67" s="4">
        <v>12</v>
      </c>
      <c r="Q67" s="277">
        <v>13</v>
      </c>
      <c r="R67" s="277">
        <v>14</v>
      </c>
      <c r="S67" s="277">
        <v>15</v>
      </c>
      <c r="T67" s="4">
        <v>16</v>
      </c>
      <c r="U67" s="277">
        <v>17</v>
      </c>
      <c r="V67" s="277">
        <v>18</v>
      </c>
      <c r="W67" s="277">
        <v>19</v>
      </c>
      <c r="X67" s="4">
        <v>20</v>
      </c>
      <c r="Y67" s="277">
        <v>21</v>
      </c>
      <c r="Z67" s="277">
        <v>22</v>
      </c>
      <c r="AA67" s="277">
        <v>23</v>
      </c>
      <c r="AB67" s="4">
        <v>24</v>
      </c>
      <c r="AC67" s="277">
        <v>25</v>
      </c>
    </row>
    <row r="68" spans="1:29" x14ac:dyDescent="0.35">
      <c r="A68" s="265">
        <v>1E-3</v>
      </c>
      <c r="B68" s="278">
        <f>-$B$67*A68</f>
        <v>-2.111754165846965E-2</v>
      </c>
      <c r="C68" s="101"/>
      <c r="D68" s="266">
        <f>SUM(E68:AB68)/SUMPRODUCT(E50:AB50,E33:AB33)</f>
        <v>12.307203814298864</v>
      </c>
      <c r="E68" s="279">
        <f>E67*E50*E33</f>
        <v>-1292.7979412970883</v>
      </c>
      <c r="F68" s="279">
        <f t="shared" ref="F68:AC68" si="18">F67*F50*F33</f>
        <v>-2845.7967049577564</v>
      </c>
      <c r="G68" s="279">
        <f t="shared" si="18"/>
        <v>-4393.3481539079266</v>
      </c>
      <c r="H68" s="279">
        <f t="shared" si="18"/>
        <v>-6422.1181651657535</v>
      </c>
      <c r="I68" s="279">
        <f t="shared" si="18"/>
        <v>-8669.7444833907957</v>
      </c>
      <c r="J68" s="279">
        <f t="shared" si="18"/>
        <v>-11216.813689540117</v>
      </c>
      <c r="K68" s="279">
        <f t="shared" si="18"/>
        <v>-13711.431449668875</v>
      </c>
      <c r="L68" s="279">
        <f t="shared" si="18"/>
        <v>-15923.848355839938</v>
      </c>
      <c r="M68" s="279">
        <f t="shared" si="18"/>
        <v>-17921.788714860242</v>
      </c>
      <c r="N68" s="279">
        <f t="shared" si="18"/>
        <v>-19610.566057320724</v>
      </c>
      <c r="O68" s="279">
        <f t="shared" si="18"/>
        <v>-21075.213791545797</v>
      </c>
      <c r="P68" s="279">
        <f t="shared" si="18"/>
        <v>-22459.282073617222</v>
      </c>
      <c r="Q68" s="279">
        <f t="shared" si="18"/>
        <v>-23765.109339592658</v>
      </c>
      <c r="R68" s="279">
        <f t="shared" si="18"/>
        <v>-24995.002256705175</v>
      </c>
      <c r="S68" s="279">
        <f t="shared" si="18"/>
        <v>-26151.234389351233</v>
      </c>
      <c r="T68" s="279">
        <f t="shared" si="18"/>
        <v>-27236.045153840598</v>
      </c>
      <c r="U68" s="279">
        <f t="shared" si="18"/>
        <v>-28251.639011012317</v>
      </c>
      <c r="V68" s="279">
        <f t="shared" si="18"/>
        <v>-29200.184853643306</v>
      </c>
      <c r="W68" s="279">
        <f t="shared" si="18"/>
        <v>-30083.81555236987</v>
      </c>
      <c r="X68" s="279">
        <f t="shared" si="18"/>
        <v>-30904.627629732568</v>
      </c>
      <c r="Y68" s="279">
        <f t="shared" si="18"/>
        <v>-31664.681037038234</v>
      </c>
      <c r="Z68" s="279">
        <f t="shared" si="18"/>
        <v>-32365.99901311515</v>
      </c>
      <c r="AA68" s="279">
        <f t="shared" si="18"/>
        <v>-33010.568007795802</v>
      </c>
      <c r="AB68" s="279">
        <f t="shared" si="18"/>
        <v>-33600.337656173993</v>
      </c>
      <c r="AC68" s="279">
        <f t="shared" si="18"/>
        <v>-34137.220792419095</v>
      </c>
    </row>
    <row r="69" spans="1:29" ht="14.25" x14ac:dyDescent="0.45">
      <c r="A69" s="265">
        <v>5.0000000000000001E-3</v>
      </c>
      <c r="B69" s="278">
        <f>-$B$67*A69</f>
        <v>-0.10558770829234826</v>
      </c>
      <c r="C69" s="101"/>
      <c r="D69" s="280">
        <f>(1+B59)/B59+AC67</f>
        <v>38.048192771084338</v>
      </c>
      <c r="E69" s="3"/>
      <c r="F69" s="40"/>
      <c r="H69" s="6"/>
    </row>
    <row r="70" spans="1:29" x14ac:dyDescent="0.35">
      <c r="D70" s="124"/>
      <c r="E70" s="10"/>
      <c r="F70" s="9"/>
      <c r="H70" s="6"/>
    </row>
    <row r="71" spans="1:29" x14ac:dyDescent="0.35">
      <c r="C71" s="101"/>
      <c r="D71" s="125"/>
      <c r="E71" s="125"/>
      <c r="F71" s="125"/>
    </row>
    <row r="72" spans="1:29" ht="13.15" x14ac:dyDescent="0.4">
      <c r="C72" s="101"/>
      <c r="D72" s="40"/>
      <c r="E72" s="3"/>
      <c r="F72" s="3"/>
    </row>
    <row r="73" spans="1:29" ht="13.15" x14ac:dyDescent="0.4">
      <c r="C73" s="101"/>
      <c r="D73" s="3"/>
      <c r="E73" s="40"/>
      <c r="F73" s="3"/>
    </row>
    <row r="74" spans="1:29" x14ac:dyDescent="0.35">
      <c r="C74" s="101"/>
      <c r="D74" s="3"/>
      <c r="E74" s="3"/>
      <c r="F74" s="3"/>
      <c r="J74" s="9"/>
    </row>
    <row r="75" spans="1:29" x14ac:dyDescent="0.35">
      <c r="C75" s="101"/>
      <c r="D75" s="3"/>
      <c r="E75" s="3"/>
      <c r="F75" s="3"/>
    </row>
    <row r="76" spans="1:29" x14ac:dyDescent="0.35">
      <c r="C76" s="101"/>
      <c r="D76" s="3"/>
      <c r="E76" s="3"/>
      <c r="F76" s="3"/>
    </row>
    <row r="77" spans="1:29" x14ac:dyDescent="0.35">
      <c r="C77" s="101"/>
      <c r="D77" s="3"/>
      <c r="E77" s="3"/>
      <c r="F77" s="3"/>
    </row>
    <row r="78" spans="1:29" ht="13.15" x14ac:dyDescent="0.4">
      <c r="C78" s="101"/>
      <c r="D78" s="3"/>
      <c r="E78" s="3"/>
      <c r="F78" s="40"/>
    </row>
    <row r="79" spans="1:29" x14ac:dyDescent="0.35">
      <c r="F79" s="8"/>
    </row>
    <row r="81" spans="4:9" x14ac:dyDescent="0.35">
      <c r="G81" s="10"/>
    </row>
    <row r="82" spans="4:9" x14ac:dyDescent="0.35">
      <c r="D82" s="3"/>
      <c r="E82" s="3"/>
      <c r="F82" s="3"/>
      <c r="G82" s="9"/>
    </row>
    <row r="83" spans="4:9" x14ac:dyDescent="0.35">
      <c r="D83" s="3"/>
      <c r="E83" s="3"/>
      <c r="F83" s="3"/>
      <c r="G83" s="9"/>
    </row>
    <row r="84" spans="4:9" x14ac:dyDescent="0.35">
      <c r="D84" s="3"/>
      <c r="E84" s="3"/>
      <c r="F84" s="3"/>
      <c r="H84" s="9"/>
    </row>
    <row r="85" spans="4:9" x14ac:dyDescent="0.35">
      <c r="I85" s="10"/>
    </row>
    <row r="86" spans="4:9" x14ac:dyDescent="0.35">
      <c r="D86" s="3"/>
      <c r="E86" s="3"/>
      <c r="F86" s="3"/>
    </row>
    <row r="87" spans="4:9" x14ac:dyDescent="0.35">
      <c r="D87" s="3"/>
      <c r="E87" s="3"/>
      <c r="F87" s="3"/>
    </row>
    <row r="88" spans="4:9" x14ac:dyDescent="0.35">
      <c r="D88" s="3"/>
      <c r="E88" s="3"/>
      <c r="F88" s="3"/>
    </row>
  </sheetData>
  <mergeCells count="6">
    <mergeCell ref="H65:I65"/>
    <mergeCell ref="H64:I64"/>
    <mergeCell ref="A1:L1"/>
    <mergeCell ref="H60:I60"/>
    <mergeCell ref="H62:I62"/>
    <mergeCell ref="H63:I63"/>
  </mergeCells>
  <phoneticPr fontId="0" type="noConversion"/>
  <hyperlinks>
    <hyperlink ref="A61" r:id="rId1" xr:uid="{00000000-0004-0000-0600-000000000000}"/>
  </hyperlinks>
  <pageMargins left="0.75" right="0.75" top="1" bottom="1" header="0" footer="0"/>
  <pageSetup orientation="portrait" r:id="rId2"/>
  <headerFooter alignWithMargins="0"/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AG113"/>
  <sheetViews>
    <sheetView topLeftCell="B1" zoomScale="109" zoomScaleNormal="80" workbookViewId="0">
      <selection activeCell="D14" sqref="D14"/>
    </sheetView>
  </sheetViews>
  <sheetFormatPr defaultColWidth="11.46484375" defaultRowHeight="14.25" x14ac:dyDescent="0.45"/>
  <cols>
    <col min="1" max="1" width="14.46484375" style="303" customWidth="1"/>
    <col min="2" max="2" width="6.59765625" style="303" customWidth="1"/>
    <col min="3" max="3" width="35.46484375" style="303" customWidth="1"/>
    <col min="4" max="4" width="17.46484375" style="303" customWidth="1"/>
    <col min="5" max="5" width="12.46484375" style="303" customWidth="1"/>
    <col min="6" max="6" width="22" style="304" customWidth="1"/>
    <col min="7" max="7" width="14" style="304" customWidth="1"/>
    <col min="8" max="8" width="16.33203125" style="304" customWidth="1"/>
    <col min="9" max="9" width="19.06640625" style="304" customWidth="1"/>
    <col min="10" max="10" width="18.46484375" style="304" customWidth="1"/>
    <col min="11" max="11" width="9.33203125" style="304" customWidth="1"/>
    <col min="12" max="12" width="9.46484375" style="304" bestFit="1" customWidth="1"/>
    <col min="13" max="13" width="9.06640625" style="304" bestFit="1" customWidth="1"/>
    <col min="14" max="14" width="12.796875" style="304" customWidth="1"/>
    <col min="15" max="20" width="10.59765625" style="304" customWidth="1"/>
    <col min="21" max="21" width="10" style="304" bestFit="1" customWidth="1"/>
    <col min="22" max="22" width="9.796875" style="304" bestFit="1" customWidth="1"/>
    <col min="23" max="23" width="10" style="304" bestFit="1" customWidth="1"/>
    <col min="24" max="25" width="9.796875" style="304" bestFit="1" customWidth="1"/>
    <col min="26" max="26" width="12.59765625" style="304" customWidth="1"/>
    <col min="27" max="28" width="10" style="304" bestFit="1" customWidth="1"/>
    <col min="29" max="29" width="10.46484375" style="304" bestFit="1" customWidth="1"/>
    <col min="30" max="30" width="11.46484375" style="303"/>
    <col min="31" max="31" width="12.46484375" style="303" bestFit="1" customWidth="1"/>
    <col min="32" max="32" width="11.46484375" style="303"/>
    <col min="33" max="33" width="143.06640625" style="303" customWidth="1"/>
    <col min="34" max="16384" width="11.46484375" style="303"/>
  </cols>
  <sheetData>
    <row r="1" spans="1:33" ht="20.65" x14ac:dyDescent="0.6">
      <c r="C1" s="680" t="s">
        <v>276</v>
      </c>
      <c r="D1" s="680"/>
      <c r="E1" s="680"/>
      <c r="F1" s="680"/>
      <c r="G1" s="680"/>
      <c r="H1" s="680"/>
      <c r="I1" s="680"/>
      <c r="J1" s="680"/>
      <c r="K1" s="680"/>
      <c r="L1" s="680"/>
    </row>
    <row r="2" spans="1:33" x14ac:dyDescent="0.45">
      <c r="C2" s="305" t="s">
        <v>417</v>
      </c>
      <c r="D2" s="305"/>
      <c r="E2" s="305"/>
      <c r="F2" s="305"/>
      <c r="G2" s="305"/>
      <c r="H2" s="305" t="s">
        <v>268</v>
      </c>
      <c r="I2" s="305"/>
      <c r="J2" s="305"/>
      <c r="K2" s="305"/>
      <c r="L2" s="305"/>
    </row>
    <row r="3" spans="1:33" x14ac:dyDescent="0.45">
      <c r="D3" s="391">
        <f>D19/D6</f>
        <v>-8.6599655028846728E-2</v>
      </c>
      <c r="E3" s="391">
        <f>E19/E6</f>
        <v>-8.7061415010227086E-2</v>
      </c>
      <c r="F3" s="391">
        <f>F19/F6</f>
        <v>-8.1380712625871418E-2</v>
      </c>
      <c r="G3" s="304">
        <v>0</v>
      </c>
      <c r="H3" s="304">
        <v>0.25</v>
      </c>
      <c r="I3" s="304">
        <f>H3+1</f>
        <v>1.25</v>
      </c>
      <c r="J3" s="304">
        <f t="shared" ref="J3:AF3" si="0">I3+1</f>
        <v>2.25</v>
      </c>
      <c r="K3" s="304">
        <f t="shared" si="0"/>
        <v>3.25</v>
      </c>
      <c r="L3" s="304">
        <f t="shared" si="0"/>
        <v>4.25</v>
      </c>
      <c r="M3" s="304">
        <f t="shared" si="0"/>
        <v>5.25</v>
      </c>
      <c r="N3" s="304">
        <f t="shared" si="0"/>
        <v>6.25</v>
      </c>
      <c r="O3" s="304">
        <f t="shared" si="0"/>
        <v>7.25</v>
      </c>
      <c r="P3" s="304">
        <f t="shared" si="0"/>
        <v>8.25</v>
      </c>
      <c r="Q3" s="304">
        <f t="shared" si="0"/>
        <v>9.25</v>
      </c>
      <c r="R3" s="304">
        <f t="shared" si="0"/>
        <v>10.25</v>
      </c>
      <c r="S3" s="304">
        <f t="shared" si="0"/>
        <v>11.25</v>
      </c>
      <c r="T3" s="304">
        <f t="shared" si="0"/>
        <v>12.25</v>
      </c>
      <c r="U3" s="304">
        <f t="shared" si="0"/>
        <v>13.25</v>
      </c>
      <c r="V3" s="304">
        <f t="shared" si="0"/>
        <v>14.25</v>
      </c>
      <c r="W3" s="304">
        <f t="shared" si="0"/>
        <v>15.25</v>
      </c>
      <c r="X3" s="304">
        <f t="shared" si="0"/>
        <v>16.25</v>
      </c>
      <c r="Y3" s="304">
        <f t="shared" si="0"/>
        <v>17.25</v>
      </c>
      <c r="Z3" s="304">
        <f t="shared" si="0"/>
        <v>18.25</v>
      </c>
      <c r="AA3" s="304">
        <f t="shared" si="0"/>
        <v>19.25</v>
      </c>
      <c r="AB3" s="304">
        <f t="shared" si="0"/>
        <v>20.25</v>
      </c>
      <c r="AC3" s="304">
        <f t="shared" si="0"/>
        <v>21.25</v>
      </c>
      <c r="AD3" s="304">
        <f t="shared" si="0"/>
        <v>22.25</v>
      </c>
      <c r="AE3" s="304">
        <f t="shared" si="0"/>
        <v>23.25</v>
      </c>
      <c r="AF3" s="304">
        <f t="shared" si="0"/>
        <v>24.25</v>
      </c>
    </row>
    <row r="4" spans="1:33" x14ac:dyDescent="0.45">
      <c r="A4" s="306" t="s">
        <v>277</v>
      </c>
      <c r="B4" s="306" t="s">
        <v>278</v>
      </c>
      <c r="C4" s="307" t="s">
        <v>279</v>
      </c>
      <c r="D4" s="308" t="s">
        <v>201</v>
      </c>
      <c r="E4" s="308" t="s">
        <v>280</v>
      </c>
      <c r="F4" s="308" t="s">
        <v>367</v>
      </c>
      <c r="G4" s="309" t="s">
        <v>431</v>
      </c>
      <c r="H4" s="309">
        <v>2024</v>
      </c>
      <c r="I4" s="309">
        <f t="shared" ref="I4:AF4" si="1">+H4+1</f>
        <v>2025</v>
      </c>
      <c r="J4" s="309">
        <f t="shared" si="1"/>
        <v>2026</v>
      </c>
      <c r="K4" s="309">
        <f t="shared" si="1"/>
        <v>2027</v>
      </c>
      <c r="L4" s="309">
        <f t="shared" si="1"/>
        <v>2028</v>
      </c>
      <c r="M4" s="309">
        <f t="shared" si="1"/>
        <v>2029</v>
      </c>
      <c r="N4" s="309">
        <f t="shared" si="1"/>
        <v>2030</v>
      </c>
      <c r="O4" s="309">
        <f t="shared" si="1"/>
        <v>2031</v>
      </c>
      <c r="P4" s="309">
        <f t="shared" si="1"/>
        <v>2032</v>
      </c>
      <c r="Q4" s="309">
        <f t="shared" si="1"/>
        <v>2033</v>
      </c>
      <c r="R4" s="309">
        <f t="shared" si="1"/>
        <v>2034</v>
      </c>
      <c r="S4" s="309">
        <f t="shared" si="1"/>
        <v>2035</v>
      </c>
      <c r="T4" s="309">
        <f t="shared" si="1"/>
        <v>2036</v>
      </c>
      <c r="U4" s="309">
        <f t="shared" si="1"/>
        <v>2037</v>
      </c>
      <c r="V4" s="309">
        <f t="shared" si="1"/>
        <v>2038</v>
      </c>
      <c r="W4" s="309">
        <f t="shared" si="1"/>
        <v>2039</v>
      </c>
      <c r="X4" s="309">
        <f t="shared" si="1"/>
        <v>2040</v>
      </c>
      <c r="Y4" s="309">
        <f t="shared" si="1"/>
        <v>2041</v>
      </c>
      <c r="Z4" s="309">
        <f t="shared" si="1"/>
        <v>2042</v>
      </c>
      <c r="AA4" s="309">
        <f t="shared" si="1"/>
        <v>2043</v>
      </c>
      <c r="AB4" s="309">
        <f t="shared" si="1"/>
        <v>2044</v>
      </c>
      <c r="AC4" s="309">
        <f t="shared" si="1"/>
        <v>2045</v>
      </c>
      <c r="AD4" s="309">
        <f t="shared" si="1"/>
        <v>2046</v>
      </c>
      <c r="AE4" s="309">
        <f t="shared" si="1"/>
        <v>2047</v>
      </c>
      <c r="AF4" s="309">
        <f t="shared" si="1"/>
        <v>2048</v>
      </c>
      <c r="AG4" s="303" t="s">
        <v>281</v>
      </c>
    </row>
    <row r="5" spans="1:33" s="315" customFormat="1" ht="13.15" x14ac:dyDescent="0.4">
      <c r="A5" s="681" t="s">
        <v>282</v>
      </c>
      <c r="B5" s="310">
        <v>1</v>
      </c>
      <c r="C5" s="311" t="s">
        <v>283</v>
      </c>
      <c r="D5" s="312">
        <v>0.08</v>
      </c>
      <c r="E5" s="312">
        <f>Cifras_en_Millones!E6</f>
        <v>0.13406292749658011</v>
      </c>
      <c r="F5" s="312">
        <f>Cifras_en_Millones!D6</f>
        <v>8.3337703886295689E-2</v>
      </c>
      <c r="G5" s="312">
        <f>Cifras_en_Millones!C6</f>
        <v>9.8905886909372631E-2</v>
      </c>
      <c r="H5" s="314">
        <f>H6/G6-1</f>
        <v>0.1053350367857615</v>
      </c>
      <c r="I5" s="314">
        <f>I6/H6-1</f>
        <v>9.2865683539258725E-2</v>
      </c>
      <c r="J5" s="314">
        <f>J6/I6-1</f>
        <v>0.1339999999999999</v>
      </c>
      <c r="K5" s="314">
        <f>K6/J6-1</f>
        <v>0.1339999999999999</v>
      </c>
      <c r="L5" s="314">
        <f>L6/K6-1</f>
        <v>0.1339999999999999</v>
      </c>
      <c r="M5" s="314">
        <f t="shared" ref="M5:S5" si="2">M6/L6-1</f>
        <v>0.1339999999999999</v>
      </c>
      <c r="N5" s="314">
        <f t="shared" si="2"/>
        <v>0.1339999999999999</v>
      </c>
      <c r="O5" s="314">
        <f t="shared" si="2"/>
        <v>7.0000000000000062E-2</v>
      </c>
      <c r="P5" s="314">
        <f t="shared" si="2"/>
        <v>7.0000000000000062E-2</v>
      </c>
      <c r="Q5" s="314">
        <f t="shared" si="2"/>
        <v>7.0000000000000062E-2</v>
      </c>
      <c r="R5" s="314">
        <f t="shared" si="2"/>
        <v>7.0000000000000062E-2</v>
      </c>
      <c r="S5" s="314">
        <f t="shared" si="2"/>
        <v>7.0000000000000062E-2</v>
      </c>
      <c r="T5" s="314">
        <f t="shared" ref="T5:AE5" si="3">T6/S6-1</f>
        <v>7.0000000000000062E-2</v>
      </c>
      <c r="U5" s="314">
        <f t="shared" si="3"/>
        <v>7.0000000000000284E-2</v>
      </c>
      <c r="V5" s="314">
        <f t="shared" si="3"/>
        <v>7.0000000000000062E-2</v>
      </c>
      <c r="W5" s="314">
        <f t="shared" si="3"/>
        <v>7.0000000000000062E-2</v>
      </c>
      <c r="X5" s="314">
        <f t="shared" si="3"/>
        <v>7.0000000000000062E-2</v>
      </c>
      <c r="Y5" s="314">
        <f t="shared" si="3"/>
        <v>7.0000000000000062E-2</v>
      </c>
      <c r="Z5" s="314">
        <f t="shared" si="3"/>
        <v>7.0000000000000062E-2</v>
      </c>
      <c r="AA5" s="314">
        <f t="shared" si="3"/>
        <v>7.0000000000000062E-2</v>
      </c>
      <c r="AB5" s="314">
        <f t="shared" si="3"/>
        <v>7.0000000000000062E-2</v>
      </c>
      <c r="AC5" s="314">
        <f t="shared" si="3"/>
        <v>7.0000000000000062E-2</v>
      </c>
      <c r="AD5" s="314">
        <f t="shared" si="3"/>
        <v>7.0000000000000062E-2</v>
      </c>
      <c r="AE5" s="314">
        <f t="shared" si="3"/>
        <v>7.0000000000000062E-2</v>
      </c>
      <c r="AF5" s="314">
        <v>0.02</v>
      </c>
    </row>
    <row r="6" spans="1:33" s="319" customFormat="1" x14ac:dyDescent="0.45">
      <c r="A6" s="681"/>
      <c r="B6" s="310">
        <v>2</v>
      </c>
      <c r="C6" s="316" t="s">
        <v>284</v>
      </c>
      <c r="D6" s="455">
        <v>1681.3</v>
      </c>
      <c r="E6" s="317">
        <v>1906.7</v>
      </c>
      <c r="F6" s="317">
        <v>2065.6</v>
      </c>
      <c r="G6" s="317">
        <v>2269.9</v>
      </c>
      <c r="H6" s="454">
        <v>2509</v>
      </c>
      <c r="I6" s="318">
        <v>2742</v>
      </c>
      <c r="J6" s="454">
        <f>I6*(1.134)</f>
        <v>3109.4279999999999</v>
      </c>
      <c r="K6" s="318">
        <f>J6*(1.134)</f>
        <v>3526.0913519999995</v>
      </c>
      <c r="L6" s="318">
        <f>K6*(1.134)</f>
        <v>3998.5875931679989</v>
      </c>
      <c r="M6" s="318">
        <f>L6*(1.134)</f>
        <v>4534.3983306525106</v>
      </c>
      <c r="N6" s="318">
        <f>M6*(1.134)</f>
        <v>5142.0077069599465</v>
      </c>
      <c r="O6" s="318">
        <f t="shared" ref="O6:AF6" si="4">N6*1.07</f>
        <v>5501.948246447143</v>
      </c>
      <c r="P6" s="318">
        <f t="shared" si="4"/>
        <v>5887.0846236984435</v>
      </c>
      <c r="Q6" s="318">
        <f t="shared" si="4"/>
        <v>6299.1805473573349</v>
      </c>
      <c r="R6" s="318">
        <f t="shared" si="4"/>
        <v>6740.1231856723489</v>
      </c>
      <c r="S6" s="318">
        <f t="shared" si="4"/>
        <v>7211.9318086694138</v>
      </c>
      <c r="T6" s="318">
        <f t="shared" si="4"/>
        <v>7716.7670352762734</v>
      </c>
      <c r="U6" s="318">
        <f t="shared" si="4"/>
        <v>8256.9407277456139</v>
      </c>
      <c r="V6" s="318">
        <f t="shared" si="4"/>
        <v>8834.9265786878077</v>
      </c>
      <c r="W6" s="318">
        <f t="shared" si="4"/>
        <v>9453.3714391959547</v>
      </c>
      <c r="X6" s="318">
        <f t="shared" si="4"/>
        <v>10115.107439939673</v>
      </c>
      <c r="Y6" s="318">
        <f t="shared" si="4"/>
        <v>10823.16496073545</v>
      </c>
      <c r="Z6" s="318">
        <f t="shared" si="4"/>
        <v>11580.786507986932</v>
      </c>
      <c r="AA6" s="318">
        <f t="shared" si="4"/>
        <v>12391.441563546017</v>
      </c>
      <c r="AB6" s="318">
        <f t="shared" si="4"/>
        <v>13258.84247299424</v>
      </c>
      <c r="AC6" s="318">
        <f t="shared" si="4"/>
        <v>14186.961446103838</v>
      </c>
      <c r="AD6" s="318">
        <f t="shared" si="4"/>
        <v>15180.048747331108</v>
      </c>
      <c r="AE6" s="318">
        <f t="shared" si="4"/>
        <v>16242.652159644285</v>
      </c>
      <c r="AF6" s="318">
        <f t="shared" si="4"/>
        <v>17379.637810819386</v>
      </c>
    </row>
    <row r="7" spans="1:33" s="315" customFormat="1" ht="13.15" x14ac:dyDescent="0.4">
      <c r="A7" s="681"/>
      <c r="B7" s="310">
        <v>3</v>
      </c>
      <c r="C7" s="311" t="s">
        <v>285</v>
      </c>
      <c r="D7" s="320">
        <f>523/DCFF!D6</f>
        <v>0.31106881579729972</v>
      </c>
      <c r="E7" s="320">
        <f>494/E6</f>
        <v>0.25908637960874809</v>
      </c>
      <c r="F7" s="320">
        <f>515/F6</f>
        <v>0.24932223082881488</v>
      </c>
      <c r="G7" s="320">
        <f>757/G6</f>
        <v>0.33349486761531344</v>
      </c>
      <c r="H7" s="313">
        <f>H8/H6</f>
        <v>0.23595057791948984</v>
      </c>
      <c r="I7" s="313">
        <f>AVERAGE(D7:H7)</f>
        <v>0.27778457435393322</v>
      </c>
      <c r="J7" s="313">
        <f>AVERAGE(E7:I7)</f>
        <v>0.27112772606525992</v>
      </c>
      <c r="K7" s="313">
        <f>AVERAGE(F7:J7)</f>
        <v>0.27353599535656226</v>
      </c>
      <c r="L7" s="313">
        <f>AVERAGE(G7:K7)</f>
        <v>0.27837874826211173</v>
      </c>
      <c r="M7" s="493">
        <f t="shared" ref="M7:AF7" si="5">L7*1.02</f>
        <v>0.28394632322735397</v>
      </c>
      <c r="N7" s="313">
        <f t="shared" si="5"/>
        <v>0.28962524969190107</v>
      </c>
      <c r="O7" s="313">
        <f t="shared" si="5"/>
        <v>0.29541775468573911</v>
      </c>
      <c r="P7" s="313">
        <f t="shared" si="5"/>
        <v>0.3013261097794539</v>
      </c>
      <c r="Q7" s="313">
        <f t="shared" si="5"/>
        <v>0.30735263197504298</v>
      </c>
      <c r="R7" s="313">
        <f t="shared" si="5"/>
        <v>0.31349968461454386</v>
      </c>
      <c r="S7" s="313">
        <f t="shared" si="5"/>
        <v>0.31976967830683473</v>
      </c>
      <c r="T7" s="313">
        <f t="shared" si="5"/>
        <v>0.32616507187297145</v>
      </c>
      <c r="U7" s="313">
        <f t="shared" si="5"/>
        <v>0.33268837331043088</v>
      </c>
      <c r="V7" s="313">
        <f t="shared" si="5"/>
        <v>0.33934214077663949</v>
      </c>
      <c r="W7" s="313">
        <f t="shared" si="5"/>
        <v>0.34612898359217231</v>
      </c>
      <c r="X7" s="313">
        <f t="shared" si="5"/>
        <v>0.35305156326401577</v>
      </c>
      <c r="Y7" s="313">
        <f t="shared" si="5"/>
        <v>0.36011259452929612</v>
      </c>
      <c r="Z7" s="313">
        <f t="shared" si="5"/>
        <v>0.36731484641988205</v>
      </c>
      <c r="AA7" s="493">
        <f t="shared" si="5"/>
        <v>0.37466114334827971</v>
      </c>
      <c r="AB7" s="493">
        <f t="shared" si="5"/>
        <v>0.38215436621524529</v>
      </c>
      <c r="AC7" s="493">
        <f t="shared" si="5"/>
        <v>0.3897974535395502</v>
      </c>
      <c r="AD7" s="493">
        <f t="shared" si="5"/>
        <v>0.39759340261034121</v>
      </c>
      <c r="AE7" s="493">
        <f t="shared" si="5"/>
        <v>0.40554527066254803</v>
      </c>
      <c r="AF7" s="493">
        <f t="shared" si="5"/>
        <v>0.41365617607579902</v>
      </c>
    </row>
    <row r="8" spans="1:33" x14ac:dyDescent="0.45">
      <c r="A8" s="681"/>
      <c r="B8" s="310">
        <v>4</v>
      </c>
      <c r="C8" s="321" t="s">
        <v>3</v>
      </c>
      <c r="D8" s="317">
        <v>496</v>
      </c>
      <c r="E8" s="317">
        <v>513</v>
      </c>
      <c r="F8" s="317">
        <v>593</v>
      </c>
      <c r="G8" s="317">
        <v>626</v>
      </c>
      <c r="H8" s="322">
        <v>592</v>
      </c>
      <c r="I8" s="322">
        <f t="shared" ref="I8:Z8" si="6">I7*I6</f>
        <v>761.68530287848489</v>
      </c>
      <c r="J8" s="322">
        <f>J7*J6</f>
        <v>843.05214300364901</v>
      </c>
      <c r="K8" s="322">
        <f>K7*K6</f>
        <v>964.51290768748618</v>
      </c>
      <c r="L8" s="322">
        <f t="shared" si="6"/>
        <v>1113.1218090025177</v>
      </c>
      <c r="M8" s="322">
        <f>M7*M6</f>
        <v>1287.525734037032</v>
      </c>
      <c r="N8" s="322">
        <f t="shared" si="6"/>
        <v>1489.2552660459542</v>
      </c>
      <c r="O8" s="322">
        <f t="shared" si="6"/>
        <v>1625.3731973625545</v>
      </c>
      <c r="P8" s="322">
        <f t="shared" si="6"/>
        <v>1773.9323076014923</v>
      </c>
      <c r="Q8" s="322">
        <f t="shared" si="6"/>
        <v>1936.0697205162687</v>
      </c>
      <c r="R8" s="322">
        <f t="shared" si="6"/>
        <v>2113.0264929714558</v>
      </c>
      <c r="S8" s="322">
        <f t="shared" si="6"/>
        <v>2306.1571144290474</v>
      </c>
      <c r="T8" s="322">
        <f t="shared" si="6"/>
        <v>2516.9398746878624</v>
      </c>
      <c r="U8" s="322">
        <f t="shared" si="6"/>
        <v>2746.9881792343335</v>
      </c>
      <c r="V8" s="322">
        <f t="shared" si="6"/>
        <v>2998.0628988163521</v>
      </c>
      <c r="W8" s="322">
        <f t="shared" si="6"/>
        <v>3272.0858477681668</v>
      </c>
      <c r="X8" s="322">
        <f t="shared" si="6"/>
        <v>3571.1544942541782</v>
      </c>
      <c r="Y8" s="322">
        <f t="shared" si="6"/>
        <v>3897.5580150290102</v>
      </c>
      <c r="Z8" s="322">
        <f t="shared" si="6"/>
        <v>4253.7948176026621</v>
      </c>
      <c r="AA8" s="322">
        <f t="shared" ref="AA8:AF8" si="7">AA7*AA6</f>
        <v>4642.5916639315456</v>
      </c>
      <c r="AB8" s="322">
        <f t="shared" si="7"/>
        <v>5066.9245420148891</v>
      </c>
      <c r="AC8" s="322">
        <f t="shared" si="7"/>
        <v>5530.0414451550505</v>
      </c>
      <c r="AD8" s="322">
        <f t="shared" si="7"/>
        <v>6035.4872332422228</v>
      </c>
      <c r="AE8" s="322">
        <f t="shared" si="7"/>
        <v>6587.1307663605621</v>
      </c>
      <c r="AF8" s="322">
        <f t="shared" si="7"/>
        <v>7189.1945184059177</v>
      </c>
    </row>
    <row r="9" spans="1:33" x14ac:dyDescent="0.45">
      <c r="A9" s="681"/>
      <c r="B9" s="310" t="s">
        <v>286</v>
      </c>
      <c r="C9" s="323" t="s">
        <v>287</v>
      </c>
      <c r="D9" s="394">
        <v>-85.3</v>
      </c>
      <c r="E9" s="394">
        <v>-106.9</v>
      </c>
      <c r="F9" s="394">
        <v>-114.6</v>
      </c>
      <c r="G9" s="394">
        <v>-132.5</v>
      </c>
      <c r="H9" s="337" cm="1">
        <f t="array" ref="H9">G9*0.7+0.3*(-$D$50*AVERAGE(-1*(D22:G22)))</f>
        <v>-94.306077269638038</v>
      </c>
      <c r="I9" s="337" cm="1">
        <f t="array" ref="I9">H9*0.7+0.3*(-$D$50*AVERAGE(-1*(E22:H22)))</f>
        <v>-67.567717268433256</v>
      </c>
      <c r="J9" s="337" cm="1">
        <f t="array" ref="J9">I9*0.7+0.3*(-$D$50*AVERAGE(-1*(F22:I22)))</f>
        <v>-49.069790133440897</v>
      </c>
      <c r="K9" s="337" cm="1">
        <f t="array" ref="K9">J9*0.7+0.3*(-$D$50*AVERAGE(-1*(G22:J22)))</f>
        <v>-36.399780001077218</v>
      </c>
      <c r="L9" s="337" cm="1">
        <f t="array" ref="L9">K9*0.7+0.3*(-$D$50*AVERAGE(-1*(H22:K22)))</f>
        <v>-27.878862774616717</v>
      </c>
      <c r="M9" s="337" cm="1">
        <f t="array" ref="M9">L9*0.7+0.3*(-$D$50*AVERAGE(-1*(I22:L22)))</f>
        <v>-22.426805137635426</v>
      </c>
      <c r="N9" s="337" cm="1">
        <f t="array" ref="N9">M9*0.7+0.3*(-$D$50*AVERAGE(-1*(J22:M22)))</f>
        <v>-19.212465250427279</v>
      </c>
      <c r="O9" s="337" cm="1">
        <f t="array" ref="O9">N9*0.7+0.3*(-$D$50*AVERAGE(-1*(K22:N22)))</f>
        <v>-17.645209249523287</v>
      </c>
      <c r="P9" s="337" cm="1">
        <f t="array" ref="P9">O9*0.7+0.3*(-$D$50*AVERAGE(-1*(L22:O22)))</f>
        <v>-17.238542508918414</v>
      </c>
      <c r="Q9" s="337" cm="1">
        <f t="array" ref="Q9">P9*0.7+0.3*(-$D$50*AVERAGE(-1*(M22:P22)))</f>
        <v>-17.435125027640332</v>
      </c>
      <c r="R9" s="337" cm="1">
        <f t="array" ref="R9">Q9*0.7+0.3*(-$D$50*AVERAGE(-1*(N22:Q22)))</f>
        <v>-18.022455550054588</v>
      </c>
      <c r="S9" s="337" cm="1">
        <f t="array" ref="S9">R9*0.7+0.3*(-$D$50*AVERAGE(-1*(O22:R22)))</f>
        <v>-18.840837677894015</v>
      </c>
      <c r="T9" s="337" cm="1">
        <f t="array" ref="T9">S9*0.7+0.3*(-$D$50*AVERAGE(-1*(P22:S22)))</f>
        <v>-19.849463482881518</v>
      </c>
      <c r="U9" s="337" cm="1">
        <f t="array" ref="U9">T9*0.7+0.3*(-$D$50*AVERAGE(-1*(Q22:T22)))</f>
        <v>-21.021762943957668</v>
      </c>
      <c r="V9" s="337" cm="1">
        <f t="array" ref="V9">U9*0.7+0.3*(-$D$50*AVERAGE(-1*(R22:U22)))</f>
        <v>-22.341272262126818</v>
      </c>
      <c r="W9" s="337" cm="1">
        <f t="array" ref="W9">V9*0.7+0.3*(-$D$50*AVERAGE(-1*(S22:V22)))</f>
        <v>-23.798751458940178</v>
      </c>
      <c r="X9" s="337" cm="1">
        <f t="array" ref="X9">W9*0.7+0.3*(-$D$50*AVERAGE(-1*(T22:W22)))</f>
        <v>-25.390177157991126</v>
      </c>
      <c r="Y9" s="337" cm="1">
        <f t="array" ref="Y9">X9*0.7+0.3*(-$D$50*AVERAGE(-1*(U22:X22)))</f>
        <v>-27.115348726898102</v>
      </c>
      <c r="Z9" s="337" cm="1">
        <f t="array" ref="Z9">Y9*0.7+0.3*(-$D$50*AVERAGE(-1*(V22:Y22)))</f>
        <v>-28.976924555274287</v>
      </c>
      <c r="AA9" s="337" cm="1">
        <f t="array" ref="AA9">Z9*0.7+0.3*(-$D$50*AVERAGE(-1*(W22:Z22)))</f>
        <v>-30.979760266388809</v>
      </c>
      <c r="AB9" s="337" cm="1">
        <f t="array" ref="AB9">AA9*0.7+0.3*(-$D$50*AVERAGE(-1*(X22:AA22)))</f>
        <v>-33.130459179607755</v>
      </c>
      <c r="AC9" s="337" cm="1">
        <f t="array" ref="AC9">AB9*0.7+0.3*(-$D$50*AVERAGE(-1*(Y22:AB22)))</f>
        <v>-35.437072308380507</v>
      </c>
      <c r="AD9" s="337" cm="1">
        <f t="array" ref="AD9">AC9*0.7+0.3*(-$D$50*AVERAGE(-1*(Z22:AC22)))</f>
        <v>-37.908904060307293</v>
      </c>
      <c r="AE9" s="337" cm="1">
        <f t="array" ref="AE9">AD9*0.7+0.3*(-$D$50*AVERAGE(-1*(AA22:AD22)))</f>
        <v>-40.556393027766909</v>
      </c>
      <c r="AF9" s="337" cm="1">
        <f t="array" ref="AF9">AE9*0.7+0.3*(-$D$50*AVERAGE(-1*(AB22:AE22)))</f>
        <v>-43.391046517977259</v>
      </c>
    </row>
    <row r="10" spans="1:33" x14ac:dyDescent="0.45">
      <c r="A10" s="681"/>
      <c r="B10" s="310" t="s">
        <v>288</v>
      </c>
      <c r="C10" s="323" t="s">
        <v>289</v>
      </c>
      <c r="D10" s="394">
        <v>-145.6</v>
      </c>
      <c r="E10" s="394">
        <v>-166.3</v>
      </c>
      <c r="F10" s="394">
        <v>-168.1</v>
      </c>
      <c r="G10" s="394">
        <v>-221.9</v>
      </c>
      <c r="H10" s="337">
        <f t="shared" ref="H10:AF10" si="8">($D$51*H6)*-1</f>
        <v>-221.3921107987201</v>
      </c>
      <c r="I10" s="337">
        <f t="shared" si="8"/>
        <v>-241.95184049824252</v>
      </c>
      <c r="J10" s="337">
        <f t="shared" si="8"/>
        <v>-274.37338712500701</v>
      </c>
      <c r="K10" s="337">
        <f t="shared" si="8"/>
        <v>-311.13942099975793</v>
      </c>
      <c r="L10" s="337">
        <f t="shared" si="8"/>
        <v>-352.83210341372541</v>
      </c>
      <c r="M10" s="337">
        <f t="shared" si="8"/>
        <v>-400.11160527116465</v>
      </c>
      <c r="N10" s="337">
        <f t="shared" si="8"/>
        <v>-453.72656037750062</v>
      </c>
      <c r="O10" s="337">
        <f t="shared" si="8"/>
        <v>-485.48741960392573</v>
      </c>
      <c r="P10" s="337">
        <f t="shared" si="8"/>
        <v>-519.47153897620058</v>
      </c>
      <c r="Q10" s="337">
        <f t="shared" si="8"/>
        <v>-555.83454670453466</v>
      </c>
      <c r="R10" s="337">
        <f t="shared" si="8"/>
        <v>-594.74296497385205</v>
      </c>
      <c r="S10" s="337">
        <f t="shared" si="8"/>
        <v>-636.37497252202184</v>
      </c>
      <c r="T10" s="337">
        <f t="shared" si="8"/>
        <v>-680.92122059856331</v>
      </c>
      <c r="U10" s="337">
        <f t="shared" si="8"/>
        <v>-728.58570604046292</v>
      </c>
      <c r="V10" s="337">
        <f t="shared" si="8"/>
        <v>-779.5867054632954</v>
      </c>
      <c r="W10" s="337">
        <f t="shared" si="8"/>
        <v>-834.15777484572607</v>
      </c>
      <c r="X10" s="337">
        <f t="shared" si="8"/>
        <v>-892.54881908492712</v>
      </c>
      <c r="Y10" s="337">
        <f t="shared" si="8"/>
        <v>-955.02723642087199</v>
      </c>
      <c r="Z10" s="337">
        <f t="shared" si="8"/>
        <v>-1021.879142970333</v>
      </c>
      <c r="AA10" s="337">
        <f t="shared" si="8"/>
        <v>-1093.4106829782563</v>
      </c>
      <c r="AB10" s="337">
        <f t="shared" si="8"/>
        <v>-1169.9494307867344</v>
      </c>
      <c r="AC10" s="337">
        <f t="shared" si="8"/>
        <v>-1251.8458909418059</v>
      </c>
      <c r="AD10" s="337">
        <f t="shared" si="8"/>
        <v>-1339.4751033077325</v>
      </c>
      <c r="AE10" s="337">
        <f t="shared" si="8"/>
        <v>-1433.2383605392738</v>
      </c>
      <c r="AF10" s="337">
        <f t="shared" si="8"/>
        <v>-1533.565045777023</v>
      </c>
    </row>
    <row r="11" spans="1:33" s="319" customFormat="1" x14ac:dyDescent="0.45">
      <c r="A11" s="681"/>
      <c r="B11" s="310">
        <v>6</v>
      </c>
      <c r="C11" s="324" t="s">
        <v>22</v>
      </c>
      <c r="D11" s="325">
        <f>-D9+D8</f>
        <v>581.29999999999995</v>
      </c>
      <c r="E11" s="325">
        <f>-E9+E8</f>
        <v>619.9</v>
      </c>
      <c r="F11" s="325">
        <f>-F9+F8</f>
        <v>707.6</v>
      </c>
      <c r="G11" s="325">
        <f>-G9+G8</f>
        <v>758.5</v>
      </c>
      <c r="H11" s="318">
        <f>-H9+H8</f>
        <v>686.30607726963808</v>
      </c>
      <c r="I11" s="318">
        <f t="shared" ref="I11:AF11" si="9">-I9+I8</f>
        <v>829.25302014691817</v>
      </c>
      <c r="J11" s="318">
        <f t="shared" si="9"/>
        <v>892.12193313708985</v>
      </c>
      <c r="K11" s="318">
        <f t="shared" si="9"/>
        <v>1000.9126876885634</v>
      </c>
      <c r="L11" s="318">
        <f t="shared" si="9"/>
        <v>1141.0006717771344</v>
      </c>
      <c r="M11" s="318">
        <f>-M9+M8</f>
        <v>1309.9525391746674</v>
      </c>
      <c r="N11" s="318">
        <f t="shared" si="9"/>
        <v>1508.4677312963815</v>
      </c>
      <c r="O11" s="318">
        <f t="shared" si="9"/>
        <v>1643.0184066120778</v>
      </c>
      <c r="P11" s="318">
        <f t="shared" si="9"/>
        <v>1791.1708501104108</v>
      </c>
      <c r="Q11" s="318">
        <f t="shared" si="9"/>
        <v>1953.5048455439091</v>
      </c>
      <c r="R11" s="318">
        <f t="shared" si="9"/>
        <v>2131.0489485215103</v>
      </c>
      <c r="S11" s="318">
        <f t="shared" si="9"/>
        <v>2324.9979521069413</v>
      </c>
      <c r="T11" s="318">
        <f t="shared" si="9"/>
        <v>2536.789338170744</v>
      </c>
      <c r="U11" s="318">
        <f t="shared" si="9"/>
        <v>2768.0099421782911</v>
      </c>
      <c r="V11" s="318">
        <f t="shared" si="9"/>
        <v>3020.4041710784791</v>
      </c>
      <c r="W11" s="318">
        <f t="shared" si="9"/>
        <v>3295.8845992271072</v>
      </c>
      <c r="X11" s="318">
        <f t="shared" si="9"/>
        <v>3596.5446714121695</v>
      </c>
      <c r="Y11" s="318">
        <f t="shared" si="9"/>
        <v>3924.6733637559082</v>
      </c>
      <c r="Z11" s="318">
        <f t="shared" si="9"/>
        <v>4282.7717421579364</v>
      </c>
      <c r="AA11" s="318">
        <f t="shared" si="9"/>
        <v>4673.571424197934</v>
      </c>
      <c r="AB11" s="318">
        <f t="shared" si="9"/>
        <v>5100.055001194497</v>
      </c>
      <c r="AC11" s="318">
        <f t="shared" si="9"/>
        <v>5565.4785174634308</v>
      </c>
      <c r="AD11" s="318">
        <f t="shared" si="9"/>
        <v>6073.3961373025304</v>
      </c>
      <c r="AE11" s="318">
        <f t="shared" si="9"/>
        <v>6627.6871593883288</v>
      </c>
      <c r="AF11" s="318">
        <f t="shared" si="9"/>
        <v>7232.5855649238947</v>
      </c>
    </row>
    <row r="12" spans="1:33" s="315" customFormat="1" ht="13.15" x14ac:dyDescent="0.35">
      <c r="A12" s="681"/>
      <c r="B12" s="310">
        <v>7</v>
      </c>
      <c r="C12" s="316" t="s">
        <v>290</v>
      </c>
      <c r="D12" s="395">
        <f>Cifras_Originales!E11</f>
        <v>4.2</v>
      </c>
      <c r="E12" s="395">
        <f>Cifras_Originales!D11</f>
        <v>5</v>
      </c>
      <c r="F12" s="395">
        <f>Cifras_Originales!C11</f>
        <v>-5.4</v>
      </c>
      <c r="G12" s="395">
        <f>Cifras_Originales!B11</f>
        <v>43.9</v>
      </c>
      <c r="H12" s="326">
        <f>-$D$53*G37+G36*$D$54</f>
        <v>38.595920096080576</v>
      </c>
      <c r="I12" s="326">
        <f t="shared" ref="I12:AF12" si="10">-$D$53*H37+H36*$D$54</f>
        <v>57.678667067167538</v>
      </c>
      <c r="J12" s="326">
        <f t="shared" si="10"/>
        <v>79.622607356196497</v>
      </c>
      <c r="K12" s="326">
        <f t="shared" si="10"/>
        <v>103.99710366833672</v>
      </c>
      <c r="L12" s="326">
        <f t="shared" si="10"/>
        <v>131.08106162615255</v>
      </c>
      <c r="M12" s="326">
        <f t="shared" si="10"/>
        <v>161.27488061612533</v>
      </c>
      <c r="N12" s="326">
        <f t="shared" si="10"/>
        <v>195.55391880116488</v>
      </c>
      <c r="O12" s="326">
        <f t="shared" si="10"/>
        <v>234.36027235568957</v>
      </c>
      <c r="P12" s="326">
        <f t="shared" si="10"/>
        <v>275.50431129313665</v>
      </c>
      <c r="Q12" s="326">
        <f t="shared" si="10"/>
        <v>320.22334262292253</v>
      </c>
      <c r="R12" s="326">
        <f t="shared" si="10"/>
        <v>368.85549736846315</v>
      </c>
      <c r="S12" s="326">
        <f t="shared" si="10"/>
        <v>421.74367755802376</v>
      </c>
      <c r="T12" s="326">
        <f t="shared" si="10"/>
        <v>479.25824965926239</v>
      </c>
      <c r="U12" s="326">
        <f t="shared" si="10"/>
        <v>541.81159113844296</v>
      </c>
      <c r="V12" s="326">
        <f t="shared" si="10"/>
        <v>609.84823812107288</v>
      </c>
      <c r="W12" s="326">
        <f t="shared" si="10"/>
        <v>683.84843848344144</v>
      </c>
      <c r="X12" s="326">
        <f t="shared" si="10"/>
        <v>764.33573283925693</v>
      </c>
      <c r="Y12" s="326">
        <f t="shared" si="10"/>
        <v>851.88099081220139</v>
      </c>
      <c r="Z12" s="326">
        <f t="shared" si="10"/>
        <v>947.10441394837676</v>
      </c>
      <c r="AA12" s="326">
        <f t="shared" si="10"/>
        <v>1050.68060325534</v>
      </c>
      <c r="AB12" s="326">
        <f t="shared" si="10"/>
        <v>1163.3441031489897</v>
      </c>
      <c r="AC12" s="326">
        <f t="shared" si="10"/>
        <v>1285.8945342809209</v>
      </c>
      <c r="AD12" s="326">
        <f t="shared" si="10"/>
        <v>1419.2021015651108</v>
      </c>
      <c r="AE12" s="326">
        <f t="shared" si="10"/>
        <v>1564.214084509581</v>
      </c>
      <c r="AF12" s="326">
        <f t="shared" si="10"/>
        <v>1721.9617959347972</v>
      </c>
    </row>
    <row r="13" spans="1:33" x14ac:dyDescent="0.45">
      <c r="A13" s="681"/>
      <c r="B13" s="310">
        <v>8</v>
      </c>
      <c r="C13" s="316" t="s">
        <v>291</v>
      </c>
      <c r="D13" s="325">
        <f>Cifras_Originales!E12</f>
        <v>-2.4300000000000002</v>
      </c>
      <c r="E13" s="327">
        <f>Cifras_Originales!D12</f>
        <v>2.08</v>
      </c>
      <c r="F13" s="325">
        <f>Cifras_Originales!C12</f>
        <v>-17.34</v>
      </c>
      <c r="G13" s="325">
        <f>Cifras_Originales!B12</f>
        <v>-34</v>
      </c>
      <c r="H13" s="318">
        <v>-21</v>
      </c>
      <c r="I13" s="318">
        <f t="shared" ref="I13:AF13" si="11">H13*(1+I5)</f>
        <v>-22.950179354324433</v>
      </c>
      <c r="J13" s="318">
        <f t="shared" si="11"/>
        <v>-26.025503387803905</v>
      </c>
      <c r="K13" s="318">
        <f t="shared" si="11"/>
        <v>-29.512920841769624</v>
      </c>
      <c r="L13" s="318">
        <f t="shared" si="11"/>
        <v>-33.467652234566749</v>
      </c>
      <c r="M13" s="318">
        <f t="shared" si="11"/>
        <v>-37.952317633998689</v>
      </c>
      <c r="N13" s="318">
        <f t="shared" si="11"/>
        <v>-43.03792819695451</v>
      </c>
      <c r="O13" s="318">
        <f t="shared" si="11"/>
        <v>-46.050583170741326</v>
      </c>
      <c r="P13" s="318">
        <f t="shared" si="11"/>
        <v>-49.27412399269322</v>
      </c>
      <c r="Q13" s="318">
        <f t="shared" si="11"/>
        <v>-52.723312672181748</v>
      </c>
      <c r="R13" s="318">
        <f t="shared" si="11"/>
        <v>-56.413944559234473</v>
      </c>
      <c r="S13" s="318">
        <f t="shared" si="11"/>
        <v>-60.362920678380888</v>
      </c>
      <c r="T13" s="318">
        <f t="shared" si="11"/>
        <v>-64.588325125867556</v>
      </c>
      <c r="U13" s="318">
        <f t="shared" si="11"/>
        <v>-69.109507884678308</v>
      </c>
      <c r="V13" s="318">
        <f t="shared" si="11"/>
        <v>-73.947173436605794</v>
      </c>
      <c r="W13" s="318">
        <f t="shared" si="11"/>
        <v>-79.123475577168207</v>
      </c>
      <c r="X13" s="318">
        <f t="shared" si="11"/>
        <v>-84.662118867569987</v>
      </c>
      <c r="Y13" s="318">
        <f t="shared" si="11"/>
        <v>-90.588467188299887</v>
      </c>
      <c r="Z13" s="318">
        <f t="shared" si="11"/>
        <v>-96.929659891480881</v>
      </c>
      <c r="AA13" s="318">
        <f t="shared" si="11"/>
        <v>-103.71473608388455</v>
      </c>
      <c r="AB13" s="318">
        <f t="shared" si="11"/>
        <v>-110.97476760975647</v>
      </c>
      <c r="AC13" s="318">
        <f t="shared" si="11"/>
        <v>-118.74300134243943</v>
      </c>
      <c r="AD13" s="318">
        <f t="shared" si="11"/>
        <v>-127.0550114364102</v>
      </c>
      <c r="AE13" s="318">
        <f t="shared" si="11"/>
        <v>-135.94886223695892</v>
      </c>
      <c r="AF13" s="318">
        <f t="shared" si="11"/>
        <v>-138.66783948169811</v>
      </c>
    </row>
    <row r="14" spans="1:33" x14ac:dyDescent="0.45">
      <c r="A14" s="681"/>
      <c r="B14" s="310">
        <v>9</v>
      </c>
      <c r="C14" s="324" t="s">
        <v>292</v>
      </c>
      <c r="D14" s="325">
        <f>D8+D12+D13</f>
        <v>497.77</v>
      </c>
      <c r="E14" s="325">
        <f>E8+E12+E13</f>
        <v>520.08000000000004</v>
      </c>
      <c r="F14" s="325">
        <f>F8+F12+F13</f>
        <v>570.26</v>
      </c>
      <c r="G14" s="325">
        <f t="shared" ref="G14:AF14" si="12">G8+G12+G13</f>
        <v>635.9</v>
      </c>
      <c r="H14" s="318">
        <f t="shared" si="12"/>
        <v>609.59592009608059</v>
      </c>
      <c r="I14" s="318">
        <f t="shared" si="12"/>
        <v>796.41379059132805</v>
      </c>
      <c r="J14" s="318">
        <f t="shared" si="12"/>
        <v>896.64924697204151</v>
      </c>
      <c r="K14" s="318">
        <f t="shared" si="12"/>
        <v>1038.9970905140533</v>
      </c>
      <c r="L14" s="318">
        <f t="shared" si="12"/>
        <v>1210.7352183941036</v>
      </c>
      <c r="M14" s="318">
        <f>M8+M12+M13</f>
        <v>1410.8482970191585</v>
      </c>
      <c r="N14" s="318">
        <f t="shared" si="12"/>
        <v>1641.7712566501646</v>
      </c>
      <c r="O14" s="318">
        <f t="shared" si="12"/>
        <v>1813.6828865475029</v>
      </c>
      <c r="P14" s="318">
        <f t="shared" si="12"/>
        <v>2000.1624949019356</v>
      </c>
      <c r="Q14" s="318">
        <f t="shared" si="12"/>
        <v>2203.5697504670097</v>
      </c>
      <c r="R14" s="318">
        <f t="shared" si="12"/>
        <v>2425.4680457806844</v>
      </c>
      <c r="S14" s="318">
        <f t="shared" si="12"/>
        <v>2667.5378713086902</v>
      </c>
      <c r="T14" s="318">
        <f t="shared" si="12"/>
        <v>2931.6097992212572</v>
      </c>
      <c r="U14" s="318">
        <f t="shared" si="12"/>
        <v>3219.6902624880981</v>
      </c>
      <c r="V14" s="318">
        <f t="shared" si="12"/>
        <v>3533.9639635008193</v>
      </c>
      <c r="W14" s="318">
        <f t="shared" si="12"/>
        <v>3876.8108106744398</v>
      </c>
      <c r="X14" s="318">
        <f t="shared" si="12"/>
        <v>4250.8281082258654</v>
      </c>
      <c r="Y14" s="318">
        <f t="shared" si="12"/>
        <v>4658.8505386529123</v>
      </c>
      <c r="Z14" s="318">
        <f t="shared" si="12"/>
        <v>5103.9695716595579</v>
      </c>
      <c r="AA14" s="318">
        <f t="shared" si="12"/>
        <v>5589.5575311030007</v>
      </c>
      <c r="AB14" s="318">
        <f t="shared" si="12"/>
        <v>6119.2938775541215</v>
      </c>
      <c r="AC14" s="318">
        <f t="shared" si="12"/>
        <v>6697.1929780935325</v>
      </c>
      <c r="AD14" s="318">
        <f t="shared" si="12"/>
        <v>7327.6343233709231</v>
      </c>
      <c r="AE14" s="318">
        <f t="shared" si="12"/>
        <v>8015.3959886331841</v>
      </c>
      <c r="AF14" s="318">
        <f t="shared" si="12"/>
        <v>8772.4884748590175</v>
      </c>
    </row>
    <row r="15" spans="1:33" x14ac:dyDescent="0.45">
      <c r="A15" s="681"/>
      <c r="B15" s="310">
        <v>10</v>
      </c>
      <c r="C15" s="316" t="s">
        <v>293</v>
      </c>
      <c r="D15" s="327">
        <f>-Cifras_Originales!E17</f>
        <v>-60.7</v>
      </c>
      <c r="E15" s="327">
        <f>-Cifras_Originales!D17</f>
        <v>-51.6</v>
      </c>
      <c r="F15" s="327">
        <f>-Cifras_Originales!C17</f>
        <v>-91.7</v>
      </c>
      <c r="G15" s="327">
        <f>-Cifras_Originales!B17</f>
        <v>-115.8</v>
      </c>
      <c r="H15" s="337">
        <f t="shared" ref="H15:M15" si="13">(-1*$D$52)*H14</f>
        <v>-115.82322481825531</v>
      </c>
      <c r="I15" s="337">
        <f t="shared" si="13"/>
        <v>-151.31862021235233</v>
      </c>
      <c r="J15" s="337">
        <f t="shared" si="13"/>
        <v>-170.36335692468788</v>
      </c>
      <c r="K15" s="337">
        <f t="shared" si="13"/>
        <v>-197.40944719767012</v>
      </c>
      <c r="L15" s="337">
        <f t="shared" si="13"/>
        <v>-230.03969149487969</v>
      </c>
      <c r="M15" s="337">
        <f t="shared" si="13"/>
        <v>-268.06117643364013</v>
      </c>
      <c r="N15" s="337">
        <f t="shared" ref="N15:AF15" si="14">(-1*$E$52)*N14</f>
        <v>-322.75617335541796</v>
      </c>
      <c r="O15" s="337">
        <f t="shared" si="14"/>
        <v>-356.55231858345007</v>
      </c>
      <c r="P15" s="337">
        <f t="shared" si="14"/>
        <v>-393.21238590860162</v>
      </c>
      <c r="Q15" s="337">
        <f t="shared" si="14"/>
        <v>-433.20026313143939</v>
      </c>
      <c r="R15" s="337">
        <f t="shared" si="14"/>
        <v>-476.82329793572882</v>
      </c>
      <c r="S15" s="337">
        <f t="shared" si="14"/>
        <v>-524.41185831267603</v>
      </c>
      <c r="T15" s="337">
        <f t="shared" si="14"/>
        <v>-576.3258168488677</v>
      </c>
      <c r="U15" s="337">
        <f t="shared" si="14"/>
        <v>-632.95961864423805</v>
      </c>
      <c r="V15" s="337">
        <f t="shared" si="14"/>
        <v>-694.74275482368</v>
      </c>
      <c r="W15" s="337">
        <f t="shared" si="14"/>
        <v>-762.14309210727185</v>
      </c>
      <c r="X15" s="337">
        <f t="shared" si="14"/>
        <v>-835.67123510372073</v>
      </c>
      <c r="Y15" s="337">
        <f t="shared" si="14"/>
        <v>-915.88445467031977</v>
      </c>
      <c r="Z15" s="337">
        <f t="shared" si="14"/>
        <v>-1003.3905035178431</v>
      </c>
      <c r="AA15" s="337">
        <f t="shared" si="14"/>
        <v>-1098.8523475369745</v>
      </c>
      <c r="AB15" s="337">
        <f t="shared" si="14"/>
        <v>-1202.9933326926648</v>
      </c>
      <c r="AC15" s="337">
        <f t="shared" si="14"/>
        <v>-1316.6026442944592</v>
      </c>
      <c r="AD15" s="337">
        <f t="shared" si="14"/>
        <v>-1440.5412473748581</v>
      </c>
      <c r="AE15" s="337">
        <f t="shared" si="14"/>
        <v>-1575.748464800213</v>
      </c>
      <c r="AF15" s="337">
        <f t="shared" si="14"/>
        <v>-1724.585443606243</v>
      </c>
    </row>
    <row r="16" spans="1:33" x14ac:dyDescent="0.45">
      <c r="A16" s="681"/>
      <c r="B16" s="310">
        <v>11</v>
      </c>
      <c r="C16" s="324" t="s">
        <v>294</v>
      </c>
      <c r="D16" s="325">
        <f>D14+D15</f>
        <v>437.07</v>
      </c>
      <c r="E16" s="325">
        <f>E14+E15</f>
        <v>468.48</v>
      </c>
      <c r="F16" s="325">
        <f>F14+F15</f>
        <v>478.56</v>
      </c>
      <c r="G16" s="325">
        <f t="shared" ref="G16:AF16" si="15">G14+G15</f>
        <v>520.1</v>
      </c>
      <c r="H16" s="318">
        <f t="shared" si="15"/>
        <v>493.77269527782528</v>
      </c>
      <c r="I16" s="318">
        <f t="shared" si="15"/>
        <v>645.09517037897569</v>
      </c>
      <c r="J16" s="318">
        <f t="shared" si="15"/>
        <v>726.28589004735363</v>
      </c>
      <c r="K16" s="318">
        <f t="shared" si="15"/>
        <v>841.58764331638315</v>
      </c>
      <c r="L16" s="318">
        <f t="shared" si="15"/>
        <v>980.69552689922398</v>
      </c>
      <c r="M16" s="318">
        <f t="shared" si="15"/>
        <v>1142.7871205855183</v>
      </c>
      <c r="N16" s="318">
        <f t="shared" si="15"/>
        <v>1319.0150832947465</v>
      </c>
      <c r="O16" s="318">
        <f t="shared" si="15"/>
        <v>1457.1305679640527</v>
      </c>
      <c r="P16" s="318">
        <f t="shared" si="15"/>
        <v>1606.950108993334</v>
      </c>
      <c r="Q16" s="318">
        <f t="shared" si="15"/>
        <v>1770.3694873355703</v>
      </c>
      <c r="R16" s="318">
        <f t="shared" si="15"/>
        <v>1948.6447478449556</v>
      </c>
      <c r="S16" s="318">
        <f t="shared" si="15"/>
        <v>2143.1260129960142</v>
      </c>
      <c r="T16" s="318">
        <f t="shared" si="15"/>
        <v>2355.2839823723893</v>
      </c>
      <c r="U16" s="318">
        <f t="shared" si="15"/>
        <v>2586.73064384386</v>
      </c>
      <c r="V16" s="318">
        <f t="shared" si="15"/>
        <v>2839.2212086771392</v>
      </c>
      <c r="W16" s="318">
        <f t="shared" si="15"/>
        <v>3114.6677185671679</v>
      </c>
      <c r="X16" s="318">
        <f t="shared" si="15"/>
        <v>3415.1568731221446</v>
      </c>
      <c r="Y16" s="318">
        <f t="shared" si="15"/>
        <v>3742.9660839825924</v>
      </c>
      <c r="Z16" s="318">
        <f t="shared" si="15"/>
        <v>4100.5790681417147</v>
      </c>
      <c r="AA16" s="318">
        <f t="shared" si="15"/>
        <v>4490.7051835660259</v>
      </c>
      <c r="AB16" s="318">
        <f t="shared" si="15"/>
        <v>4916.3005448614567</v>
      </c>
      <c r="AC16" s="318">
        <f t="shared" si="15"/>
        <v>5380.5903337990731</v>
      </c>
      <c r="AD16" s="318">
        <f t="shared" si="15"/>
        <v>5887.0930759960647</v>
      </c>
      <c r="AE16" s="318">
        <f t="shared" si="15"/>
        <v>6439.6475238329713</v>
      </c>
      <c r="AF16" s="318">
        <f t="shared" si="15"/>
        <v>7047.9030312527748</v>
      </c>
    </row>
    <row r="17" spans="1:33" x14ac:dyDescent="0.45">
      <c r="C17" s="328"/>
      <c r="D17" s="329"/>
      <c r="E17" s="329"/>
      <c r="F17" s="329"/>
      <c r="G17" s="329"/>
      <c r="H17" s="330"/>
      <c r="I17" s="330"/>
      <c r="J17" s="330"/>
      <c r="K17" s="330"/>
      <c r="L17" s="330"/>
      <c r="M17" s="330"/>
      <c r="N17" s="330"/>
      <c r="O17" s="330"/>
      <c r="P17" s="330"/>
      <c r="Q17" s="330"/>
      <c r="R17" s="330"/>
      <c r="S17" s="330"/>
      <c r="T17" s="330"/>
      <c r="U17" s="330"/>
      <c r="V17" s="330"/>
      <c r="W17" s="330"/>
      <c r="X17" s="330"/>
      <c r="Y17" s="330"/>
      <c r="Z17" s="330"/>
      <c r="AA17" s="330"/>
      <c r="AB17" s="330"/>
      <c r="AC17" s="330"/>
      <c r="AD17" s="330"/>
      <c r="AE17" s="330"/>
      <c r="AF17" s="330"/>
    </row>
    <row r="18" spans="1:33" x14ac:dyDescent="0.45">
      <c r="A18" s="674" t="s">
        <v>295</v>
      </c>
      <c r="B18" s="310">
        <v>12</v>
      </c>
      <c r="C18" s="316" t="s">
        <v>296</v>
      </c>
      <c r="D18" s="325">
        <v>663</v>
      </c>
      <c r="E18" s="325">
        <v>774</v>
      </c>
      <c r="F18" s="325">
        <v>710</v>
      </c>
      <c r="G18" s="325">
        <v>692</v>
      </c>
      <c r="H18" s="326">
        <f>H11+H12+H13+H15</f>
        <v>588.07877254746336</v>
      </c>
      <c r="I18" s="326">
        <f t="shared" ref="I18:AF18" si="16">I11+I12+I13+I15</f>
        <v>712.66288764740898</v>
      </c>
      <c r="J18" s="326">
        <f t="shared" si="16"/>
        <v>775.35568018079448</v>
      </c>
      <c r="K18" s="326">
        <f t="shared" si="16"/>
        <v>877.98742331746041</v>
      </c>
      <c r="L18" s="326">
        <f t="shared" si="16"/>
        <v>1008.5743896738406</v>
      </c>
      <c r="M18" s="326">
        <f t="shared" si="16"/>
        <v>1165.2139257231538</v>
      </c>
      <c r="N18" s="326">
        <f t="shared" si="16"/>
        <v>1338.2275485451739</v>
      </c>
      <c r="O18" s="326">
        <f t="shared" si="16"/>
        <v>1474.775777213576</v>
      </c>
      <c r="P18" s="326">
        <f t="shared" si="16"/>
        <v>1624.1886515022527</v>
      </c>
      <c r="Q18" s="326">
        <f t="shared" si="16"/>
        <v>1787.8046123632107</v>
      </c>
      <c r="R18" s="326">
        <f t="shared" si="16"/>
        <v>1966.6672033950101</v>
      </c>
      <c r="S18" s="326">
        <f t="shared" si="16"/>
        <v>2161.9668506739081</v>
      </c>
      <c r="T18" s="326">
        <f t="shared" si="16"/>
        <v>2375.133445855271</v>
      </c>
      <c r="U18" s="326">
        <f t="shared" si="16"/>
        <v>2607.7524067878176</v>
      </c>
      <c r="V18" s="326">
        <f t="shared" si="16"/>
        <v>2861.5624809392662</v>
      </c>
      <c r="W18" s="326">
        <f t="shared" si="16"/>
        <v>3138.4664700261083</v>
      </c>
      <c r="X18" s="326">
        <f t="shared" si="16"/>
        <v>3440.5470502801359</v>
      </c>
      <c r="Y18" s="326">
        <f t="shared" si="16"/>
        <v>3770.0814327094899</v>
      </c>
      <c r="Z18" s="326">
        <f t="shared" si="16"/>
        <v>4129.5559926969891</v>
      </c>
      <c r="AA18" s="326">
        <f t="shared" si="16"/>
        <v>4521.6849438324152</v>
      </c>
      <c r="AB18" s="326">
        <f t="shared" si="16"/>
        <v>4949.4310040410655</v>
      </c>
      <c r="AC18" s="326">
        <f t="shared" si="16"/>
        <v>5416.0274061074533</v>
      </c>
      <c r="AD18" s="326">
        <f t="shared" si="16"/>
        <v>5925.0019800563723</v>
      </c>
      <c r="AE18" s="326">
        <f t="shared" si="16"/>
        <v>6480.203916860738</v>
      </c>
      <c r="AF18" s="326">
        <f t="shared" si="16"/>
        <v>7091.2940777707527</v>
      </c>
    </row>
    <row r="19" spans="1:33" x14ac:dyDescent="0.45">
      <c r="A19" s="675"/>
      <c r="B19" s="310">
        <v>13</v>
      </c>
      <c r="C19" s="331" t="s">
        <v>297</v>
      </c>
      <c r="D19" s="394">
        <v>-145.6</v>
      </c>
      <c r="E19" s="394">
        <v>-166</v>
      </c>
      <c r="F19" s="394">
        <v>-168.1</v>
      </c>
      <c r="G19" s="394">
        <v>-221.9</v>
      </c>
      <c r="H19" s="333">
        <f t="shared" ref="H19:AF19" si="17">$D$55*H6</f>
        <v>208.62313359875</v>
      </c>
      <c r="I19" s="333">
        <f t="shared" si="17"/>
        <v>227.9970635025</v>
      </c>
      <c r="J19" s="333">
        <f t="shared" si="17"/>
        <v>258.54867001183499</v>
      </c>
      <c r="K19" s="333">
        <f t="shared" si="17"/>
        <v>293.19419179342083</v>
      </c>
      <c r="L19" s="333">
        <f t="shared" si="17"/>
        <v>332.48221349373921</v>
      </c>
      <c r="M19" s="333">
        <f t="shared" si="17"/>
        <v>377.03483010190024</v>
      </c>
      <c r="N19" s="333">
        <f t="shared" si="17"/>
        <v>427.55749733555484</v>
      </c>
      <c r="O19" s="333">
        <f t="shared" si="17"/>
        <v>457.48652214904365</v>
      </c>
      <c r="P19" s="333">
        <f t="shared" si="17"/>
        <v>489.51057869947675</v>
      </c>
      <c r="Q19" s="333">
        <f t="shared" si="17"/>
        <v>523.77631920844021</v>
      </c>
      <c r="R19" s="333">
        <f t="shared" si="17"/>
        <v>560.44066155303108</v>
      </c>
      <c r="S19" s="333">
        <f t="shared" si="17"/>
        <v>599.67150786174329</v>
      </c>
      <c r="T19" s="333">
        <f t="shared" si="17"/>
        <v>641.64851341206531</v>
      </c>
      <c r="U19" s="333">
        <f t="shared" si="17"/>
        <v>686.56390935090997</v>
      </c>
      <c r="V19" s="333">
        <f t="shared" si="17"/>
        <v>734.62338300547378</v>
      </c>
      <c r="W19" s="333">
        <f t="shared" si="17"/>
        <v>786.04701981585697</v>
      </c>
      <c r="X19" s="333">
        <f t="shared" si="17"/>
        <v>841.0703112029671</v>
      </c>
      <c r="Y19" s="333">
        <f t="shared" si="17"/>
        <v>899.94523298717479</v>
      </c>
      <c r="Z19" s="333">
        <f t="shared" si="17"/>
        <v>962.94139929627704</v>
      </c>
      <c r="AA19" s="333">
        <f t="shared" si="17"/>
        <v>1030.3472972470165</v>
      </c>
      <c r="AB19" s="333">
        <f t="shared" si="17"/>
        <v>1102.4716080543078</v>
      </c>
      <c r="AC19" s="333">
        <f t="shared" si="17"/>
        <v>1179.6446206181095</v>
      </c>
      <c r="AD19" s="333">
        <f t="shared" si="17"/>
        <v>1262.2197440613772</v>
      </c>
      <c r="AE19" s="333">
        <f t="shared" si="17"/>
        <v>1350.5751261456735</v>
      </c>
      <c r="AF19" s="333">
        <f t="shared" si="17"/>
        <v>1445.1153849758707</v>
      </c>
    </row>
    <row r="20" spans="1:33" x14ac:dyDescent="0.45">
      <c r="A20" s="675"/>
      <c r="B20" s="310">
        <v>14</v>
      </c>
      <c r="C20" s="331" t="s">
        <v>298</v>
      </c>
      <c r="D20" s="342">
        <f>T94</f>
        <v>130</v>
      </c>
      <c r="E20" s="342">
        <f t="shared" ref="E20:G20" si="18">U94</f>
        <v>-130</v>
      </c>
      <c r="F20" s="342">
        <f t="shared" si="18"/>
        <v>9</v>
      </c>
      <c r="G20" s="342">
        <f t="shared" si="18"/>
        <v>331</v>
      </c>
      <c r="H20" s="326">
        <f t="shared" ref="H20:I20" si="19">$D$56*(H6-G6)</f>
        <v>40.755690650134696</v>
      </c>
      <c r="I20" s="326">
        <f t="shared" si="19"/>
        <v>39.715917697538217</v>
      </c>
      <c r="J20" s="326">
        <f>$D$56*(J6-I6)</f>
        <v>62.629786299446636</v>
      </c>
      <c r="K20" s="326">
        <f>$D$56*(K6-J6)</f>
        <v>71.022177663572435</v>
      </c>
      <c r="L20" s="326">
        <f>$E$56*(L6-K6)</f>
        <v>80.539149470491125</v>
      </c>
      <c r="M20" s="326">
        <f t="shared" ref="M20:Z20" si="20">$E$56*(M6-L6)</f>
        <v>91.331395499536995</v>
      </c>
      <c r="N20" s="326">
        <f t="shared" si="20"/>
        <v>103.56980249647489</v>
      </c>
      <c r="O20" s="326">
        <f t="shared" si="20"/>
        <v>61.353514344553645</v>
      </c>
      <c r="P20" s="326">
        <f t="shared" si="20"/>
        <v>65.648260348672437</v>
      </c>
      <c r="Q20" s="326">
        <f t="shared" si="20"/>
        <v>70.243638573079508</v>
      </c>
      <c r="R20" s="326">
        <f t="shared" si="20"/>
        <v>75.160693273195079</v>
      </c>
      <c r="S20" s="326">
        <f t="shared" si="20"/>
        <v>80.421941802318742</v>
      </c>
      <c r="T20" s="326">
        <f t="shared" si="20"/>
        <v>86.051477728481075</v>
      </c>
      <c r="U20" s="326">
        <f t="shared" si="20"/>
        <v>92.075081169474871</v>
      </c>
      <c r="V20" s="326">
        <f t="shared" si="20"/>
        <v>98.520336851338016</v>
      </c>
      <c r="W20" s="326">
        <f t="shared" si="20"/>
        <v>105.41676043093163</v>
      </c>
      <c r="X20" s="326">
        <f t="shared" si="20"/>
        <v>112.795933661097</v>
      </c>
      <c r="Y20" s="326">
        <f t="shared" si="20"/>
        <v>120.69164901737356</v>
      </c>
      <c r="Z20" s="326">
        <f t="shared" si="20"/>
        <v>129.14006444858967</v>
      </c>
      <c r="AA20" s="326">
        <f t="shared" ref="AA20:AF20" si="21">$E$56*(AA6-Z6)</f>
        <v>138.17986895999104</v>
      </c>
      <c r="AB20" s="326">
        <f t="shared" si="21"/>
        <v>147.85245978719058</v>
      </c>
      <c r="AC20" s="326">
        <f t="shared" si="21"/>
        <v>158.20213197229396</v>
      </c>
      <c r="AD20" s="326">
        <f t="shared" si="21"/>
        <v>169.27628121035443</v>
      </c>
      <c r="AE20" s="326">
        <f t="shared" si="21"/>
        <v>181.12562089507909</v>
      </c>
      <c r="AF20" s="326">
        <f t="shared" si="21"/>
        <v>193.80441435773469</v>
      </c>
    </row>
    <row r="21" spans="1:33" x14ac:dyDescent="0.45">
      <c r="A21" s="675"/>
      <c r="B21" s="310">
        <v>15</v>
      </c>
      <c r="C21" s="335" t="s">
        <v>299</v>
      </c>
      <c r="D21" s="336">
        <f>D18+D19+D20</f>
        <v>647.4</v>
      </c>
      <c r="E21" s="336">
        <f>E18+E19+E20</f>
        <v>478</v>
      </c>
      <c r="F21" s="336">
        <f>F18+F19+F20</f>
        <v>550.9</v>
      </c>
      <c r="G21" s="336">
        <f t="shared" ref="G21:AF21" si="22">G18+G19+G20</f>
        <v>801.1</v>
      </c>
      <c r="H21" s="336">
        <f t="shared" si="22"/>
        <v>837.45759679634807</v>
      </c>
      <c r="I21" s="336">
        <f t="shared" si="22"/>
        <v>980.37586884744712</v>
      </c>
      <c r="J21" s="336">
        <f t="shared" si="22"/>
        <v>1096.534136492076</v>
      </c>
      <c r="K21" s="336">
        <f t="shared" si="22"/>
        <v>1242.2037927744536</v>
      </c>
      <c r="L21" s="336">
        <f t="shared" si="22"/>
        <v>1421.595752638071</v>
      </c>
      <c r="M21" s="336">
        <f t="shared" si="22"/>
        <v>1633.580151324591</v>
      </c>
      <c r="N21" s="336">
        <f t="shared" si="22"/>
        <v>1869.3548483772038</v>
      </c>
      <c r="O21" s="336">
        <f t="shared" si="22"/>
        <v>1993.6158137071732</v>
      </c>
      <c r="P21" s="336">
        <f t="shared" si="22"/>
        <v>2179.3474905504017</v>
      </c>
      <c r="Q21" s="336">
        <f t="shared" si="22"/>
        <v>2381.8245701447304</v>
      </c>
      <c r="R21" s="336">
        <f t="shared" si="22"/>
        <v>2602.2685582212366</v>
      </c>
      <c r="S21" s="336">
        <f t="shared" si="22"/>
        <v>2842.0603003379701</v>
      </c>
      <c r="T21" s="336">
        <f t="shared" si="22"/>
        <v>3102.8334369958175</v>
      </c>
      <c r="U21" s="336">
        <f t="shared" si="22"/>
        <v>3386.3913973082022</v>
      </c>
      <c r="V21" s="336">
        <f t="shared" si="22"/>
        <v>3694.7062007960781</v>
      </c>
      <c r="W21" s="336">
        <f t="shared" si="22"/>
        <v>4029.930250272897</v>
      </c>
      <c r="X21" s="336">
        <f t="shared" si="22"/>
        <v>4394.4132951441998</v>
      </c>
      <c r="Y21" s="336">
        <f t="shared" si="22"/>
        <v>4790.7183147140386</v>
      </c>
      <c r="Z21" s="336">
        <f t="shared" si="22"/>
        <v>5221.6374564418556</v>
      </c>
      <c r="AA21" s="336">
        <f t="shared" si="22"/>
        <v>5690.2121100394224</v>
      </c>
      <c r="AB21" s="336">
        <f t="shared" si="22"/>
        <v>6199.7550718825642</v>
      </c>
      <c r="AC21" s="336">
        <f t="shared" si="22"/>
        <v>6753.8741586978558</v>
      </c>
      <c r="AD21" s="336">
        <f t="shared" si="22"/>
        <v>7356.4980053281042</v>
      </c>
      <c r="AE21" s="336">
        <f t="shared" si="22"/>
        <v>8011.9046639014905</v>
      </c>
      <c r="AF21" s="336">
        <f t="shared" si="22"/>
        <v>8730.2138771043592</v>
      </c>
    </row>
    <row r="22" spans="1:33" x14ac:dyDescent="0.45">
      <c r="A22" s="675"/>
      <c r="B22" s="310">
        <v>16</v>
      </c>
      <c r="C22" s="331" t="s">
        <v>300</v>
      </c>
      <c r="D22" s="334">
        <v>-35</v>
      </c>
      <c r="E22" s="334">
        <v>-23</v>
      </c>
      <c r="F22" s="334">
        <v>-24</v>
      </c>
      <c r="G22" s="334">
        <v>-25</v>
      </c>
      <c r="H22" s="337">
        <f t="shared" ref="H22:I22" si="23">-$D$57*H6</f>
        <v>-34.820248242000005</v>
      </c>
      <c r="I22" s="337">
        <f t="shared" si="23"/>
        <v>-38.053854396000006</v>
      </c>
      <c r="J22" s="337">
        <f>-$D$57*J6</f>
        <v>-43.153070885064004</v>
      </c>
      <c r="K22" s="337">
        <f>-$D$57*K6</f>
        <v>-48.935582383662577</v>
      </c>
      <c r="L22" s="337">
        <f>-$E$57*L6</f>
        <v>-70.066912514431209</v>
      </c>
      <c r="M22" s="337">
        <f t="shared" ref="M22:Z22" si="24">-$E$57*M6</f>
        <v>-79.455878791364981</v>
      </c>
      <c r="N22" s="337">
        <f t="shared" si="24"/>
        <v>-90.102966549407881</v>
      </c>
      <c r="O22" s="337">
        <f t="shared" si="24"/>
        <v>-96.410174207866447</v>
      </c>
      <c r="P22" s="337">
        <f t="shared" si="24"/>
        <v>-103.1588864024171</v>
      </c>
      <c r="Q22" s="337">
        <f t="shared" si="24"/>
        <v>-110.3800084505863</v>
      </c>
      <c r="R22" s="337">
        <f t="shared" si="24"/>
        <v>-118.10660904212736</v>
      </c>
      <c r="S22" s="337">
        <f t="shared" si="24"/>
        <v>-126.37407167507628</v>
      </c>
      <c r="T22" s="337">
        <f t="shared" si="24"/>
        <v>-135.22025669233162</v>
      </c>
      <c r="U22" s="337">
        <f t="shared" si="24"/>
        <v>-144.68567466079486</v>
      </c>
      <c r="V22" s="337">
        <f t="shared" si="24"/>
        <v>-154.81367188705053</v>
      </c>
      <c r="W22" s="337">
        <f t="shared" si="24"/>
        <v>-165.65062891914405</v>
      </c>
      <c r="X22" s="337">
        <f t="shared" si="24"/>
        <v>-177.24617294348417</v>
      </c>
      <c r="Y22" s="337">
        <f t="shared" si="24"/>
        <v>-189.65340504952806</v>
      </c>
      <c r="Z22" s="337">
        <f t="shared" si="24"/>
        <v>-202.92914340299504</v>
      </c>
      <c r="AA22" s="337">
        <f t="shared" ref="AA22:AF22" si="25">-$E$57*AA6</f>
        <v>-217.1341834412047</v>
      </c>
      <c r="AB22" s="337">
        <f t="shared" si="25"/>
        <v>-232.33357628208904</v>
      </c>
      <c r="AC22" s="337">
        <f t="shared" si="25"/>
        <v>-248.59692662183531</v>
      </c>
      <c r="AD22" s="337">
        <f t="shared" si="25"/>
        <v>-265.9987114853638</v>
      </c>
      <c r="AE22" s="337">
        <f t="shared" si="25"/>
        <v>-284.61862128933927</v>
      </c>
      <c r="AF22" s="337">
        <f t="shared" si="25"/>
        <v>-304.54192477959305</v>
      </c>
    </row>
    <row r="23" spans="1:33" x14ac:dyDescent="0.45">
      <c r="A23" s="675"/>
      <c r="B23" s="310">
        <v>17</v>
      </c>
      <c r="C23" s="331" t="s">
        <v>301</v>
      </c>
      <c r="D23" s="342">
        <v>-7</v>
      </c>
      <c r="E23" s="342">
        <v>-3</v>
      </c>
      <c r="F23" s="334">
        <v>-0.7</v>
      </c>
      <c r="G23" s="334">
        <v>-5.8</v>
      </c>
      <c r="H23" s="318">
        <v>0</v>
      </c>
      <c r="I23" s="318">
        <v>0</v>
      </c>
      <c r="J23" s="318">
        <v>0</v>
      </c>
      <c r="K23" s="318">
        <v>0</v>
      </c>
      <c r="L23" s="318">
        <v>0</v>
      </c>
      <c r="M23" s="318">
        <v>0</v>
      </c>
      <c r="N23" s="318">
        <v>0</v>
      </c>
      <c r="O23" s="318">
        <v>0</v>
      </c>
      <c r="P23" s="318">
        <v>0</v>
      </c>
      <c r="Q23" s="318">
        <v>0</v>
      </c>
      <c r="R23" s="318">
        <v>0</v>
      </c>
      <c r="S23" s="318">
        <v>0</v>
      </c>
      <c r="T23" s="318">
        <v>0</v>
      </c>
      <c r="U23" s="318">
        <v>0</v>
      </c>
      <c r="V23" s="318">
        <v>0</v>
      </c>
      <c r="W23" s="318">
        <v>0</v>
      </c>
      <c r="X23" s="318">
        <v>0</v>
      </c>
      <c r="Y23" s="318">
        <v>0</v>
      </c>
      <c r="Z23" s="318">
        <v>0</v>
      </c>
      <c r="AA23" s="318">
        <v>0</v>
      </c>
      <c r="AB23" s="318">
        <v>0</v>
      </c>
      <c r="AC23" s="318">
        <v>0</v>
      </c>
      <c r="AD23" s="318">
        <v>0</v>
      </c>
      <c r="AE23" s="318">
        <v>0</v>
      </c>
      <c r="AF23" s="318">
        <v>0</v>
      </c>
    </row>
    <row r="24" spans="1:33" x14ac:dyDescent="0.45">
      <c r="A24" s="675"/>
      <c r="B24" s="310">
        <v>18</v>
      </c>
      <c r="C24" s="335" t="s">
        <v>302</v>
      </c>
      <c r="D24" s="338">
        <f>D22+D23</f>
        <v>-42</v>
      </c>
      <c r="E24" s="338">
        <f>E22+E23</f>
        <v>-26</v>
      </c>
      <c r="F24" s="338">
        <f>F22+F23</f>
        <v>-24.7</v>
      </c>
      <c r="G24" s="338">
        <f t="shared" ref="G24:AF24" si="26">G22+G23</f>
        <v>-30.8</v>
      </c>
      <c r="H24" s="338">
        <f t="shared" si="26"/>
        <v>-34.820248242000005</v>
      </c>
      <c r="I24" s="338">
        <f t="shared" si="26"/>
        <v>-38.053854396000006</v>
      </c>
      <c r="J24" s="338">
        <f t="shared" si="26"/>
        <v>-43.153070885064004</v>
      </c>
      <c r="K24" s="338">
        <f t="shared" si="26"/>
        <v>-48.935582383662577</v>
      </c>
      <c r="L24" s="338">
        <f t="shared" si="26"/>
        <v>-70.066912514431209</v>
      </c>
      <c r="M24" s="338">
        <f t="shared" si="26"/>
        <v>-79.455878791364981</v>
      </c>
      <c r="N24" s="338">
        <f t="shared" si="26"/>
        <v>-90.102966549407881</v>
      </c>
      <c r="O24" s="338">
        <f t="shared" si="26"/>
        <v>-96.410174207866447</v>
      </c>
      <c r="P24" s="338">
        <f t="shared" si="26"/>
        <v>-103.1588864024171</v>
      </c>
      <c r="Q24" s="338">
        <f t="shared" si="26"/>
        <v>-110.3800084505863</v>
      </c>
      <c r="R24" s="338">
        <f t="shared" si="26"/>
        <v>-118.10660904212736</v>
      </c>
      <c r="S24" s="338">
        <f t="shared" si="26"/>
        <v>-126.37407167507628</v>
      </c>
      <c r="T24" s="338">
        <f t="shared" si="26"/>
        <v>-135.22025669233162</v>
      </c>
      <c r="U24" s="338">
        <f t="shared" si="26"/>
        <v>-144.68567466079486</v>
      </c>
      <c r="V24" s="338">
        <f t="shared" si="26"/>
        <v>-154.81367188705053</v>
      </c>
      <c r="W24" s="338">
        <f t="shared" si="26"/>
        <v>-165.65062891914405</v>
      </c>
      <c r="X24" s="338">
        <f t="shared" si="26"/>
        <v>-177.24617294348417</v>
      </c>
      <c r="Y24" s="338">
        <f t="shared" si="26"/>
        <v>-189.65340504952806</v>
      </c>
      <c r="Z24" s="338">
        <f t="shared" si="26"/>
        <v>-202.92914340299504</v>
      </c>
      <c r="AA24" s="338">
        <f t="shared" si="26"/>
        <v>-217.1341834412047</v>
      </c>
      <c r="AB24" s="338">
        <f t="shared" si="26"/>
        <v>-232.33357628208904</v>
      </c>
      <c r="AC24" s="338">
        <f t="shared" si="26"/>
        <v>-248.59692662183531</v>
      </c>
      <c r="AD24" s="338">
        <f t="shared" si="26"/>
        <v>-265.9987114853638</v>
      </c>
      <c r="AE24" s="338">
        <f t="shared" si="26"/>
        <v>-284.61862128933927</v>
      </c>
      <c r="AF24" s="338">
        <f t="shared" si="26"/>
        <v>-304.54192477959305</v>
      </c>
    </row>
    <row r="25" spans="1:33" s="315" customFormat="1" x14ac:dyDescent="0.45">
      <c r="A25" s="675"/>
      <c r="B25" s="310">
        <v>19</v>
      </c>
      <c r="C25" s="331" t="s">
        <v>303</v>
      </c>
      <c r="D25" s="339">
        <v>-23</v>
      </c>
      <c r="E25" s="339">
        <v>-22</v>
      </c>
      <c r="F25" s="339">
        <v>-23</v>
      </c>
      <c r="G25" s="339">
        <v>-24</v>
      </c>
      <c r="H25" s="326">
        <f t="shared" ref="H25:AF25" si="27">AVERAGE(D25:G25)</f>
        <v>-23</v>
      </c>
      <c r="I25" s="326">
        <f t="shared" si="27"/>
        <v>-23</v>
      </c>
      <c r="J25" s="326">
        <f t="shared" si="27"/>
        <v>-23.25</v>
      </c>
      <c r="K25" s="326">
        <f t="shared" si="27"/>
        <v>-23.3125</v>
      </c>
      <c r="L25" s="326">
        <f t="shared" si="27"/>
        <v>-23.140625</v>
      </c>
      <c r="M25" s="326">
        <f t="shared" si="27"/>
        <v>-23.17578125</v>
      </c>
      <c r="N25" s="326">
        <f t="shared" si="27"/>
        <v>-23.2197265625</v>
      </c>
      <c r="O25" s="326">
        <f t="shared" si="27"/>
        <v>-23.212158203125</v>
      </c>
      <c r="P25" s="326">
        <f t="shared" si="27"/>
        <v>-23.18707275390625</v>
      </c>
      <c r="Q25" s="326">
        <f t="shared" si="27"/>
        <v>-23.198684692382813</v>
      </c>
      <c r="R25" s="326">
        <f t="shared" si="27"/>
        <v>-23.204410552978516</v>
      </c>
      <c r="S25" s="326">
        <f t="shared" si="27"/>
        <v>-23.200581550598145</v>
      </c>
      <c r="T25" s="326">
        <f t="shared" si="27"/>
        <v>-23.197687387466431</v>
      </c>
      <c r="U25" s="326">
        <f t="shared" si="27"/>
        <v>-23.200341045856476</v>
      </c>
      <c r="V25" s="326">
        <f t="shared" si="27"/>
        <v>-23.200755134224892</v>
      </c>
      <c r="W25" s="326">
        <f t="shared" si="27"/>
        <v>-23.199841279536486</v>
      </c>
      <c r="X25" s="326">
        <f t="shared" si="27"/>
        <v>-23.199656211771071</v>
      </c>
      <c r="Y25" s="326">
        <f t="shared" si="27"/>
        <v>-23.200148417847231</v>
      </c>
      <c r="Z25" s="326">
        <f t="shared" si="27"/>
        <v>-23.20010026084492</v>
      </c>
      <c r="AA25" s="326">
        <f t="shared" si="27"/>
        <v>-23.199936542499927</v>
      </c>
      <c r="AB25" s="326">
        <f t="shared" si="27"/>
        <v>-23.199960358240787</v>
      </c>
      <c r="AC25" s="326">
        <f t="shared" si="27"/>
        <v>-23.200036394858216</v>
      </c>
      <c r="AD25" s="326">
        <f t="shared" si="27"/>
        <v>-23.200008389110963</v>
      </c>
      <c r="AE25" s="326">
        <f t="shared" si="27"/>
        <v>-23.199985421177473</v>
      </c>
      <c r="AF25" s="326">
        <f t="shared" si="27"/>
        <v>-23.19999764084686</v>
      </c>
      <c r="AG25" s="340"/>
    </row>
    <row r="26" spans="1:33" x14ac:dyDescent="0.45">
      <c r="A26" s="675"/>
      <c r="B26" s="310">
        <v>20</v>
      </c>
      <c r="C26" s="341" t="s">
        <v>304</v>
      </c>
      <c r="D26" s="334">
        <v>300</v>
      </c>
      <c r="E26" s="342">
        <v>-45</v>
      </c>
      <c r="F26" s="342">
        <v>0</v>
      </c>
      <c r="G26" s="342">
        <v>0</v>
      </c>
      <c r="H26" s="343">
        <f t="shared" ref="H26:AF26" si="28">(H37-G37)</f>
        <v>0</v>
      </c>
      <c r="I26" s="343">
        <f t="shared" si="28"/>
        <v>0</v>
      </c>
      <c r="J26" s="343">
        <f t="shared" si="28"/>
        <v>0</v>
      </c>
      <c r="K26" s="343">
        <f t="shared" si="28"/>
        <v>0</v>
      </c>
      <c r="L26" s="343">
        <f t="shared" si="28"/>
        <v>0</v>
      </c>
      <c r="M26" s="343">
        <f t="shared" si="28"/>
        <v>0</v>
      </c>
      <c r="N26" s="343">
        <f t="shared" si="28"/>
        <v>0</v>
      </c>
      <c r="O26" s="343">
        <f t="shared" si="28"/>
        <v>0</v>
      </c>
      <c r="P26" s="343">
        <f t="shared" si="28"/>
        <v>0</v>
      </c>
      <c r="Q26" s="343">
        <f t="shared" si="28"/>
        <v>0</v>
      </c>
      <c r="R26" s="343">
        <f t="shared" si="28"/>
        <v>0</v>
      </c>
      <c r="S26" s="343">
        <f t="shared" si="28"/>
        <v>0</v>
      </c>
      <c r="T26" s="343">
        <f t="shared" si="28"/>
        <v>0</v>
      </c>
      <c r="U26" s="343">
        <f t="shared" si="28"/>
        <v>0</v>
      </c>
      <c r="V26" s="343">
        <f t="shared" si="28"/>
        <v>0</v>
      </c>
      <c r="W26" s="343">
        <f t="shared" si="28"/>
        <v>0</v>
      </c>
      <c r="X26" s="343">
        <f t="shared" si="28"/>
        <v>0</v>
      </c>
      <c r="Y26" s="343">
        <f t="shared" si="28"/>
        <v>0</v>
      </c>
      <c r="Z26" s="343">
        <f t="shared" si="28"/>
        <v>0</v>
      </c>
      <c r="AA26" s="343">
        <f t="shared" si="28"/>
        <v>0</v>
      </c>
      <c r="AB26" s="343">
        <f t="shared" si="28"/>
        <v>0</v>
      </c>
      <c r="AC26" s="343">
        <f t="shared" si="28"/>
        <v>0</v>
      </c>
      <c r="AD26" s="343">
        <f t="shared" si="28"/>
        <v>0</v>
      </c>
      <c r="AE26" s="343">
        <f t="shared" si="28"/>
        <v>0</v>
      </c>
      <c r="AF26" s="343">
        <f t="shared" si="28"/>
        <v>0</v>
      </c>
    </row>
    <row r="27" spans="1:33" x14ac:dyDescent="0.45">
      <c r="A27" s="675"/>
      <c r="B27" s="310">
        <v>21</v>
      </c>
      <c r="C27" s="331" t="s">
        <v>305</v>
      </c>
      <c r="D27" s="334">
        <v>-161</v>
      </c>
      <c r="E27" s="334">
        <v>-135</v>
      </c>
      <c r="F27" s="334">
        <v>-206</v>
      </c>
      <c r="G27" s="334">
        <v>-196</v>
      </c>
      <c r="H27" s="344">
        <f t="shared" ref="H27:AF27" si="29">AVERAGE(D27:G27)</f>
        <v>-174.5</v>
      </c>
      <c r="I27" s="344">
        <f t="shared" si="29"/>
        <v>-177.875</v>
      </c>
      <c r="J27" s="344">
        <f t="shared" si="29"/>
        <v>-188.59375</v>
      </c>
      <c r="K27" s="344">
        <f t="shared" si="29"/>
        <v>-184.2421875</v>
      </c>
      <c r="L27" s="344">
        <f t="shared" si="29"/>
        <v>-181.302734375</v>
      </c>
      <c r="M27" s="344">
        <f t="shared" si="29"/>
        <v>-183.00341796875</v>
      </c>
      <c r="N27" s="344">
        <f t="shared" si="29"/>
        <v>-184.2855224609375</v>
      </c>
      <c r="O27" s="344">
        <f t="shared" si="29"/>
        <v>-183.20846557617188</v>
      </c>
      <c r="P27" s="344">
        <f t="shared" si="29"/>
        <v>-182.95003509521484</v>
      </c>
      <c r="Q27" s="344">
        <f t="shared" si="29"/>
        <v>-183.36186027526855</v>
      </c>
      <c r="R27" s="344">
        <f t="shared" si="29"/>
        <v>-183.45147085189819</v>
      </c>
      <c r="S27" s="344">
        <f t="shared" si="29"/>
        <v>-183.24295794963837</v>
      </c>
      <c r="T27" s="344">
        <f t="shared" si="29"/>
        <v>-183.25158104300499</v>
      </c>
      <c r="U27" s="344">
        <f t="shared" si="29"/>
        <v>-183.32696752995253</v>
      </c>
      <c r="V27" s="344">
        <f t="shared" si="29"/>
        <v>-183.31824434362352</v>
      </c>
      <c r="W27" s="344">
        <f t="shared" si="29"/>
        <v>-183.28493771655485</v>
      </c>
      <c r="X27" s="344">
        <f t="shared" si="29"/>
        <v>-183.29543265828397</v>
      </c>
      <c r="Y27" s="344">
        <f t="shared" si="29"/>
        <v>-183.30639556210372</v>
      </c>
      <c r="Z27" s="344">
        <f t="shared" si="29"/>
        <v>-183.30125257014151</v>
      </c>
      <c r="AA27" s="344">
        <f t="shared" si="29"/>
        <v>-183.29700462677101</v>
      </c>
      <c r="AB27" s="344">
        <f t="shared" si="29"/>
        <v>-183.30002135432505</v>
      </c>
      <c r="AC27" s="344">
        <f t="shared" si="29"/>
        <v>-183.30116852833532</v>
      </c>
      <c r="AD27" s="344">
        <f t="shared" si="29"/>
        <v>-183.29986176989323</v>
      </c>
      <c r="AE27" s="344">
        <f t="shared" si="29"/>
        <v>-183.29951406983116</v>
      </c>
      <c r="AF27" s="344">
        <f t="shared" si="29"/>
        <v>-183.3001414305962</v>
      </c>
    </row>
    <row r="28" spans="1:33" x14ac:dyDescent="0.45">
      <c r="A28" s="675"/>
      <c r="B28" s="310">
        <v>22</v>
      </c>
      <c r="C28" s="341" t="s">
        <v>306</v>
      </c>
      <c r="D28" s="334">
        <f>Cifras_Originales!E19</f>
        <v>0</v>
      </c>
      <c r="E28" s="334">
        <f>Cifras_Originales!D19</f>
        <v>0</v>
      </c>
      <c r="F28" s="334">
        <f>Cifras_Originales!C19</f>
        <v>0</v>
      </c>
      <c r="G28" s="334">
        <f>Cifras_Originales!B19</f>
        <v>0</v>
      </c>
      <c r="H28" s="337">
        <f t="shared" ref="H28:K28" si="30">(1+$D$58)*G28</f>
        <v>0</v>
      </c>
      <c r="I28" s="337">
        <f t="shared" si="30"/>
        <v>0</v>
      </c>
      <c r="J28" s="337">
        <f t="shared" si="30"/>
        <v>0</v>
      </c>
      <c r="K28" s="337">
        <f t="shared" si="30"/>
        <v>0</v>
      </c>
      <c r="L28" s="337">
        <f>(1+$E$58)*K28</f>
        <v>0</v>
      </c>
      <c r="M28" s="337">
        <f t="shared" ref="M28:AF28" si="31">(1+$E$58)*L28</f>
        <v>0</v>
      </c>
      <c r="N28" s="337">
        <f t="shared" si="31"/>
        <v>0</v>
      </c>
      <c r="O28" s="337">
        <f t="shared" si="31"/>
        <v>0</v>
      </c>
      <c r="P28" s="337">
        <f t="shared" si="31"/>
        <v>0</v>
      </c>
      <c r="Q28" s="337">
        <f t="shared" si="31"/>
        <v>0</v>
      </c>
      <c r="R28" s="337">
        <f t="shared" si="31"/>
        <v>0</v>
      </c>
      <c r="S28" s="337">
        <f t="shared" si="31"/>
        <v>0</v>
      </c>
      <c r="T28" s="337">
        <f t="shared" si="31"/>
        <v>0</v>
      </c>
      <c r="U28" s="337">
        <f t="shared" si="31"/>
        <v>0</v>
      </c>
      <c r="V28" s="337">
        <f t="shared" si="31"/>
        <v>0</v>
      </c>
      <c r="W28" s="337">
        <f t="shared" si="31"/>
        <v>0</v>
      </c>
      <c r="X28" s="337">
        <f t="shared" si="31"/>
        <v>0</v>
      </c>
      <c r="Y28" s="337">
        <f t="shared" si="31"/>
        <v>0</v>
      </c>
      <c r="Z28" s="337">
        <f t="shared" si="31"/>
        <v>0</v>
      </c>
      <c r="AA28" s="337">
        <f t="shared" si="31"/>
        <v>0</v>
      </c>
      <c r="AB28" s="337">
        <f t="shared" si="31"/>
        <v>0</v>
      </c>
      <c r="AC28" s="337">
        <f t="shared" si="31"/>
        <v>0</v>
      </c>
      <c r="AD28" s="337">
        <f t="shared" si="31"/>
        <v>0</v>
      </c>
      <c r="AE28" s="337">
        <f t="shared" si="31"/>
        <v>0</v>
      </c>
      <c r="AF28" s="337">
        <f t="shared" si="31"/>
        <v>0</v>
      </c>
    </row>
    <row r="29" spans="1:33" x14ac:dyDescent="0.45">
      <c r="A29" s="675"/>
      <c r="B29" s="310">
        <v>23</v>
      </c>
      <c r="C29" s="331" t="s">
        <v>307</v>
      </c>
      <c r="D29" s="334">
        <v>-0.9</v>
      </c>
      <c r="E29" s="334">
        <v>-0.5</v>
      </c>
      <c r="F29" s="334">
        <v>-1.3</v>
      </c>
      <c r="G29" s="334">
        <v>-1.3</v>
      </c>
      <c r="H29" s="326">
        <v>0</v>
      </c>
      <c r="I29" s="326">
        <v>0</v>
      </c>
      <c r="J29" s="326">
        <v>0</v>
      </c>
      <c r="K29" s="326">
        <v>0</v>
      </c>
      <c r="L29" s="326">
        <v>0</v>
      </c>
      <c r="M29" s="326">
        <v>0</v>
      </c>
      <c r="N29" s="326">
        <v>0</v>
      </c>
      <c r="O29" s="326">
        <v>0</v>
      </c>
      <c r="P29" s="326">
        <v>0</v>
      </c>
      <c r="Q29" s="326">
        <v>0</v>
      </c>
      <c r="R29" s="326">
        <v>0</v>
      </c>
      <c r="S29" s="326">
        <v>0</v>
      </c>
      <c r="T29" s="326">
        <v>0</v>
      </c>
      <c r="U29" s="326">
        <v>0</v>
      </c>
      <c r="V29" s="326">
        <v>0</v>
      </c>
      <c r="W29" s="326">
        <v>0</v>
      </c>
      <c r="X29" s="326">
        <v>0</v>
      </c>
      <c r="Y29" s="326">
        <v>0</v>
      </c>
      <c r="Z29" s="326">
        <v>0</v>
      </c>
      <c r="AA29" s="326">
        <v>0</v>
      </c>
      <c r="AB29" s="326">
        <v>0</v>
      </c>
      <c r="AC29" s="326">
        <v>0</v>
      </c>
      <c r="AD29" s="326">
        <v>0</v>
      </c>
      <c r="AE29" s="326">
        <v>0</v>
      </c>
      <c r="AF29" s="326">
        <v>0</v>
      </c>
    </row>
    <row r="30" spans="1:33" x14ac:dyDescent="0.45">
      <c r="A30" s="676"/>
      <c r="B30" s="310">
        <v>24</v>
      </c>
      <c r="C30" s="335" t="s">
        <v>308</v>
      </c>
      <c r="D30" s="338">
        <f>SUM(D25:D29)</f>
        <v>115.1</v>
      </c>
      <c r="E30" s="338">
        <f>SUM(E25:E29)</f>
        <v>-202.5</v>
      </c>
      <c r="F30" s="338">
        <f>SUM(F25:F29)</f>
        <v>-230.3</v>
      </c>
      <c r="G30" s="338">
        <f t="shared" ref="G30:AF30" si="32">SUM(G25:G29)</f>
        <v>-221.3</v>
      </c>
      <c r="H30" s="338">
        <f t="shared" si="32"/>
        <v>-197.5</v>
      </c>
      <c r="I30" s="338">
        <f t="shared" si="32"/>
        <v>-200.875</v>
      </c>
      <c r="J30" s="338">
        <f t="shared" si="32"/>
        <v>-211.84375</v>
      </c>
      <c r="K30" s="338">
        <f t="shared" si="32"/>
        <v>-207.5546875</v>
      </c>
      <c r="L30" s="338">
        <f t="shared" si="32"/>
        <v>-204.443359375</v>
      </c>
      <c r="M30" s="338">
        <f t="shared" si="32"/>
        <v>-206.17919921875</v>
      </c>
      <c r="N30" s="338">
        <f t="shared" si="32"/>
        <v>-207.5052490234375</v>
      </c>
      <c r="O30" s="338">
        <f t="shared" si="32"/>
        <v>-206.42062377929688</v>
      </c>
      <c r="P30" s="338">
        <f t="shared" si="32"/>
        <v>-206.13710784912109</v>
      </c>
      <c r="Q30" s="338">
        <f t="shared" si="32"/>
        <v>-206.56054496765137</v>
      </c>
      <c r="R30" s="338">
        <f t="shared" si="32"/>
        <v>-206.65588140487671</v>
      </c>
      <c r="S30" s="338">
        <f t="shared" si="32"/>
        <v>-206.44353950023651</v>
      </c>
      <c r="T30" s="338">
        <f t="shared" si="32"/>
        <v>-206.44926843047142</v>
      </c>
      <c r="U30" s="338">
        <f t="shared" si="32"/>
        <v>-206.527308575809</v>
      </c>
      <c r="V30" s="338">
        <f t="shared" si="32"/>
        <v>-206.51899947784841</v>
      </c>
      <c r="W30" s="338">
        <f t="shared" si="32"/>
        <v>-206.48477899609134</v>
      </c>
      <c r="X30" s="338">
        <f t="shared" si="32"/>
        <v>-206.49508887005504</v>
      </c>
      <c r="Y30" s="338">
        <f t="shared" si="32"/>
        <v>-206.50654397995095</v>
      </c>
      <c r="Z30" s="338">
        <f t="shared" si="32"/>
        <v>-206.50135283098643</v>
      </c>
      <c r="AA30" s="338">
        <f t="shared" si="32"/>
        <v>-206.49694116927094</v>
      </c>
      <c r="AB30" s="338">
        <f t="shared" si="32"/>
        <v>-206.49998171256584</v>
      </c>
      <c r="AC30" s="338">
        <f t="shared" si="32"/>
        <v>-206.50120492319354</v>
      </c>
      <c r="AD30" s="338">
        <f t="shared" si="32"/>
        <v>-206.49987015900419</v>
      </c>
      <c r="AE30" s="338">
        <f t="shared" si="32"/>
        <v>-206.49949949100863</v>
      </c>
      <c r="AF30" s="338">
        <f t="shared" si="32"/>
        <v>-206.50013907144307</v>
      </c>
    </row>
    <row r="31" spans="1:33" x14ac:dyDescent="0.45">
      <c r="C31" s="328"/>
      <c r="D31" s="329"/>
      <c r="E31" s="329"/>
      <c r="F31" s="329"/>
      <c r="G31" s="329"/>
      <c r="H31" s="330"/>
      <c r="I31" s="330"/>
      <c r="J31" s="330"/>
      <c r="K31" s="330"/>
      <c r="L31" s="330"/>
      <c r="M31" s="330"/>
      <c r="N31" s="330"/>
      <c r="O31" s="330"/>
      <c r="P31" s="330"/>
      <c r="Q31" s="330"/>
      <c r="R31" s="330"/>
      <c r="S31" s="330"/>
      <c r="T31" s="330"/>
      <c r="U31" s="330"/>
      <c r="V31" s="330"/>
      <c r="W31" s="330"/>
      <c r="X31" s="330"/>
      <c r="Y31" s="330"/>
      <c r="Z31" s="330"/>
      <c r="AA31" s="330"/>
      <c r="AB31" s="330"/>
      <c r="AC31" s="330"/>
      <c r="AD31" s="330"/>
      <c r="AE31" s="330"/>
      <c r="AF31" s="330"/>
    </row>
    <row r="32" spans="1:33" x14ac:dyDescent="0.45">
      <c r="A32" s="682" t="s">
        <v>309</v>
      </c>
      <c r="B32" s="310">
        <v>25</v>
      </c>
      <c r="C32" s="345" t="s">
        <v>310</v>
      </c>
      <c r="D32" s="346">
        <f>D21+D24+D25+D26+D29</f>
        <v>881.5</v>
      </c>
      <c r="E32" s="346">
        <f>E21+E24+E25+E26+E29</f>
        <v>384.5</v>
      </c>
      <c r="F32" s="346">
        <f>F21+F24+F25+F26+F29</f>
        <v>501.89999999999992</v>
      </c>
      <c r="G32" s="346">
        <f>G21+G24+G25+G26+G29</f>
        <v>745.00000000000011</v>
      </c>
      <c r="H32" s="347">
        <f t="shared" ref="H32:AF32" si="33">H21+H24+H25+H26+H29</f>
        <v>779.63734855434802</v>
      </c>
      <c r="I32" s="347">
        <f>I21+I24+I25+I26+I29</f>
        <v>919.3220144514471</v>
      </c>
      <c r="J32" s="347">
        <f t="shared" si="33"/>
        <v>1030.131065607012</v>
      </c>
      <c r="K32" s="347">
        <f t="shared" si="33"/>
        <v>1169.955710390791</v>
      </c>
      <c r="L32" s="347">
        <f t="shared" si="33"/>
        <v>1328.3882151236398</v>
      </c>
      <c r="M32" s="347">
        <f t="shared" si="33"/>
        <v>1530.9484912832261</v>
      </c>
      <c r="N32" s="347">
        <f t="shared" si="33"/>
        <v>1756.0321552652958</v>
      </c>
      <c r="O32" s="347">
        <f t="shared" si="33"/>
        <v>1873.9934812961817</v>
      </c>
      <c r="P32" s="347">
        <f t="shared" si="33"/>
        <v>2053.0015313940785</v>
      </c>
      <c r="Q32" s="347">
        <f t="shared" si="33"/>
        <v>2248.2458770017611</v>
      </c>
      <c r="R32" s="347">
        <f t="shared" si="33"/>
        <v>2460.9575386261308</v>
      </c>
      <c r="S32" s="347">
        <f t="shared" si="33"/>
        <v>2692.4856471122957</v>
      </c>
      <c r="T32" s="347">
        <f t="shared" si="33"/>
        <v>2944.4154929160195</v>
      </c>
      <c r="U32" s="347">
        <f t="shared" si="33"/>
        <v>3218.5053816015507</v>
      </c>
      <c r="V32" s="347">
        <f t="shared" si="33"/>
        <v>3516.6917737748026</v>
      </c>
      <c r="W32" s="347">
        <f t="shared" si="33"/>
        <v>3841.0797800742166</v>
      </c>
      <c r="X32" s="347">
        <f t="shared" si="33"/>
        <v>4193.9674659889442</v>
      </c>
      <c r="Y32" s="347">
        <f t="shared" si="33"/>
        <v>4577.864761246663</v>
      </c>
      <c r="Z32" s="347">
        <f t="shared" si="33"/>
        <v>4995.5082127780161</v>
      </c>
      <c r="AA32" s="347">
        <f t="shared" si="33"/>
        <v>5449.8779900557174</v>
      </c>
      <c r="AB32" s="347">
        <f t="shared" si="33"/>
        <v>5944.2215352422345</v>
      </c>
      <c r="AC32" s="347">
        <f t="shared" si="33"/>
        <v>6482.0771956811623</v>
      </c>
      <c r="AD32" s="347">
        <f t="shared" si="33"/>
        <v>7067.2992854536296</v>
      </c>
      <c r="AE32" s="347">
        <f t="shared" si="33"/>
        <v>7704.0860571909743</v>
      </c>
      <c r="AF32" s="347">
        <f t="shared" si="33"/>
        <v>8402.4719546839206</v>
      </c>
    </row>
    <row r="33" spans="1:32" x14ac:dyDescent="0.45">
      <c r="A33" s="683"/>
      <c r="B33" s="310">
        <v>26</v>
      </c>
      <c r="C33" s="345" t="s">
        <v>311</v>
      </c>
      <c r="D33" s="346">
        <f t="shared" ref="D33:AF33" si="34">(D27+D28)</f>
        <v>-161</v>
      </c>
      <c r="E33" s="346">
        <f t="shared" si="34"/>
        <v>-135</v>
      </c>
      <c r="F33" s="346">
        <f t="shared" si="34"/>
        <v>-206</v>
      </c>
      <c r="G33" s="346">
        <f t="shared" si="34"/>
        <v>-196</v>
      </c>
      <c r="H33" s="496">
        <f t="shared" si="34"/>
        <v>-174.5</v>
      </c>
      <c r="I33" s="496">
        <f t="shared" si="34"/>
        <v>-177.875</v>
      </c>
      <c r="J33" s="496">
        <f t="shared" si="34"/>
        <v>-188.59375</v>
      </c>
      <c r="K33" s="496">
        <f t="shared" si="34"/>
        <v>-184.2421875</v>
      </c>
      <c r="L33" s="496">
        <f t="shared" si="34"/>
        <v>-181.302734375</v>
      </c>
      <c r="M33" s="496">
        <f t="shared" si="34"/>
        <v>-183.00341796875</v>
      </c>
      <c r="N33" s="496">
        <f t="shared" si="34"/>
        <v>-184.2855224609375</v>
      </c>
      <c r="O33" s="496">
        <f t="shared" si="34"/>
        <v>-183.20846557617188</v>
      </c>
      <c r="P33" s="496">
        <f t="shared" si="34"/>
        <v>-182.95003509521484</v>
      </c>
      <c r="Q33" s="496">
        <f t="shared" si="34"/>
        <v>-183.36186027526855</v>
      </c>
      <c r="R33" s="496">
        <f t="shared" si="34"/>
        <v>-183.45147085189819</v>
      </c>
      <c r="S33" s="496">
        <f t="shared" si="34"/>
        <v>-183.24295794963837</v>
      </c>
      <c r="T33" s="496">
        <f t="shared" si="34"/>
        <v>-183.25158104300499</v>
      </c>
      <c r="U33" s="496">
        <f t="shared" si="34"/>
        <v>-183.32696752995253</v>
      </c>
      <c r="V33" s="496">
        <f t="shared" si="34"/>
        <v>-183.31824434362352</v>
      </c>
      <c r="W33" s="496">
        <f t="shared" si="34"/>
        <v>-183.28493771655485</v>
      </c>
      <c r="X33" s="496">
        <f t="shared" si="34"/>
        <v>-183.29543265828397</v>
      </c>
      <c r="Y33" s="496">
        <f t="shared" si="34"/>
        <v>-183.30639556210372</v>
      </c>
      <c r="Z33" s="496">
        <f t="shared" si="34"/>
        <v>-183.30125257014151</v>
      </c>
      <c r="AA33" s="496">
        <f t="shared" si="34"/>
        <v>-183.29700462677101</v>
      </c>
      <c r="AB33" s="496">
        <f t="shared" si="34"/>
        <v>-183.30002135432505</v>
      </c>
      <c r="AC33" s="496">
        <f t="shared" si="34"/>
        <v>-183.30116852833532</v>
      </c>
      <c r="AD33" s="496">
        <f t="shared" si="34"/>
        <v>-183.29986176989323</v>
      </c>
      <c r="AE33" s="496">
        <f t="shared" si="34"/>
        <v>-183.29951406983116</v>
      </c>
      <c r="AF33" s="496">
        <f t="shared" si="34"/>
        <v>-183.3001414305962</v>
      </c>
    </row>
    <row r="34" spans="1:32" x14ac:dyDescent="0.45">
      <c r="A34" s="684"/>
      <c r="B34" s="310">
        <v>27</v>
      </c>
      <c r="C34" s="345" t="s">
        <v>312</v>
      </c>
      <c r="D34" s="348">
        <f>D32-D33</f>
        <v>1042.5</v>
      </c>
      <c r="E34" s="332">
        <f>E32-E33</f>
        <v>519.5</v>
      </c>
      <c r="F34" s="332">
        <f>F32-F33</f>
        <v>707.89999999999986</v>
      </c>
      <c r="G34" s="332">
        <f>G32-G33</f>
        <v>941.00000000000011</v>
      </c>
      <c r="H34" s="349">
        <f t="shared" ref="H34:AF34" si="35">H32-H33</f>
        <v>954.13734855434802</v>
      </c>
      <c r="I34" s="349">
        <f t="shared" si="35"/>
        <v>1097.1970144514471</v>
      </c>
      <c r="J34" s="349">
        <f t="shared" si="35"/>
        <v>1218.724815607012</v>
      </c>
      <c r="K34" s="349">
        <f t="shared" si="35"/>
        <v>1354.197897890791</v>
      </c>
      <c r="L34" s="349">
        <f t="shared" si="35"/>
        <v>1509.6909494986398</v>
      </c>
      <c r="M34" s="349">
        <f t="shared" si="35"/>
        <v>1713.9519092519761</v>
      </c>
      <c r="N34" s="349">
        <f t="shared" si="35"/>
        <v>1940.3176777262333</v>
      </c>
      <c r="O34" s="349">
        <f t="shared" si="35"/>
        <v>2057.2019468723538</v>
      </c>
      <c r="P34" s="349">
        <f t="shared" si="35"/>
        <v>2235.9515664892933</v>
      </c>
      <c r="Q34" s="349">
        <f t="shared" si="35"/>
        <v>2431.6077372770296</v>
      </c>
      <c r="R34" s="349">
        <f t="shared" si="35"/>
        <v>2644.409009478029</v>
      </c>
      <c r="S34" s="349">
        <f t="shared" si="35"/>
        <v>2875.7286050619341</v>
      </c>
      <c r="T34" s="349">
        <f t="shared" si="35"/>
        <v>3127.6670739590245</v>
      </c>
      <c r="U34" s="349">
        <f t="shared" si="35"/>
        <v>3401.8323491315032</v>
      </c>
      <c r="V34" s="349">
        <f t="shared" si="35"/>
        <v>3700.0100181184262</v>
      </c>
      <c r="W34" s="349">
        <f t="shared" si="35"/>
        <v>4024.3647177907715</v>
      </c>
      <c r="X34" s="349">
        <f t="shared" si="35"/>
        <v>4377.2628986472282</v>
      </c>
      <c r="Y34" s="349">
        <f t="shared" si="35"/>
        <v>4761.1711568087667</v>
      </c>
      <c r="Z34" s="349">
        <f t="shared" si="35"/>
        <v>5178.8094653481576</v>
      </c>
      <c r="AA34" s="349">
        <f t="shared" si="35"/>
        <v>5633.1749946824884</v>
      </c>
      <c r="AB34" s="349">
        <f t="shared" si="35"/>
        <v>6127.5215565965591</v>
      </c>
      <c r="AC34" s="349">
        <f t="shared" si="35"/>
        <v>6665.3783642094977</v>
      </c>
      <c r="AD34" s="349">
        <f t="shared" si="35"/>
        <v>7250.5991472235228</v>
      </c>
      <c r="AE34" s="349">
        <f t="shared" si="35"/>
        <v>7887.3855712608056</v>
      </c>
      <c r="AF34" s="349">
        <f t="shared" si="35"/>
        <v>8585.7720961145169</v>
      </c>
    </row>
    <row r="36" spans="1:32" x14ac:dyDescent="0.45">
      <c r="A36" s="685" t="s">
        <v>313</v>
      </c>
      <c r="B36" s="350">
        <v>28</v>
      </c>
      <c r="C36" s="345" t="s">
        <v>314</v>
      </c>
      <c r="D36" s="318">
        <v>912.7</v>
      </c>
      <c r="E36" s="318">
        <f>D36+E34</f>
        <v>1432.2</v>
      </c>
      <c r="F36" s="318">
        <f t="shared" ref="F36" si="36">E36+F34</f>
        <v>2140.1</v>
      </c>
      <c r="G36" s="318">
        <f>F36+G34</f>
        <v>3081.1</v>
      </c>
      <c r="H36" s="318">
        <f t="shared" ref="H36:AF36" si="37">G36+H34</f>
        <v>4035.237348554348</v>
      </c>
      <c r="I36" s="318">
        <f t="shared" si="37"/>
        <v>5132.4343630057956</v>
      </c>
      <c r="J36" s="318">
        <f t="shared" si="37"/>
        <v>6351.1591786128074</v>
      </c>
      <c r="K36" s="318">
        <f t="shared" si="37"/>
        <v>7705.3570765035984</v>
      </c>
      <c r="L36" s="318">
        <f t="shared" si="37"/>
        <v>9215.0480260022377</v>
      </c>
      <c r="M36" s="318">
        <f t="shared" si="37"/>
        <v>10928.999935254215</v>
      </c>
      <c r="N36" s="318">
        <f t="shared" si="37"/>
        <v>12869.317612980449</v>
      </c>
      <c r="O36" s="318">
        <f t="shared" si="37"/>
        <v>14926.519559852803</v>
      </c>
      <c r="P36" s="318">
        <f t="shared" si="37"/>
        <v>17162.471126342098</v>
      </c>
      <c r="Q36" s="318">
        <f t="shared" si="37"/>
        <v>19594.078863619128</v>
      </c>
      <c r="R36" s="318">
        <f t="shared" si="37"/>
        <v>22238.487873097158</v>
      </c>
      <c r="S36" s="318">
        <f t="shared" si="37"/>
        <v>25114.216478159091</v>
      </c>
      <c r="T36" s="318">
        <f t="shared" si="37"/>
        <v>28241.883552118117</v>
      </c>
      <c r="U36" s="318">
        <f t="shared" si="37"/>
        <v>31643.715901249619</v>
      </c>
      <c r="V36" s="318">
        <f t="shared" si="37"/>
        <v>35343.725919368044</v>
      </c>
      <c r="W36" s="318">
        <f t="shared" si="37"/>
        <v>39368.090637158813</v>
      </c>
      <c r="X36" s="318">
        <f t="shared" si="37"/>
        <v>43745.35353580604</v>
      </c>
      <c r="Y36" s="318">
        <f t="shared" si="37"/>
        <v>48506.52469261481</v>
      </c>
      <c r="Z36" s="318">
        <f t="shared" si="37"/>
        <v>53685.33415796297</v>
      </c>
      <c r="AA36" s="318">
        <f t="shared" si="37"/>
        <v>59318.509152645456</v>
      </c>
      <c r="AB36" s="318">
        <f t="shared" si="37"/>
        <v>65446.030709242012</v>
      </c>
      <c r="AC36" s="318">
        <f t="shared" si="37"/>
        <v>72111.409073451505</v>
      </c>
      <c r="AD36" s="318">
        <f t="shared" si="37"/>
        <v>79362.008220675023</v>
      </c>
      <c r="AE36" s="318">
        <f t="shared" si="37"/>
        <v>87249.393791935829</v>
      </c>
      <c r="AF36" s="318">
        <f t="shared" si="37"/>
        <v>95835.165888050338</v>
      </c>
    </row>
    <row r="37" spans="1:32" x14ac:dyDescent="0.45">
      <c r="A37" s="685"/>
      <c r="B37" s="351">
        <v>29</v>
      </c>
      <c r="C37" s="345" t="s">
        <v>315</v>
      </c>
      <c r="D37" s="447">
        <v>942.7</v>
      </c>
      <c r="E37" s="456">
        <v>880.8</v>
      </c>
      <c r="F37" s="456">
        <v>889.2</v>
      </c>
      <c r="G37" s="456">
        <v>877.7</v>
      </c>
      <c r="H37" s="318">
        <f t="shared" ref="H37:AF37" si="38">G37</f>
        <v>877.7</v>
      </c>
      <c r="I37" s="318">
        <f t="shared" si="38"/>
        <v>877.7</v>
      </c>
      <c r="J37" s="318">
        <f t="shared" si="38"/>
        <v>877.7</v>
      </c>
      <c r="K37" s="318">
        <f t="shared" si="38"/>
        <v>877.7</v>
      </c>
      <c r="L37" s="318">
        <f t="shared" si="38"/>
        <v>877.7</v>
      </c>
      <c r="M37" s="318">
        <f t="shared" si="38"/>
        <v>877.7</v>
      </c>
      <c r="N37" s="318">
        <f t="shared" si="38"/>
        <v>877.7</v>
      </c>
      <c r="O37" s="318">
        <f t="shared" si="38"/>
        <v>877.7</v>
      </c>
      <c r="P37" s="318">
        <f t="shared" si="38"/>
        <v>877.7</v>
      </c>
      <c r="Q37" s="318">
        <f t="shared" si="38"/>
        <v>877.7</v>
      </c>
      <c r="R37" s="318">
        <f t="shared" si="38"/>
        <v>877.7</v>
      </c>
      <c r="S37" s="318">
        <f t="shared" si="38"/>
        <v>877.7</v>
      </c>
      <c r="T37" s="318">
        <f t="shared" si="38"/>
        <v>877.7</v>
      </c>
      <c r="U37" s="318">
        <f t="shared" si="38"/>
        <v>877.7</v>
      </c>
      <c r="V37" s="318">
        <f t="shared" si="38"/>
        <v>877.7</v>
      </c>
      <c r="W37" s="318">
        <f t="shared" si="38"/>
        <v>877.7</v>
      </c>
      <c r="X37" s="318">
        <f t="shared" si="38"/>
        <v>877.7</v>
      </c>
      <c r="Y37" s="318">
        <f t="shared" si="38"/>
        <v>877.7</v>
      </c>
      <c r="Z37" s="318">
        <f t="shared" si="38"/>
        <v>877.7</v>
      </c>
      <c r="AA37" s="318">
        <f t="shared" si="38"/>
        <v>877.7</v>
      </c>
      <c r="AB37" s="318">
        <f t="shared" si="38"/>
        <v>877.7</v>
      </c>
      <c r="AC37" s="318">
        <f t="shared" si="38"/>
        <v>877.7</v>
      </c>
      <c r="AD37" s="318">
        <f t="shared" si="38"/>
        <v>877.7</v>
      </c>
      <c r="AE37" s="318">
        <f t="shared" si="38"/>
        <v>877.7</v>
      </c>
      <c r="AF37" s="318">
        <f t="shared" si="38"/>
        <v>877.7</v>
      </c>
    </row>
    <row r="38" spans="1:32" x14ac:dyDescent="0.45">
      <c r="A38" s="685"/>
      <c r="B38" s="353">
        <v>30</v>
      </c>
      <c r="C38" s="345" t="s">
        <v>316</v>
      </c>
      <c r="D38" s="352"/>
      <c r="E38" s="352"/>
      <c r="F38" s="318"/>
      <c r="G38" s="354">
        <f t="shared" ref="G38:AF38" si="39">1/((1+$D$47)^G3)</f>
        <v>1</v>
      </c>
      <c r="H38" s="354">
        <f t="shared" si="39"/>
        <v>0.9808074572402723</v>
      </c>
      <c r="I38" s="354">
        <f t="shared" si="39"/>
        <v>0.90765080255438857</v>
      </c>
      <c r="J38" s="354">
        <f t="shared" si="39"/>
        <v>0.83995077045566213</v>
      </c>
      <c r="K38" s="354">
        <f t="shared" si="39"/>
        <v>0.77730036133228042</v>
      </c>
      <c r="L38" s="354">
        <f t="shared" si="39"/>
        <v>0.71932293293751659</v>
      </c>
      <c r="M38" s="354">
        <f t="shared" si="39"/>
        <v>0.66566993608876235</v>
      </c>
      <c r="N38" s="354">
        <f t="shared" si="39"/>
        <v>0.61601881925667445</v>
      </c>
      <c r="O38" s="354">
        <f t="shared" si="39"/>
        <v>0.57007108944722773</v>
      </c>
      <c r="P38" s="354">
        <f t="shared" si="39"/>
        <v>0.52755051771907069</v>
      </c>
      <c r="Q38" s="354">
        <f t="shared" si="39"/>
        <v>0.48820147854809431</v>
      </c>
      <c r="R38" s="354">
        <f t="shared" si="39"/>
        <v>0.451787413055797</v>
      </c>
      <c r="S38" s="354">
        <f t="shared" si="39"/>
        <v>0.41808940686266616</v>
      </c>
      <c r="T38" s="354">
        <f t="shared" si="39"/>
        <v>0.38690487401690377</v>
      </c>
      <c r="U38" s="354">
        <f t="shared" si="39"/>
        <v>0.35804633908652944</v>
      </c>
      <c r="V38" s="354">
        <f t="shared" si="39"/>
        <v>0.33134031009303117</v>
      </c>
      <c r="W38" s="354">
        <f t="shared" si="39"/>
        <v>0.30662623551085616</v>
      </c>
      <c r="X38" s="354">
        <f t="shared" si="39"/>
        <v>0.28375553906242468</v>
      </c>
      <c r="Y38" s="354">
        <f t="shared" si="39"/>
        <v>0.26259072650603804</v>
      </c>
      <c r="Z38" s="354">
        <f t="shared" si="39"/>
        <v>0.24300455904686102</v>
      </c>
      <c r="AA38" s="354">
        <f t="shared" si="39"/>
        <v>0.22487928840168522</v>
      </c>
      <c r="AB38" s="354">
        <f t="shared" si="39"/>
        <v>0.20810594891882767</v>
      </c>
      <c r="AC38" s="354">
        <f t="shared" si="39"/>
        <v>0.19258370249752702</v>
      </c>
      <c r="AD38" s="354">
        <f t="shared" si="39"/>
        <v>0.1782192323686165</v>
      </c>
      <c r="AE38" s="354">
        <f t="shared" si="39"/>
        <v>0.16492618209200122</v>
      </c>
      <c r="AF38" s="354">
        <f t="shared" si="39"/>
        <v>0.15262463639829835</v>
      </c>
    </row>
    <row r="39" spans="1:32" x14ac:dyDescent="0.45">
      <c r="A39" s="355"/>
      <c r="B39" s="355"/>
      <c r="C39" s="355"/>
      <c r="D39" s="356"/>
      <c r="E39" s="356"/>
      <c r="F39" s="415">
        <f>1/((1+$D$48+0.001)^F$3)</f>
        <v>1.0000813433575677</v>
      </c>
      <c r="G39" s="415">
        <f>1/((1+$D$47+0.001)^G$3)</f>
        <v>1</v>
      </c>
      <c r="H39" s="415">
        <f t="shared" ref="H39:AE39" si="40">1/((1+$D$47+0.001)^H$3)</f>
        <v>0.98058067569092011</v>
      </c>
      <c r="I39" s="415">
        <f t="shared" si="40"/>
        <v>0.90660195607518512</v>
      </c>
      <c r="J39" s="415">
        <f t="shared" si="40"/>
        <v>0.83820447122335917</v>
      </c>
      <c r="K39" s="415">
        <f t="shared" si="40"/>
        <v>0.7749671516488158</v>
      </c>
      <c r="L39" s="415">
        <f t="shared" si="40"/>
        <v>0.71650069494158286</v>
      </c>
      <c r="M39" s="415">
        <f t="shared" si="40"/>
        <v>0.66244516913977702</v>
      </c>
      <c r="N39" s="415">
        <f t="shared" si="40"/>
        <v>0.61246779691177622</v>
      </c>
      <c r="O39" s="415">
        <f t="shared" si="40"/>
        <v>0.56626090690807718</v>
      </c>
      <c r="P39" s="415">
        <f t="shared" si="40"/>
        <v>0.52354003967092932</v>
      </c>
      <c r="Q39" s="415">
        <f t="shared" si="40"/>
        <v>0.48404219644131791</v>
      </c>
      <c r="R39" s="415">
        <f t="shared" si="40"/>
        <v>0.44752422008257947</v>
      </c>
      <c r="S39" s="415">
        <f t="shared" si="40"/>
        <v>0.41376129815327245</v>
      </c>
      <c r="T39" s="415">
        <f t="shared" si="40"/>
        <v>0.3825455789138984</v>
      </c>
      <c r="U39" s="415">
        <f t="shared" si="40"/>
        <v>0.35368489174731732</v>
      </c>
      <c r="V39" s="415">
        <f t="shared" si="40"/>
        <v>0.32700156411549314</v>
      </c>
      <c r="W39" s="415">
        <f t="shared" si="40"/>
        <v>0.30233132776950183</v>
      </c>
      <c r="X39" s="415">
        <f t="shared" si="40"/>
        <v>0.27952230747919921</v>
      </c>
      <c r="Y39" s="415">
        <f t="shared" si="40"/>
        <v>0.25843408605695195</v>
      </c>
      <c r="Z39" s="415">
        <f t="shared" si="40"/>
        <v>0.23893683991951925</v>
      </c>
      <c r="AA39" s="415">
        <f t="shared" si="40"/>
        <v>0.22091053986641943</v>
      </c>
      <c r="AB39" s="415">
        <f t="shared" si="40"/>
        <v>0.20424421215460373</v>
      </c>
      <c r="AC39" s="415">
        <f t="shared" si="40"/>
        <v>0.18883525532045464</v>
      </c>
      <c r="AD39" s="415">
        <f t="shared" si="40"/>
        <v>0.17458880854331979</v>
      </c>
      <c r="AE39" s="415">
        <f t="shared" si="40"/>
        <v>0.16141716766209302</v>
      </c>
      <c r="AF39" s="355"/>
    </row>
    <row r="40" spans="1:32" x14ac:dyDescent="0.45">
      <c r="A40" s="355"/>
      <c r="B40" s="355"/>
      <c r="C40" s="355"/>
      <c r="D40" s="356"/>
      <c r="E40" s="356"/>
      <c r="F40" s="415">
        <f>1/((1+$D$48+0.005)^F$3)</f>
        <v>1.0004059720667826</v>
      </c>
      <c r="G40" s="415">
        <f>1/((1+$D$47+0.005)^G$3)</f>
        <v>1</v>
      </c>
      <c r="H40" s="415">
        <f t="shared" ref="H40:AE40" si="41">1/((1+$D$47+0.005)^H$3)</f>
        <v>0.97967616345117936</v>
      </c>
      <c r="I40" s="415">
        <f t="shared" si="41"/>
        <v>0.90242830089460158</v>
      </c>
      <c r="J40" s="415">
        <f t="shared" si="41"/>
        <v>0.83127146360961846</v>
      </c>
      <c r="K40" s="415">
        <f t="shared" si="41"/>
        <v>0.76572537178483646</v>
      </c>
      <c r="L40" s="415">
        <f t="shared" si="41"/>
        <v>0.70534761586665118</v>
      </c>
      <c r="M40" s="415">
        <f t="shared" si="41"/>
        <v>0.64973067047407085</v>
      </c>
      <c r="N40" s="415">
        <f t="shared" si="41"/>
        <v>0.59849914376756708</v>
      </c>
      <c r="O40" s="415">
        <f t="shared" si="41"/>
        <v>0.55130724370630724</v>
      </c>
      <c r="P40" s="415">
        <f t="shared" si="41"/>
        <v>0.50783644409202955</v>
      </c>
      <c r="Q40" s="415">
        <f t="shared" si="41"/>
        <v>0.46779333464630585</v>
      </c>
      <c r="R40" s="415">
        <f t="shared" si="41"/>
        <v>0.43090764061008274</v>
      </c>
      <c r="S40" s="415">
        <f t="shared" si="41"/>
        <v>0.39693039849860245</v>
      </c>
      <c r="T40" s="415">
        <f t="shared" si="41"/>
        <v>0.36563227569878637</v>
      </c>
      <c r="U40" s="415">
        <f t="shared" si="41"/>
        <v>0.33680202256704711</v>
      </c>
      <c r="V40" s="415">
        <f t="shared" si="41"/>
        <v>0.310245046579815</v>
      </c>
      <c r="W40" s="415">
        <f t="shared" si="41"/>
        <v>0.28578209891287309</v>
      </c>
      <c r="X40" s="415">
        <f t="shared" si="41"/>
        <v>0.26324806458444466</v>
      </c>
      <c r="Y40" s="415">
        <f t="shared" si="41"/>
        <v>0.24249084799598811</v>
      </c>
      <c r="Z40" s="415">
        <f t="shared" si="41"/>
        <v>0.22337034634855205</v>
      </c>
      <c r="AA40" s="415">
        <f t="shared" si="41"/>
        <v>0.205757504005667</v>
      </c>
      <c r="AB40" s="415">
        <f t="shared" si="41"/>
        <v>0.18953344142010595</v>
      </c>
      <c r="AC40" s="415">
        <f t="shared" si="41"/>
        <v>0.17458865274512339</v>
      </c>
      <c r="AD40" s="415">
        <f t="shared" si="41"/>
        <v>0.16082226671437308</v>
      </c>
      <c r="AE40" s="415">
        <f t="shared" si="41"/>
        <v>0.14814136580174384</v>
      </c>
      <c r="AF40" s="355"/>
    </row>
    <row r="41" spans="1:32" x14ac:dyDescent="0.45">
      <c r="A41" s="355"/>
      <c r="B41" s="355"/>
      <c r="C41" s="355"/>
      <c r="D41" s="356"/>
      <c r="E41" s="356"/>
      <c r="F41" s="416"/>
      <c r="G41" s="416"/>
      <c r="H41" s="416"/>
      <c r="I41" s="417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Y41" s="418"/>
      <c r="Z41" s="418"/>
      <c r="AA41" s="418"/>
      <c r="AB41" s="418"/>
      <c r="AC41" s="418"/>
      <c r="AD41" s="418"/>
      <c r="AE41" s="418"/>
      <c r="AF41" s="355"/>
    </row>
    <row r="42" spans="1:32" x14ac:dyDescent="0.45">
      <c r="C42" s="358" t="s">
        <v>134</v>
      </c>
      <c r="D42" s="359"/>
      <c r="E42" s="360"/>
      <c r="F42" s="429" t="s">
        <v>268</v>
      </c>
      <c r="G42" s="429" t="s">
        <v>268</v>
      </c>
      <c r="H42" s="359">
        <f>1000000*H16/OP!C8</f>
        <v>5646342.999174674</v>
      </c>
      <c r="I42" s="361">
        <f>1000000*I16/OP!$C8</f>
        <v>7376731.5080500366</v>
      </c>
      <c r="J42" s="361">
        <f>1000000*J16/OP!$C8</f>
        <v>8305155.9753842605</v>
      </c>
    </row>
    <row r="43" spans="1:32" x14ac:dyDescent="0.45">
      <c r="C43" s="362" t="s">
        <v>153</v>
      </c>
      <c r="D43" s="319"/>
      <c r="E43" s="319"/>
      <c r="F43" s="363"/>
      <c r="G43" s="363"/>
      <c r="H43" s="363"/>
      <c r="I43" s="364"/>
      <c r="J43" s="364"/>
    </row>
    <row r="44" spans="1:32" x14ac:dyDescent="0.45">
      <c r="C44" s="365" t="s">
        <v>135</v>
      </c>
      <c r="D44" s="366"/>
      <c r="E44" s="366"/>
      <c r="F44" s="428" t="s">
        <v>268</v>
      </c>
      <c r="G44" s="428" t="s">
        <v>268</v>
      </c>
      <c r="H44" s="367">
        <f t="shared" ref="H44:I44" si="42">$D$64/H16</f>
        <v>67.207824225800877</v>
      </c>
      <c r="I44" s="368">
        <f t="shared" si="42"/>
        <v>51.442624337485761</v>
      </c>
    </row>
    <row r="45" spans="1:32" x14ac:dyDescent="0.45">
      <c r="A45" s="355"/>
      <c r="B45" s="355"/>
      <c r="C45" s="355"/>
      <c r="D45" s="356"/>
      <c r="E45" s="356"/>
      <c r="F45" s="356"/>
      <c r="G45" s="357"/>
      <c r="H45" s="357"/>
      <c r="I45" s="357"/>
      <c r="J45" s="357"/>
      <c r="K45" s="357"/>
      <c r="L45" s="357"/>
      <c r="M45" s="357"/>
      <c r="N45" s="357"/>
      <c r="O45" s="357"/>
      <c r="P45" s="357"/>
      <c r="Q45" s="357"/>
      <c r="R45" s="357"/>
      <c r="S45" s="357"/>
      <c r="T45" s="357"/>
      <c r="U45" s="357"/>
      <c r="V45" s="357"/>
      <c r="W45" s="357"/>
      <c r="X45" s="357"/>
      <c r="Y45" s="357"/>
      <c r="Z45" s="357"/>
      <c r="AA45" s="357"/>
      <c r="AB45" s="357"/>
      <c r="AC45" s="357"/>
      <c r="AD45" s="355"/>
      <c r="AE45" s="355"/>
      <c r="AF45" s="355"/>
    </row>
    <row r="46" spans="1:32" x14ac:dyDescent="0.45">
      <c r="A46" s="677" t="s">
        <v>317</v>
      </c>
      <c r="C46" s="358"/>
      <c r="D46" s="360" t="s">
        <v>318</v>
      </c>
      <c r="E46" s="360" t="s">
        <v>319</v>
      </c>
      <c r="F46" s="360" t="s">
        <v>320</v>
      </c>
      <c r="G46" s="369" t="s">
        <v>321</v>
      </c>
    </row>
    <row r="47" spans="1:32" x14ac:dyDescent="0.45">
      <c r="A47" s="679"/>
      <c r="C47" s="370" t="s">
        <v>322</v>
      </c>
      <c r="D47" s="371">
        <f>SUM(E47:G47)</f>
        <v>8.0600000000000005E-2</v>
      </c>
      <c r="E47" s="371">
        <v>0.04</v>
      </c>
      <c r="F47" s="371">
        <v>4.0599999999999997E-2</v>
      </c>
      <c r="G47" s="372"/>
      <c r="H47" s="304" t="s">
        <v>268</v>
      </c>
      <c r="I47" s="393"/>
      <c r="AE47" s="373"/>
    </row>
    <row r="48" spans="1:32" x14ac:dyDescent="0.45">
      <c r="D48" s="374"/>
      <c r="E48" s="374"/>
      <c r="F48" s="374"/>
      <c r="G48" s="375"/>
      <c r="I48" s="393"/>
      <c r="AE48" s="373"/>
    </row>
    <row r="49" spans="1:31" x14ac:dyDescent="0.45">
      <c r="C49" s="578"/>
      <c r="D49" s="579" t="s">
        <v>323</v>
      </c>
      <c r="E49" s="579" t="s">
        <v>324</v>
      </c>
      <c r="F49" s="580" t="s">
        <v>325</v>
      </c>
    </row>
    <row r="50" spans="1:31" x14ac:dyDescent="0.45">
      <c r="A50" s="674" t="s">
        <v>326</v>
      </c>
      <c r="C50" s="577" t="s">
        <v>327</v>
      </c>
      <c r="D50" s="581">
        <v>0.19390370961221659</v>
      </c>
      <c r="E50" s="575">
        <v>0.19390370961221659</v>
      </c>
      <c r="F50" s="582" t="s">
        <v>328</v>
      </c>
      <c r="G50" s="376">
        <f>SUM(G22:AF22)/SUM(G9:AF9)</f>
        <v>3.9931898158627535</v>
      </c>
      <c r="I50" s="322"/>
      <c r="AE50" s="319"/>
    </row>
    <row r="51" spans="1:31" x14ac:dyDescent="0.45">
      <c r="A51" s="675"/>
      <c r="C51" s="460" t="s">
        <v>329</v>
      </c>
      <c r="D51" s="573">
        <f>H71</f>
        <v>8.8239183259752926E-2</v>
      </c>
      <c r="E51" s="377">
        <v>0.09</v>
      </c>
      <c r="F51" s="378" t="s">
        <v>330</v>
      </c>
      <c r="G51" s="379">
        <f>-SUM(D10:F10)/SUM(D6:F6)</f>
        <v>8.4901655582283853E-2</v>
      </c>
      <c r="I51" s="322"/>
      <c r="AE51" s="319"/>
    </row>
    <row r="52" spans="1:31" x14ac:dyDescent="0.45">
      <c r="A52" s="675"/>
      <c r="C52" s="460" t="s">
        <v>331</v>
      </c>
      <c r="D52" s="467">
        <v>0.19</v>
      </c>
      <c r="E52" s="377">
        <f>N82</f>
        <v>0.1965902205</v>
      </c>
      <c r="F52" s="380" t="s">
        <v>332</v>
      </c>
      <c r="I52" s="322"/>
      <c r="AE52" s="319"/>
    </row>
    <row r="53" spans="1:31" x14ac:dyDescent="0.45">
      <c r="A53" s="675"/>
      <c r="C53" s="460" t="s">
        <v>333</v>
      </c>
      <c r="D53" s="377">
        <f>H74</f>
        <v>2.6234567510447102E-2</v>
      </c>
      <c r="E53" s="575">
        <v>0.04</v>
      </c>
      <c r="F53" s="380" t="s">
        <v>334</v>
      </c>
    </row>
    <row r="54" spans="1:31" x14ac:dyDescent="0.45">
      <c r="A54" s="675"/>
      <c r="C54" s="460" t="s">
        <v>335</v>
      </c>
      <c r="D54" s="377">
        <v>0.02</v>
      </c>
      <c r="E54" s="377">
        <f>N83</f>
        <v>2.1225515333333334E-2</v>
      </c>
      <c r="F54" s="378" t="s">
        <v>336</v>
      </c>
    </row>
    <row r="55" spans="1:31" x14ac:dyDescent="0.45">
      <c r="A55" s="675"/>
      <c r="C55" s="460" t="s">
        <v>416</v>
      </c>
      <c r="D55" s="377">
        <f>H78</f>
        <v>8.3149913749999999E-2</v>
      </c>
      <c r="E55" s="574">
        <f>N88</f>
        <v>6.0030242499999997E-2</v>
      </c>
      <c r="F55" s="378" t="s">
        <v>330</v>
      </c>
      <c r="J55" s="322"/>
    </row>
    <row r="56" spans="1:31" x14ac:dyDescent="0.45">
      <c r="A56" s="675"/>
      <c r="C56" s="460" t="s">
        <v>337</v>
      </c>
      <c r="D56" s="377">
        <f>Y97</f>
        <v>0.17045458239286787</v>
      </c>
      <c r="E56" s="377">
        <f>D56</f>
        <v>0.17045458239286787</v>
      </c>
      <c r="F56" s="378" t="s">
        <v>338</v>
      </c>
    </row>
    <row r="57" spans="1:31" x14ac:dyDescent="0.45">
      <c r="A57" s="675"/>
      <c r="C57" s="460" t="s">
        <v>339</v>
      </c>
      <c r="D57" s="377">
        <f>H75</f>
        <v>1.3878138000000002E-2</v>
      </c>
      <c r="E57" s="377">
        <f>N85</f>
        <v>1.7522915499999996E-2</v>
      </c>
      <c r="F57" s="378" t="s">
        <v>330</v>
      </c>
    </row>
    <row r="58" spans="1:31" x14ac:dyDescent="0.45">
      <c r="A58" s="675"/>
      <c r="C58" s="460" t="s">
        <v>119</v>
      </c>
      <c r="D58" s="377">
        <v>0</v>
      </c>
      <c r="E58" s="377">
        <v>0</v>
      </c>
      <c r="F58" s="378" t="s">
        <v>340</v>
      </c>
    </row>
    <row r="59" spans="1:31" x14ac:dyDescent="0.45">
      <c r="A59" s="676"/>
      <c r="C59" s="461" t="s">
        <v>307</v>
      </c>
      <c r="D59" s="371">
        <f>H76</f>
        <v>-1.1163756333239039E-3</v>
      </c>
      <c r="E59" s="371">
        <f>N86</f>
        <v>-3.0276904000000001E-3</v>
      </c>
      <c r="F59" s="381" t="s">
        <v>341</v>
      </c>
    </row>
    <row r="60" spans="1:31" x14ac:dyDescent="0.45">
      <c r="D60" s="319"/>
      <c r="E60" s="319"/>
      <c r="F60" s="319"/>
    </row>
    <row r="61" spans="1:31" x14ac:dyDescent="0.45">
      <c r="A61" s="677" t="s">
        <v>342</v>
      </c>
      <c r="C61" s="352"/>
      <c r="D61" s="382" t="s">
        <v>343</v>
      </c>
      <c r="E61" s="382" t="s">
        <v>344</v>
      </c>
      <c r="F61" s="304" t="s">
        <v>281</v>
      </c>
      <c r="AE61" s="373">
        <f>((AE36-AE37)*AE38)</f>
        <v>14244.95369792338</v>
      </c>
    </row>
    <row r="62" spans="1:31" x14ac:dyDescent="0.45">
      <c r="A62" s="678"/>
      <c r="C62" s="352" t="s">
        <v>345</v>
      </c>
      <c r="D62" s="318">
        <f>SUMPRODUCT(G33:AE33,G38:AE38)+((AE36-AE37)*AE38)</f>
        <v>12023.272555782631</v>
      </c>
      <c r="E62" s="383">
        <f>D62/D64</f>
        <v>0.36230621653056883</v>
      </c>
      <c r="F62" s="319" t="s">
        <v>346</v>
      </c>
      <c r="AE62" s="373">
        <f>AE54+AE61</f>
        <v>14244.95369792338</v>
      </c>
    </row>
    <row r="63" spans="1:31" x14ac:dyDescent="0.45">
      <c r="A63" s="678"/>
      <c r="C63" s="352" t="s">
        <v>347</v>
      </c>
      <c r="D63" s="318">
        <f>(AF32/(D47-AF5))*AF38</f>
        <v>21162.115955949383</v>
      </c>
      <c r="E63" s="383">
        <f>D63/D64</f>
        <v>0.63769378346943106</v>
      </c>
      <c r="F63" s="384" t="s">
        <v>348</v>
      </c>
    </row>
    <row r="64" spans="1:31" x14ac:dyDescent="0.45">
      <c r="A64" s="678"/>
      <c r="C64" s="352" t="s">
        <v>349</v>
      </c>
      <c r="D64" s="318">
        <f>D62+D63</f>
        <v>33185.388511732017</v>
      </c>
      <c r="E64" s="382"/>
      <c r="F64" s="303" t="s">
        <v>350</v>
      </c>
    </row>
    <row r="65" spans="1:32" x14ac:dyDescent="0.45">
      <c r="A65" s="678"/>
      <c r="C65" s="385" t="s">
        <v>351</v>
      </c>
      <c r="D65" s="386">
        <f>D66/D67-1</f>
        <v>0.1361629575063259</v>
      </c>
      <c r="E65" s="387"/>
      <c r="F65" s="384" t="s">
        <v>352</v>
      </c>
    </row>
    <row r="66" spans="1:32" x14ac:dyDescent="0.45">
      <c r="A66" s="679"/>
      <c r="C66" s="385" t="s">
        <v>353</v>
      </c>
      <c r="D66" s="388">
        <f>D64/OP!C8</f>
        <v>379.47842780711284</v>
      </c>
      <c r="E66" s="389"/>
      <c r="F66" s="384" t="s">
        <v>354</v>
      </c>
    </row>
    <row r="67" spans="1:32" x14ac:dyDescent="0.45">
      <c r="C67" s="385" t="s">
        <v>355</v>
      </c>
      <c r="D67" s="388">
        <f>OP!C7</f>
        <v>334</v>
      </c>
      <c r="E67" s="389"/>
      <c r="F67" s="384" t="s">
        <v>355</v>
      </c>
    </row>
    <row r="68" spans="1:32" x14ac:dyDescent="0.45">
      <c r="D68" s="413"/>
    </row>
    <row r="69" spans="1:32" x14ac:dyDescent="0.45">
      <c r="C69" s="390"/>
      <c r="D69" s="392"/>
      <c r="E69" s="414"/>
      <c r="AD69" s="304"/>
      <c r="AE69" s="304"/>
      <c r="AF69" s="304"/>
    </row>
    <row r="70" spans="1:32" x14ac:dyDescent="0.45">
      <c r="C70" s="459" t="s">
        <v>457</v>
      </c>
      <c r="D70" s="481" t="s">
        <v>459</v>
      </c>
      <c r="E70" s="481" t="s">
        <v>460</v>
      </c>
      <c r="F70" s="481" t="s">
        <v>461</v>
      </c>
      <c r="G70" s="481" t="s">
        <v>462</v>
      </c>
      <c r="H70" s="476" t="s">
        <v>451</v>
      </c>
      <c r="I70" s="479"/>
      <c r="J70" s="479"/>
      <c r="K70" s="479"/>
      <c r="L70" s="393"/>
      <c r="M70" s="479"/>
      <c r="N70" s="393"/>
      <c r="O70" s="393"/>
      <c r="P70" s="393"/>
      <c r="Q70" s="393"/>
      <c r="R70" s="393"/>
      <c r="S70" s="393"/>
      <c r="T70" s="393"/>
      <c r="U70" s="393"/>
      <c r="V70" s="393"/>
      <c r="W70" s="393"/>
      <c r="X70" s="393"/>
      <c r="Y70" s="393"/>
      <c r="Z70" s="393"/>
      <c r="AA70" s="393"/>
      <c r="AB70" s="393"/>
      <c r="AC70" s="393"/>
      <c r="AD70" s="393"/>
      <c r="AE70" s="393"/>
      <c r="AF70" s="393"/>
    </row>
    <row r="71" spans="1:32" x14ac:dyDescent="0.45">
      <c r="C71" s="460" t="s">
        <v>329</v>
      </c>
      <c r="D71" s="376">
        <f>D10/D6</f>
        <v>-8.6599655028846728E-2</v>
      </c>
      <c r="E71" s="466">
        <f>E10/E6</f>
        <v>-8.7218754916872088E-2</v>
      </c>
      <c r="F71" s="376">
        <f>F10/F6</f>
        <v>-8.1380712625871418E-2</v>
      </c>
      <c r="G71" s="466">
        <f>G10/G6</f>
        <v>-9.7757610467421471E-2</v>
      </c>
      <c r="H71" s="472">
        <f>(AVERAGE(D71:G71))*-1</f>
        <v>8.8239183259752926E-2</v>
      </c>
      <c r="I71" s="464"/>
      <c r="J71" s="464"/>
      <c r="K71" s="464"/>
      <c r="L71" s="464"/>
      <c r="M71" s="464"/>
      <c r="AF71" s="373"/>
    </row>
    <row r="72" spans="1:32" x14ac:dyDescent="0.45">
      <c r="C72" s="463" t="s">
        <v>448</v>
      </c>
      <c r="D72" s="465">
        <f>D15/D14</f>
        <v>-0.12194386965867771</v>
      </c>
      <c r="E72" s="465">
        <f>E15/E14</f>
        <v>-9.9215505306875854E-2</v>
      </c>
      <c r="F72" s="465">
        <f>F15/F14</f>
        <v>-0.16080384386069513</v>
      </c>
      <c r="G72" s="465">
        <f>G15/G14</f>
        <v>-0.18210410441893379</v>
      </c>
      <c r="H72" s="478">
        <f t="shared" ref="H72:H76" si="43">AVERAGE(D72:G72)</f>
        <v>-0.14101683081129562</v>
      </c>
      <c r="I72" s="464"/>
      <c r="J72" s="464"/>
      <c r="K72" s="464"/>
      <c r="L72" s="464"/>
      <c r="M72" s="464"/>
    </row>
    <row r="73" spans="1:32" x14ac:dyDescent="0.45">
      <c r="C73" s="460" t="s">
        <v>335</v>
      </c>
      <c r="D73" s="474">
        <f>11/D34</f>
        <v>1.0551558752997603E-2</v>
      </c>
      <c r="E73" s="474">
        <f>12.4/E34</f>
        <v>2.3869104908565929E-2</v>
      </c>
      <c r="F73" s="474">
        <f>22.7/F34</f>
        <v>3.206667608419269E-2</v>
      </c>
      <c r="G73" s="474">
        <f>47.1/G34</f>
        <v>5.0053134962805522E-2</v>
      </c>
      <c r="H73" s="475">
        <f t="shared" si="43"/>
        <v>2.9135118677140436E-2</v>
      </c>
      <c r="I73" s="464"/>
      <c r="J73" s="464"/>
      <c r="K73" s="464"/>
      <c r="L73" s="464"/>
      <c r="M73" s="464"/>
    </row>
    <row r="74" spans="1:32" x14ac:dyDescent="0.45">
      <c r="C74" s="460" t="s">
        <v>333</v>
      </c>
      <c r="D74" s="474">
        <f>11/D37</f>
        <v>1.1668611435239206E-2</v>
      </c>
      <c r="E74" s="474">
        <f>12.4/E37</f>
        <v>1.4078110808356041E-2</v>
      </c>
      <c r="F74" s="474">
        <f>22.7/F37</f>
        <v>2.5528565002249211E-2</v>
      </c>
      <c r="G74" s="474">
        <f>47.1/G37</f>
        <v>5.3662982795943941E-2</v>
      </c>
      <c r="H74" s="475">
        <f t="shared" si="43"/>
        <v>2.6234567510447102E-2</v>
      </c>
      <c r="I74" s="464"/>
      <c r="J74" s="464"/>
      <c r="K74" s="464"/>
      <c r="L74" s="464"/>
      <c r="M74" s="464"/>
    </row>
    <row r="75" spans="1:32" x14ac:dyDescent="0.45">
      <c r="C75" s="424" t="s">
        <v>450</v>
      </c>
      <c r="D75" s="470">
        <f>J85</f>
        <v>2.0817225000000002E-2</v>
      </c>
      <c r="E75" s="470">
        <f t="shared" ref="E75:G75" si="44">K85</f>
        <v>1.2062725999999999E-2</v>
      </c>
      <c r="F75" s="470">
        <f t="shared" si="44"/>
        <v>1.16189E-2</v>
      </c>
      <c r="G75" s="470">
        <f t="shared" si="44"/>
        <v>1.1013701000000001E-2</v>
      </c>
      <c r="H75" s="472">
        <f t="shared" si="43"/>
        <v>1.3878138000000002E-2</v>
      </c>
      <c r="I75" s="464"/>
      <c r="J75" s="464"/>
      <c r="K75" s="464"/>
      <c r="L75" s="464"/>
      <c r="M75" s="464"/>
    </row>
    <row r="76" spans="1:32" x14ac:dyDescent="0.45">
      <c r="C76" s="303" t="s">
        <v>449</v>
      </c>
      <c r="D76" s="470">
        <f>D29/D37</f>
        <v>-9.5470457197411685E-4</v>
      </c>
      <c r="E76" s="470">
        <f>E29/E37</f>
        <v>-5.6766575840145326E-4</v>
      </c>
      <c r="F76" s="471">
        <f>F29/F37</f>
        <v>-1.4619883040935672E-3</v>
      </c>
      <c r="G76" s="471">
        <f>G29/G37</f>
        <v>-1.4811438988264782E-3</v>
      </c>
      <c r="H76" s="472">
        <f t="shared" si="43"/>
        <v>-1.1163756333239039E-3</v>
      </c>
      <c r="I76" s="464"/>
      <c r="J76" s="464"/>
      <c r="K76" s="464"/>
      <c r="L76" s="464"/>
      <c r="M76" s="464"/>
    </row>
    <row r="77" spans="1:32" x14ac:dyDescent="0.45">
      <c r="C77" s="460" t="s">
        <v>337</v>
      </c>
      <c r="D77" s="571">
        <v>-0.56999999999999995</v>
      </c>
      <c r="E77" s="572">
        <v>5.9999999999999995E-4</v>
      </c>
      <c r="F77" s="572">
        <v>1.6199999999999999E-2</v>
      </c>
      <c r="G77" s="571">
        <v>-0.42</v>
      </c>
      <c r="H77" s="472">
        <v>0.17</v>
      </c>
      <c r="I77" s="464"/>
      <c r="J77" s="464"/>
      <c r="K77" s="464"/>
      <c r="L77" s="464"/>
      <c r="M77" s="464"/>
    </row>
    <row r="78" spans="1:32" x14ac:dyDescent="0.45">
      <c r="C78" s="303" t="s">
        <v>416</v>
      </c>
      <c r="D78" s="458">
        <v>8.6599654999999998E-2</v>
      </c>
      <c r="E78" s="458">
        <v>7.8E-2</v>
      </c>
      <c r="F78" s="458">
        <v>7.5999999999999998E-2</v>
      </c>
      <c r="G78" s="458">
        <v>9.1999999999999998E-2</v>
      </c>
      <c r="H78" s="572">
        <f>AVERAGE(Table1[[#This Row],[2020]:[2023]])</f>
        <v>8.3149913749999999E-2</v>
      </c>
      <c r="I78" s="304" t="s">
        <v>456</v>
      </c>
    </row>
    <row r="79" spans="1:32" x14ac:dyDescent="0.45">
      <c r="C79" s="480"/>
    </row>
    <row r="80" spans="1:32" x14ac:dyDescent="0.45">
      <c r="C80" s="480" t="s">
        <v>463</v>
      </c>
      <c r="D80" s="482" t="s">
        <v>464</v>
      </c>
      <c r="E80" s="482" t="s">
        <v>465</v>
      </c>
      <c r="F80" s="482" t="s">
        <v>466</v>
      </c>
      <c r="G80" s="482" t="s">
        <v>467</v>
      </c>
      <c r="H80" s="473" t="s">
        <v>468</v>
      </c>
      <c r="I80" s="473" t="s">
        <v>469</v>
      </c>
      <c r="J80" s="473" t="s">
        <v>459</v>
      </c>
      <c r="K80" s="473" t="s">
        <v>460</v>
      </c>
      <c r="L80" s="473" t="s">
        <v>461</v>
      </c>
      <c r="M80" s="473" t="s">
        <v>462</v>
      </c>
      <c r="N80" s="473" t="s">
        <v>458</v>
      </c>
      <c r="V80" s="464" t="s">
        <v>521</v>
      </c>
    </row>
    <row r="81" spans="3:25" x14ac:dyDescent="0.45">
      <c r="C81" s="483" t="s">
        <v>329</v>
      </c>
      <c r="D81" s="456">
        <v>2.3824786000000001E-2</v>
      </c>
      <c r="E81" s="456">
        <v>3.6062792000000003E-2</v>
      </c>
      <c r="F81" s="456">
        <v>3.3687404999999997E-2</v>
      </c>
      <c r="G81" s="456">
        <v>4.8571167999999998E-2</v>
      </c>
      <c r="H81" s="456">
        <v>6.4393938999999997E-2</v>
      </c>
      <c r="I81" s="456">
        <v>7.6654132999999999E-2</v>
      </c>
      <c r="J81" s="457">
        <f>D10/D6</f>
        <v>-8.6599655028846728E-2</v>
      </c>
      <c r="K81" s="457">
        <f>E10/E6</f>
        <v>-8.7218754916872088E-2</v>
      </c>
      <c r="L81" s="457">
        <f>F10/F6</f>
        <v>-8.1380712625871418E-2</v>
      </c>
      <c r="M81" s="457">
        <f>G10/G6</f>
        <v>-9.7757610467421471E-2</v>
      </c>
      <c r="N81" s="376">
        <f>AVERAGE(Table2[[#This Row],[2020]:[2023]])</f>
        <v>-8.8239183259752926E-2</v>
      </c>
      <c r="S81" s="464" t="s">
        <v>517</v>
      </c>
      <c r="U81" s="497" t="s">
        <v>518</v>
      </c>
      <c r="V81" s="464" t="s">
        <v>519</v>
      </c>
    </row>
    <row r="82" spans="3:25" x14ac:dyDescent="0.45">
      <c r="C82" s="484" t="s">
        <v>448</v>
      </c>
      <c r="D82" s="458">
        <v>0.26831370300000001</v>
      </c>
      <c r="E82" s="458">
        <v>0.29204035900000003</v>
      </c>
      <c r="F82" s="458">
        <v>0.30160399700000001</v>
      </c>
      <c r="G82" s="458">
        <v>0.34470558499999998</v>
      </c>
      <c r="H82" s="458">
        <v>0.138985835</v>
      </c>
      <c r="I82" s="458">
        <v>0.13643321899999999</v>
      </c>
      <c r="J82" s="458">
        <v>0.12148208100000001</v>
      </c>
      <c r="K82" s="458">
        <v>0.117772604</v>
      </c>
      <c r="L82" s="458">
        <v>8.9692333999999999E-2</v>
      </c>
      <c r="M82" s="458">
        <v>0.154872488</v>
      </c>
      <c r="N82" s="379">
        <f>AVERAGE(Table2[[#This Row],[2014]:[2023]])</f>
        <v>0.1965902205</v>
      </c>
      <c r="S82" s="464" t="s">
        <v>520</v>
      </c>
      <c r="U82" s="497" t="s">
        <v>518</v>
      </c>
      <c r="V82" s="464" t="s">
        <v>519</v>
      </c>
    </row>
    <row r="83" spans="3:25" x14ac:dyDescent="0.45">
      <c r="C83" s="483" t="s">
        <v>335</v>
      </c>
      <c r="D83" s="458">
        <v>1.0150999999999999E-3</v>
      </c>
      <c r="E83" s="458">
        <v>0</v>
      </c>
      <c r="F83" s="458">
        <v>0</v>
      </c>
      <c r="G83" s="458">
        <v>0</v>
      </c>
      <c r="H83" s="458">
        <v>0</v>
      </c>
      <c r="I83" s="458">
        <v>4.0133010000000004E-3</v>
      </c>
      <c r="J83" s="458">
        <v>1.2052152999999999E-2</v>
      </c>
      <c r="K83" s="458">
        <v>1.8571214999999999E-2</v>
      </c>
      <c r="L83" s="458">
        <v>3.6946615000000002E-2</v>
      </c>
      <c r="M83" s="458">
        <v>5.4754707999999999E-2</v>
      </c>
      <c r="N83" s="379">
        <f>(Table2[[#This Row],[2014]]+Table2[[#This Row],[2019]]+Table2[[#This Row],[2020]]+Table2[[#This Row],[2021]]+Table2[[#This Row],[2022]]+Table2[[#This Row],[2023]])/6</f>
        <v>2.1225515333333334E-2</v>
      </c>
      <c r="S83" s="464" t="s">
        <v>470</v>
      </c>
      <c r="V83" s="464" t="s">
        <v>522</v>
      </c>
    </row>
    <row r="84" spans="3:25" x14ac:dyDescent="0.45">
      <c r="C84" s="485" t="s">
        <v>333</v>
      </c>
      <c r="D84" s="458">
        <v>0</v>
      </c>
      <c r="E84" s="458">
        <v>0</v>
      </c>
      <c r="F84" s="458">
        <v>0</v>
      </c>
      <c r="G84" s="458">
        <v>0</v>
      </c>
      <c r="H84" s="458">
        <v>0</v>
      </c>
      <c r="I84" s="458">
        <v>5.1207020000000004E-3</v>
      </c>
      <c r="J84" s="458">
        <v>1.1668611000000001E-2</v>
      </c>
      <c r="K84" s="458">
        <v>1.4078111000000001E-2</v>
      </c>
      <c r="L84" s="458">
        <v>2.5528565E-2</v>
      </c>
      <c r="M84" s="458">
        <v>5.3662982999999997E-2</v>
      </c>
      <c r="N84" s="379">
        <f>AVERAGE(Table2[[#This Row],[2019]:[2022]])</f>
        <v>1.409899725E-2</v>
      </c>
    </row>
    <row r="85" spans="3:25" x14ac:dyDescent="0.45">
      <c r="C85" s="486" t="s">
        <v>450</v>
      </c>
      <c r="D85" s="458">
        <v>2.8000000000000001E-2</v>
      </c>
      <c r="E85" s="458">
        <v>1.6970724999999999E-2</v>
      </c>
      <c r="F85" s="458">
        <v>1.2139604999999999E-2</v>
      </c>
      <c r="G85" s="458">
        <v>1.7346845999999999E-2</v>
      </c>
      <c r="H85" s="458">
        <v>1.6233766E-2</v>
      </c>
      <c r="I85" s="458">
        <v>2.9025661000000001E-2</v>
      </c>
      <c r="J85" s="458">
        <v>2.0817225000000002E-2</v>
      </c>
      <c r="K85" s="458">
        <v>1.2062725999999999E-2</v>
      </c>
      <c r="L85" s="458">
        <v>1.16189E-2</v>
      </c>
      <c r="M85" s="458">
        <v>1.1013701000000001E-2</v>
      </c>
      <c r="N85" s="379">
        <f>AVERAGE(Table2[[#This Row],[2014]:[2023]])</f>
        <v>1.7522915499999996E-2</v>
      </c>
      <c r="S85" s="464" t="s">
        <v>523</v>
      </c>
      <c r="U85" s="464" t="s">
        <v>519</v>
      </c>
    </row>
    <row r="86" spans="3:25" x14ac:dyDescent="0.45">
      <c r="C86" s="487" t="s">
        <v>449</v>
      </c>
      <c r="D86" s="458">
        <v>-1.0256410000000001E-2</v>
      </c>
      <c r="E86" s="458">
        <v>-5.9397540000000002E-3</v>
      </c>
      <c r="F86" s="458">
        <v>-6.170966E-3</v>
      </c>
      <c r="G86" s="458">
        <v>0</v>
      </c>
      <c r="H86" s="458">
        <v>-3.865182E-3</v>
      </c>
      <c r="I86" s="458">
        <v>-2.04499E-3</v>
      </c>
      <c r="J86" s="458">
        <v>-5.3529999999999995E-4</v>
      </c>
      <c r="K86" s="458">
        <v>-2.6223300000000001E-4</v>
      </c>
      <c r="L86" s="458">
        <v>-6.2935699999999999E-4</v>
      </c>
      <c r="M86" s="458">
        <v>-5.7271199999999996E-4</v>
      </c>
      <c r="N86" s="379">
        <f>AVERAGE(Table2[[#This Row],[2014]:[2023]])</f>
        <v>-3.0276904000000001E-3</v>
      </c>
      <c r="S86" s="464" t="s">
        <v>524</v>
      </c>
      <c r="V86" s="464" t="s">
        <v>522</v>
      </c>
    </row>
    <row r="87" spans="3:25" x14ac:dyDescent="0.45">
      <c r="C87" s="483" t="s">
        <v>337</v>
      </c>
      <c r="D87" s="458">
        <v>0.661311914</v>
      </c>
      <c r="E87" s="458">
        <v>4.0735294120000001</v>
      </c>
      <c r="F87" s="458">
        <v>0.22757111599999999</v>
      </c>
      <c r="G87" s="458">
        <v>0.149812734</v>
      </c>
      <c r="H87" s="458">
        <v>-0.13867877000000001</v>
      </c>
      <c r="I87" s="458">
        <v>-0.55870445300000005</v>
      </c>
      <c r="J87" s="458">
        <v>-0.70193470400000002</v>
      </c>
      <c r="K87" s="458">
        <v>-0.67169476500000003</v>
      </c>
      <c r="L87" s="458">
        <v>-0.37696664600000002</v>
      </c>
      <c r="M87" s="458">
        <v>-0.27704356299999999</v>
      </c>
      <c r="N87" s="458">
        <v>0.23872022800000001</v>
      </c>
    </row>
    <row r="88" spans="3:25" x14ac:dyDescent="0.45">
      <c r="C88" s="488" t="s">
        <v>416</v>
      </c>
      <c r="D88" s="458">
        <v>8.3333330000000001E-3</v>
      </c>
      <c r="E88" s="458">
        <v>3.6062792000000003E-2</v>
      </c>
      <c r="F88" s="458">
        <v>3.3687404999999997E-2</v>
      </c>
      <c r="G88" s="458">
        <v>4.8571167999999998E-2</v>
      </c>
      <c r="H88" s="458">
        <v>6.4393938999999997E-2</v>
      </c>
      <c r="I88" s="458">
        <v>7.6654132999999999E-2</v>
      </c>
      <c r="J88" s="458">
        <v>8.6599654999999998E-2</v>
      </c>
      <c r="K88" s="458">
        <v>7.8E-2</v>
      </c>
      <c r="L88" s="458">
        <v>7.5999999999999998E-2</v>
      </c>
      <c r="M88" s="458">
        <v>9.1999999999999998E-2</v>
      </c>
      <c r="N88" s="379">
        <f>AVERAGE(Table2[[#This Row],[2014]:[2023]])</f>
        <v>6.0030242499999997E-2</v>
      </c>
      <c r="T88" s="464" t="s">
        <v>525</v>
      </c>
    </row>
    <row r="92" spans="3:25" x14ac:dyDescent="0.45">
      <c r="D92" s="489">
        <v>2023</v>
      </c>
      <c r="E92" s="489">
        <f>D92-1</f>
        <v>2022</v>
      </c>
      <c r="F92" s="489">
        <f>E92-1</f>
        <v>2021</v>
      </c>
      <c r="G92" s="489">
        <f>F92-1</f>
        <v>2020</v>
      </c>
      <c r="H92" s="489">
        <f>G92-1</f>
        <v>2019</v>
      </c>
      <c r="I92" s="489">
        <f>H92-1</f>
        <v>2018</v>
      </c>
      <c r="N92" s="570">
        <v>2014</v>
      </c>
      <c r="O92" s="304">
        <v>2015</v>
      </c>
      <c r="P92" s="304">
        <v>2016</v>
      </c>
      <c r="Q92" s="304">
        <v>2017</v>
      </c>
      <c r="R92" s="304">
        <v>2018</v>
      </c>
      <c r="S92" s="304">
        <v>2019</v>
      </c>
      <c r="T92" s="304">
        <v>2020</v>
      </c>
      <c r="U92" s="304">
        <v>2021</v>
      </c>
      <c r="V92" s="304">
        <v>2022</v>
      </c>
      <c r="W92" s="304">
        <v>2023</v>
      </c>
      <c r="X92" s="304">
        <v>2024</v>
      </c>
    </row>
    <row r="93" spans="3:25" x14ac:dyDescent="0.45">
      <c r="C93" s="303" t="s">
        <v>470</v>
      </c>
      <c r="D93" s="303">
        <v>132.5</v>
      </c>
      <c r="E93" s="303">
        <v>114.6</v>
      </c>
      <c r="F93" s="304">
        <v>106.9</v>
      </c>
      <c r="G93" s="304">
        <v>85.3</v>
      </c>
      <c r="H93" s="304">
        <v>60.5</v>
      </c>
      <c r="I93" s="304">
        <v>59.2</v>
      </c>
      <c r="M93" s="570" t="s">
        <v>523</v>
      </c>
      <c r="N93" s="304">
        <v>662</v>
      </c>
      <c r="O93" s="304">
        <v>662</v>
      </c>
      <c r="P93" s="304">
        <v>662</v>
      </c>
      <c r="Q93" s="304">
        <v>662</v>
      </c>
      <c r="R93" s="304">
        <v>786</v>
      </c>
      <c r="S93" s="304">
        <v>860</v>
      </c>
      <c r="T93" s="304">
        <v>990</v>
      </c>
      <c r="U93" s="304">
        <v>860</v>
      </c>
      <c r="V93" s="304">
        <v>869</v>
      </c>
      <c r="W93" s="304">
        <v>1200</v>
      </c>
      <c r="X93" s="304">
        <v>1100</v>
      </c>
    </row>
    <row r="94" spans="3:25" x14ac:dyDescent="0.45">
      <c r="C94" s="303" t="s">
        <v>471</v>
      </c>
      <c r="D94" s="303">
        <v>81</v>
      </c>
      <c r="E94" s="303">
        <v>69.3</v>
      </c>
      <c r="F94" s="304">
        <v>60.8</v>
      </c>
      <c r="G94" s="304">
        <v>40.6</v>
      </c>
      <c r="H94" s="304">
        <v>21.7</v>
      </c>
      <c r="I94" s="304">
        <v>27</v>
      </c>
      <c r="M94" s="570" t="s">
        <v>548</v>
      </c>
      <c r="O94" s="304">
        <f>O93-N93</f>
        <v>0</v>
      </c>
      <c r="P94" s="304">
        <f t="shared" ref="P94:X94" si="45">P93-O93</f>
        <v>0</v>
      </c>
      <c r="Q94" s="304">
        <f t="shared" si="45"/>
        <v>0</v>
      </c>
      <c r="R94" s="304">
        <f t="shared" si="45"/>
        <v>124</v>
      </c>
      <c r="S94" s="304">
        <f t="shared" si="45"/>
        <v>74</v>
      </c>
      <c r="T94" s="304">
        <f t="shared" si="45"/>
        <v>130</v>
      </c>
      <c r="U94" s="304">
        <f t="shared" si="45"/>
        <v>-130</v>
      </c>
      <c r="V94" s="304">
        <f t="shared" si="45"/>
        <v>9</v>
      </c>
      <c r="W94" s="304">
        <f t="shared" si="45"/>
        <v>331</v>
      </c>
      <c r="X94" s="304">
        <f t="shared" si="45"/>
        <v>-100</v>
      </c>
      <c r="Y94" s="304">
        <f>AVERAGE(T94:X94)</f>
        <v>48</v>
      </c>
    </row>
    <row r="95" spans="3:25" x14ac:dyDescent="0.45">
      <c r="C95" s="303" t="s">
        <v>472</v>
      </c>
      <c r="D95" s="303">
        <f t="shared" ref="D95:I95" si="46">D93-D94</f>
        <v>51.5</v>
      </c>
      <c r="E95" s="462">
        <f t="shared" si="46"/>
        <v>45.3</v>
      </c>
      <c r="F95" s="462">
        <f t="shared" si="46"/>
        <v>46.100000000000009</v>
      </c>
      <c r="G95" s="462">
        <f t="shared" si="46"/>
        <v>44.699999999999996</v>
      </c>
      <c r="H95" s="462">
        <f t="shared" si="46"/>
        <v>38.799999999999997</v>
      </c>
      <c r="I95" s="462">
        <f t="shared" si="46"/>
        <v>32.200000000000003</v>
      </c>
      <c r="M95" s="570" t="s">
        <v>550</v>
      </c>
      <c r="T95" s="455">
        <v>1681.3</v>
      </c>
      <c r="U95" s="317">
        <v>1906.7</v>
      </c>
      <c r="V95" s="317">
        <v>2065.6</v>
      </c>
      <c r="W95" s="317">
        <v>2269.9</v>
      </c>
      <c r="X95" s="454">
        <v>2509</v>
      </c>
    </row>
    <row r="96" spans="3:25" x14ac:dyDescent="0.45">
      <c r="M96" s="570" t="s">
        <v>549</v>
      </c>
      <c r="U96" s="322">
        <f>U95-T95</f>
        <v>225.40000000000009</v>
      </c>
      <c r="V96" s="322">
        <f t="shared" ref="V96:X96" si="47">V95-U95</f>
        <v>158.89999999999986</v>
      </c>
      <c r="W96" s="322">
        <f t="shared" si="47"/>
        <v>204.30000000000018</v>
      </c>
      <c r="X96" s="322">
        <f t="shared" si="47"/>
        <v>239.09999999999991</v>
      </c>
    </row>
    <row r="97" spans="3:25" x14ac:dyDescent="0.45">
      <c r="C97" s="303" t="s">
        <v>474</v>
      </c>
      <c r="D97" s="303">
        <v>77.8</v>
      </c>
      <c r="E97" s="303">
        <v>80.8</v>
      </c>
      <c r="F97" s="304">
        <v>87.9</v>
      </c>
      <c r="G97" s="304">
        <v>96.5</v>
      </c>
      <c r="H97" s="304">
        <v>83.6</v>
      </c>
      <c r="I97" s="304">
        <v>61.7</v>
      </c>
      <c r="M97" s="570" t="s">
        <v>551</v>
      </c>
      <c r="U97" s="304">
        <f>U94/U96</f>
        <v>-0.57675244010647719</v>
      </c>
      <c r="V97" s="304">
        <f t="shared" ref="V97:X97" si="48">V94/V96</f>
        <v>5.6639395846444354E-2</v>
      </c>
      <c r="W97" s="304">
        <f t="shared" si="48"/>
        <v>1.620166421928535</v>
      </c>
      <c r="X97" s="304">
        <f t="shared" si="48"/>
        <v>-0.41823504809703071</v>
      </c>
      <c r="Y97" s="304">
        <f>AVERAGE(U97:X97)</f>
        <v>0.17045458239286787</v>
      </c>
    </row>
    <row r="98" spans="3:25" x14ac:dyDescent="0.45">
      <c r="C98" s="303" t="s">
        <v>475</v>
      </c>
      <c r="D98" s="303">
        <v>175.5</v>
      </c>
      <c r="E98" s="303">
        <v>158.30000000000001</v>
      </c>
      <c r="F98" s="304">
        <v>156.1</v>
      </c>
      <c r="G98" s="304">
        <v>142.30000000000001</v>
      </c>
      <c r="H98" s="304">
        <v>129.1</v>
      </c>
      <c r="I98" s="304">
        <v>121.5</v>
      </c>
    </row>
    <row r="99" spans="3:25" x14ac:dyDescent="0.45">
      <c r="C99" s="303" t="s">
        <v>473</v>
      </c>
      <c r="D99" s="303">
        <f t="shared" ref="D99:I99" si="49">D97+D98</f>
        <v>253.3</v>
      </c>
      <c r="E99" s="303">
        <f t="shared" si="49"/>
        <v>239.10000000000002</v>
      </c>
      <c r="F99" s="462">
        <f t="shared" si="49"/>
        <v>244</v>
      </c>
      <c r="G99" s="462">
        <f t="shared" si="49"/>
        <v>238.8</v>
      </c>
      <c r="H99" s="462">
        <f t="shared" si="49"/>
        <v>212.7</v>
      </c>
      <c r="I99" s="462">
        <f t="shared" si="49"/>
        <v>183.2</v>
      </c>
    </row>
    <row r="100" spans="3:25" x14ac:dyDescent="0.45">
      <c r="J100" s="576" t="s">
        <v>553</v>
      </c>
    </row>
    <row r="101" spans="3:25" x14ac:dyDescent="0.45">
      <c r="C101" s="303" t="s">
        <v>476</v>
      </c>
      <c r="D101" s="391">
        <f t="shared" ref="D101:I101" si="50">D95/D99</f>
        <v>0.20331622581918674</v>
      </c>
      <c r="E101" s="391">
        <f t="shared" si="50"/>
        <v>0.1894604767879548</v>
      </c>
      <c r="F101" s="469">
        <f t="shared" si="50"/>
        <v>0.18893442622950823</v>
      </c>
      <c r="G101" s="469">
        <f t="shared" si="50"/>
        <v>0.18718592964824118</v>
      </c>
      <c r="H101" s="469">
        <f t="shared" si="50"/>
        <v>0.18241654913023037</v>
      </c>
      <c r="I101" s="469">
        <f t="shared" si="50"/>
        <v>0.17576419213973801</v>
      </c>
      <c r="J101" s="477">
        <f>AVERAGE(D101:F101)</f>
        <v>0.19390370961221659</v>
      </c>
    </row>
    <row r="102" spans="3:25" x14ac:dyDescent="0.45">
      <c r="C102" s="462" t="s">
        <v>516</v>
      </c>
      <c r="D102" s="468">
        <f t="shared" ref="D102:I102" si="51">D94/D99</f>
        <v>0.31977891827872085</v>
      </c>
      <c r="E102" s="468">
        <f t="shared" si="51"/>
        <v>0.2898368883312421</v>
      </c>
      <c r="F102" s="465">
        <f t="shared" si="51"/>
        <v>0.24918032786885244</v>
      </c>
      <c r="G102" s="465">
        <f t="shared" si="51"/>
        <v>0.17001675041876047</v>
      </c>
      <c r="H102" s="465">
        <f t="shared" si="51"/>
        <v>0.10202162670427833</v>
      </c>
      <c r="I102" s="465">
        <f t="shared" si="51"/>
        <v>0.14737991266375547</v>
      </c>
    </row>
    <row r="104" spans="3:25" x14ac:dyDescent="0.45">
      <c r="C104" s="303" t="s">
        <v>496</v>
      </c>
      <c r="D104" s="303">
        <v>3805.9</v>
      </c>
      <c r="E104" s="303">
        <v>3658.3</v>
      </c>
      <c r="F104" s="304">
        <v>3409.3</v>
      </c>
      <c r="G104" s="304">
        <v>3038.3</v>
      </c>
      <c r="H104" s="304">
        <v>2413.3000000000002</v>
      </c>
      <c r="I104" s="304">
        <v>1572.5</v>
      </c>
    </row>
    <row r="105" spans="3:25" x14ac:dyDescent="0.45">
      <c r="C105" s="303" t="s">
        <v>497</v>
      </c>
      <c r="D105" s="303">
        <v>835.4</v>
      </c>
      <c r="E105" s="303">
        <v>809.2</v>
      </c>
      <c r="F105" s="304">
        <v>763.1</v>
      </c>
      <c r="G105" s="304">
        <v>694.9</v>
      </c>
      <c r="H105" s="304">
        <v>476.7</v>
      </c>
      <c r="I105" s="304">
        <v>211.3</v>
      </c>
    </row>
    <row r="106" spans="3:25" x14ac:dyDescent="0.45">
      <c r="C106" s="303" t="s">
        <v>498</v>
      </c>
      <c r="D106" s="303">
        <f t="shared" ref="D106:I106" si="52">D104+D105</f>
        <v>4641.3</v>
      </c>
      <c r="E106" s="462">
        <f t="shared" si="52"/>
        <v>4467.5</v>
      </c>
      <c r="F106" s="462">
        <f t="shared" si="52"/>
        <v>4172.4000000000005</v>
      </c>
      <c r="G106" s="462">
        <f t="shared" si="52"/>
        <v>3733.2000000000003</v>
      </c>
      <c r="H106" s="462">
        <f t="shared" si="52"/>
        <v>2890</v>
      </c>
      <c r="I106" s="462">
        <f t="shared" si="52"/>
        <v>1783.8</v>
      </c>
    </row>
    <row r="107" spans="3:25" x14ac:dyDescent="0.45">
      <c r="C107" s="303" t="s">
        <v>499</v>
      </c>
      <c r="D107" s="303">
        <v>273</v>
      </c>
      <c r="E107" s="303">
        <v>261.89999999999998</v>
      </c>
      <c r="F107" s="304">
        <v>279.8</v>
      </c>
      <c r="G107" s="304">
        <v>225.1</v>
      </c>
      <c r="H107" s="304">
        <v>180</v>
      </c>
      <c r="I107" s="304">
        <v>82.8</v>
      </c>
    </row>
    <row r="108" spans="3:25" x14ac:dyDescent="0.45">
      <c r="C108" s="303" t="s">
        <v>500</v>
      </c>
      <c r="D108" s="464">
        <f t="shared" ref="D108:I108" si="53">D107+D97</f>
        <v>350.8</v>
      </c>
      <c r="E108" s="464">
        <f t="shared" si="53"/>
        <v>342.7</v>
      </c>
      <c r="F108" s="304">
        <f t="shared" si="53"/>
        <v>367.70000000000005</v>
      </c>
      <c r="G108" s="304">
        <f t="shared" si="53"/>
        <v>321.60000000000002</v>
      </c>
      <c r="H108" s="304">
        <f t="shared" si="53"/>
        <v>263.60000000000002</v>
      </c>
      <c r="I108" s="304">
        <f t="shared" si="53"/>
        <v>144.5</v>
      </c>
    </row>
    <row r="109" spans="3:25" x14ac:dyDescent="0.45">
      <c r="C109" s="303" t="s">
        <v>501</v>
      </c>
      <c r="D109" s="468">
        <f t="shared" ref="D109:I109" si="54">D106/(D106+D108)</f>
        <v>0.92972897177540514</v>
      </c>
      <c r="E109" s="468">
        <f t="shared" si="54"/>
        <v>0.92875556109933066</v>
      </c>
      <c r="F109" s="465">
        <f t="shared" si="54"/>
        <v>0.91901059448029787</v>
      </c>
      <c r="G109" s="465">
        <f t="shared" si="54"/>
        <v>0.92068659366676531</v>
      </c>
      <c r="H109" s="465">
        <f t="shared" si="54"/>
        <v>0.91641298833079654</v>
      </c>
      <c r="I109" s="465">
        <f t="shared" si="54"/>
        <v>0.92506352745942022</v>
      </c>
    </row>
    <row r="110" spans="3:25" x14ac:dyDescent="0.45">
      <c r="C110" s="303" t="s">
        <v>502</v>
      </c>
      <c r="D110" s="468">
        <f t="shared" ref="D110:I110" si="55">D108/(D108+D106)</f>
        <v>7.0271028224594856E-2</v>
      </c>
      <c r="E110" s="468">
        <f t="shared" si="55"/>
        <v>7.1244438900669407E-2</v>
      </c>
      <c r="F110" s="465">
        <f t="shared" si="55"/>
        <v>8.0989405519702212E-2</v>
      </c>
      <c r="G110" s="465">
        <f t="shared" si="55"/>
        <v>7.9313406333234693E-2</v>
      </c>
      <c r="H110" s="465">
        <f t="shared" si="55"/>
        <v>8.3587011669203459E-2</v>
      </c>
      <c r="I110" s="465">
        <f t="shared" si="55"/>
        <v>7.4936472540579793E-2</v>
      </c>
    </row>
    <row r="111" spans="3:25" x14ac:dyDescent="0.45">
      <c r="C111" s="303" t="s">
        <v>504</v>
      </c>
      <c r="D111" s="494">
        <f t="shared" ref="D111:I111" si="56">D109*D102+D110*D101</f>
        <v>0.31159496512978463</v>
      </c>
      <c r="E111" s="495">
        <f t="shared" si="56"/>
        <v>0.28268562721197793</v>
      </c>
      <c r="F111" s="495">
        <f t="shared" si="56"/>
        <v>0.24430104811008352</v>
      </c>
      <c r="G111" s="495">
        <f t="shared" si="56"/>
        <v>0.17137849650739639</v>
      </c>
      <c r="H111" s="495">
        <f t="shared" si="56"/>
        <v>0.10874159802324108</v>
      </c>
      <c r="I111" s="495">
        <f t="shared" si="56"/>
        <v>0.14950693044329158</v>
      </c>
      <c r="J111" s="477">
        <f>AVERAGE(D111:I111)</f>
        <v>0.21136811090429586</v>
      </c>
      <c r="K111" s="477">
        <f>AVERAGE(D111:J111)</f>
        <v>0.21136811090429589</v>
      </c>
    </row>
    <row r="113" spans="3:3" x14ac:dyDescent="0.45">
      <c r="C113" s="462" t="s">
        <v>503</v>
      </c>
    </row>
  </sheetData>
  <mergeCells count="8">
    <mergeCell ref="A50:A59"/>
    <mergeCell ref="A61:A66"/>
    <mergeCell ref="C1:L1"/>
    <mergeCell ref="A5:A16"/>
    <mergeCell ref="A18:A30"/>
    <mergeCell ref="A32:A34"/>
    <mergeCell ref="A36:A38"/>
    <mergeCell ref="A46:A47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X66"/>
  <sheetViews>
    <sheetView topLeftCell="A13" zoomScale="96" zoomScaleNormal="130" workbookViewId="0">
      <selection activeCell="Q29" sqref="Q29"/>
    </sheetView>
  </sheetViews>
  <sheetFormatPr defaultColWidth="11.46484375" defaultRowHeight="13.5" x14ac:dyDescent="0.35"/>
  <cols>
    <col min="1" max="1" width="34.06640625" style="250" customWidth="1"/>
    <col min="2" max="2" width="14.46484375" style="250" customWidth="1"/>
    <col min="3" max="7" width="14.46484375" style="250" bestFit="1" customWidth="1"/>
    <col min="8" max="8" width="15.06640625" style="250" bestFit="1" customWidth="1"/>
    <col min="9" max="10" width="14.46484375" style="250" bestFit="1" customWidth="1"/>
    <col min="11" max="12" width="14.46484375" style="251" bestFit="1" customWidth="1"/>
    <col min="13" max="15" width="14.46484375" style="250" customWidth="1"/>
    <col min="16" max="16" width="11.46484375" style="250" customWidth="1"/>
    <col min="17" max="17" width="17.06640625" style="250" customWidth="1"/>
    <col min="18" max="18" width="18.06640625" style="250" bestFit="1" customWidth="1"/>
    <col min="19" max="29" width="14.796875" style="250" customWidth="1"/>
    <col min="30" max="16384" width="11.46484375" style="250"/>
  </cols>
  <sheetData>
    <row r="1" spans="1:30" x14ac:dyDescent="0.35">
      <c r="B1" s="250">
        <v>936</v>
      </c>
      <c r="C1" s="250">
        <v>942.8</v>
      </c>
      <c r="D1" s="250">
        <v>988.5</v>
      </c>
      <c r="E1" s="250">
        <v>1095.3</v>
      </c>
      <c r="F1" s="250">
        <v>1293.5999999999999</v>
      </c>
      <c r="G1" s="250">
        <v>1515.9</v>
      </c>
      <c r="H1" s="250">
        <v>1681.3</v>
      </c>
      <c r="I1" s="250">
        <v>1906.7</v>
      </c>
      <c r="J1" s="250">
        <v>2065.6</v>
      </c>
      <c r="K1" s="251">
        <v>2269.9</v>
      </c>
    </row>
    <row r="2" spans="1:30" x14ac:dyDescent="0.35">
      <c r="B2" s="250" cm="1">
        <f t="array" ref="B2:K2">_xlfn.SORTBY(B1:K1, _xlfn.SEQUENCE(1, COLUMNS(B1:K1), COLUMNS(B1:K1), -1))</f>
        <v>2269.9</v>
      </c>
      <c r="C2" s="250">
        <v>2065.6</v>
      </c>
      <c r="D2" s="250">
        <v>1906.7</v>
      </c>
      <c r="E2" s="250">
        <v>1681.3</v>
      </c>
      <c r="F2" s="250">
        <v>1515.9</v>
      </c>
      <c r="G2" s="250">
        <v>1293.5999999999999</v>
      </c>
      <c r="H2" s="250">
        <v>1095.3</v>
      </c>
      <c r="I2" s="250">
        <v>988.5</v>
      </c>
      <c r="J2" s="250">
        <v>942.8</v>
      </c>
      <c r="K2" s="251">
        <v>936</v>
      </c>
      <c r="L2" s="251">
        <v>861.3</v>
      </c>
      <c r="M2" s="250">
        <v>798</v>
      </c>
    </row>
    <row r="3" spans="1:30" x14ac:dyDescent="0.35">
      <c r="A3" s="250" t="s">
        <v>356</v>
      </c>
      <c r="B3"/>
      <c r="C3"/>
      <c r="D3"/>
      <c r="E3"/>
      <c r="F3"/>
      <c r="G3"/>
      <c r="H3"/>
      <c r="I3"/>
      <c r="J3"/>
      <c r="K3"/>
      <c r="L3"/>
      <c r="M3"/>
    </row>
    <row r="4" spans="1:30" x14ac:dyDescent="0.35">
      <c r="A4" s="250" t="s">
        <v>357</v>
      </c>
      <c r="B4" s="282"/>
      <c r="C4" s="686" t="str">
        <f>"Cifras en "&amp;A4&amp;" de "&amp;A3</f>
        <v>Cifras en Millones de USD</v>
      </c>
      <c r="D4" s="686"/>
      <c r="E4" s="686"/>
      <c r="F4" s="686"/>
      <c r="G4" s="686"/>
      <c r="H4" s="686"/>
      <c r="I4" s="686"/>
      <c r="J4" s="686"/>
      <c r="K4" s="686"/>
      <c r="L4" s="686"/>
    </row>
    <row r="5" spans="1:30" x14ac:dyDescent="0.35">
      <c r="A5" s="250" t="s">
        <v>443</v>
      </c>
      <c r="D5" s="255"/>
      <c r="G5" s="250" t="str">
        <f>A5&amp;" ("&amp;A6&amp;")"</f>
        <v>(Company name) ((ticker))</v>
      </c>
    </row>
    <row r="6" spans="1:30" x14ac:dyDescent="0.35">
      <c r="A6" s="250" t="s">
        <v>432</v>
      </c>
      <c r="D6" s="255"/>
      <c r="K6" s="250"/>
      <c r="L6" s="250"/>
    </row>
    <row r="7" spans="1:30" ht="13.9" x14ac:dyDescent="0.4">
      <c r="A7" s="283" t="s">
        <v>259</v>
      </c>
      <c r="B7" s="283">
        <v>2023</v>
      </c>
      <c r="C7" s="283">
        <f>B7-1</f>
        <v>2022</v>
      </c>
      <c r="D7" s="283">
        <f>C7-1</f>
        <v>2021</v>
      </c>
      <c r="E7" s="283">
        <f t="shared" ref="E7:M7" si="0">D7-1</f>
        <v>2020</v>
      </c>
      <c r="F7" s="283">
        <f t="shared" si="0"/>
        <v>2019</v>
      </c>
      <c r="G7" s="283">
        <f t="shared" si="0"/>
        <v>2018</v>
      </c>
      <c r="H7" s="283">
        <f t="shared" si="0"/>
        <v>2017</v>
      </c>
      <c r="I7" s="283">
        <f t="shared" si="0"/>
        <v>2016</v>
      </c>
      <c r="J7" s="283">
        <f t="shared" si="0"/>
        <v>2015</v>
      </c>
      <c r="K7" s="283">
        <f t="shared" si="0"/>
        <v>2014</v>
      </c>
      <c r="L7" s="283">
        <f t="shared" si="0"/>
        <v>2013</v>
      </c>
      <c r="M7" s="283">
        <f t="shared" si="0"/>
        <v>2012</v>
      </c>
      <c r="N7" s="283">
        <v>2024</v>
      </c>
      <c r="O7" s="283"/>
      <c r="S7" s="398"/>
    </row>
    <row r="8" spans="1:30" x14ac:dyDescent="0.35">
      <c r="A8" s="253" t="s">
        <v>208</v>
      </c>
      <c r="B8" s="254">
        <v>2269.9</v>
      </c>
      <c r="C8" s="254">
        <v>2065.6</v>
      </c>
      <c r="D8" s="254">
        <v>1906.7</v>
      </c>
      <c r="E8" s="254">
        <v>1681.3</v>
      </c>
      <c r="F8" s="254">
        <v>1515.9</v>
      </c>
      <c r="G8" s="254">
        <v>1293.5999999999999</v>
      </c>
      <c r="H8" s="254">
        <v>1095.3</v>
      </c>
      <c r="I8" s="254">
        <v>988.5</v>
      </c>
      <c r="J8" s="254">
        <v>942.8</v>
      </c>
      <c r="K8" s="254">
        <v>936</v>
      </c>
      <c r="L8" s="254">
        <v>861.3</v>
      </c>
      <c r="M8" s="254">
        <v>798</v>
      </c>
      <c r="N8" s="254">
        <v>2544</v>
      </c>
      <c r="O8" s="251"/>
      <c r="P8" s="251"/>
    </row>
    <row r="9" spans="1:30" x14ac:dyDescent="0.35">
      <c r="A9" s="253" t="s">
        <v>210</v>
      </c>
      <c r="B9" s="254">
        <v>1998.7</v>
      </c>
      <c r="C9" s="254">
        <v>1814.9</v>
      </c>
      <c r="D9" s="254">
        <v>1648.7</v>
      </c>
      <c r="E9" s="254">
        <v>1456</v>
      </c>
      <c r="F9" s="254">
        <v>1349.6</v>
      </c>
      <c r="G9" s="254">
        <v>1137.8</v>
      </c>
      <c r="H9" s="254">
        <v>945.1</v>
      </c>
      <c r="I9" s="254">
        <v>841.6</v>
      </c>
      <c r="J9" s="254">
        <v>795.5</v>
      </c>
      <c r="K9" s="254">
        <v>782.2</v>
      </c>
      <c r="L9" s="254">
        <v>714.6</v>
      </c>
      <c r="M9" s="254">
        <v>658.5</v>
      </c>
      <c r="N9" s="254">
        <v>2264</v>
      </c>
      <c r="O9" s="251"/>
      <c r="P9" s="399"/>
      <c r="S9" s="400"/>
      <c r="T9" s="398"/>
    </row>
    <row r="10" spans="1:30" x14ac:dyDescent="0.35">
      <c r="A10" s="253" t="s">
        <v>213</v>
      </c>
      <c r="B10" s="254">
        <v>626.1</v>
      </c>
      <c r="C10" s="254">
        <v>592.70000000000005</v>
      </c>
      <c r="D10" s="254">
        <v>513.29999999999995</v>
      </c>
      <c r="E10" s="254">
        <v>496.4</v>
      </c>
      <c r="F10" s="254">
        <v>515</v>
      </c>
      <c r="G10" s="254">
        <v>476.6</v>
      </c>
      <c r="H10" s="254">
        <v>390.7</v>
      </c>
      <c r="I10" s="254">
        <v>376.2</v>
      </c>
      <c r="J10" s="254">
        <v>353.7</v>
      </c>
      <c r="K10" s="254">
        <v>347.5</v>
      </c>
      <c r="L10" s="254">
        <v>321.89999999999998</v>
      </c>
      <c r="M10" s="254">
        <v>294.3</v>
      </c>
      <c r="N10" s="254">
        <v>718</v>
      </c>
      <c r="O10" s="251"/>
      <c r="P10" s="401"/>
    </row>
    <row r="11" spans="1:30" ht="13.9" x14ac:dyDescent="0.4">
      <c r="A11" s="253" t="s">
        <v>260</v>
      </c>
      <c r="B11" s="254">
        <v>43.9</v>
      </c>
      <c r="C11" s="254">
        <v>-5.4</v>
      </c>
      <c r="D11" s="254">
        <v>5</v>
      </c>
      <c r="E11" s="254">
        <v>4.2</v>
      </c>
      <c r="F11" s="254">
        <v>56.2</v>
      </c>
      <c r="G11" s="254">
        <v>-13.3</v>
      </c>
      <c r="H11" s="254">
        <v>55.1</v>
      </c>
      <c r="I11" s="254">
        <v>38.799999999999997</v>
      </c>
      <c r="J11" s="254">
        <v>-38.299999999999997</v>
      </c>
      <c r="K11" s="254">
        <v>-22.6</v>
      </c>
      <c r="L11" s="254">
        <v>-28.2</v>
      </c>
      <c r="M11" s="254">
        <v>-1.9</v>
      </c>
      <c r="N11" s="254">
        <v>-3.29</v>
      </c>
      <c r="O11" s="251"/>
      <c r="P11" s="251"/>
      <c r="S11" s="283">
        <f>C7</f>
        <v>2022</v>
      </c>
      <c r="T11" s="283">
        <f t="shared" ref="T11:AB11" si="1">D7</f>
        <v>2021</v>
      </c>
      <c r="U11" s="283">
        <f t="shared" si="1"/>
        <v>2020</v>
      </c>
      <c r="V11" s="283">
        <f t="shared" si="1"/>
        <v>2019</v>
      </c>
      <c r="W11" s="283">
        <f t="shared" si="1"/>
        <v>2018</v>
      </c>
      <c r="X11" s="283">
        <f t="shared" si="1"/>
        <v>2017</v>
      </c>
      <c r="Y11" s="283">
        <f t="shared" si="1"/>
        <v>2016</v>
      </c>
      <c r="Z11" s="283">
        <f t="shared" si="1"/>
        <v>2015</v>
      </c>
      <c r="AA11" s="283">
        <f t="shared" si="1"/>
        <v>2014</v>
      </c>
      <c r="AB11" s="283">
        <f t="shared" si="1"/>
        <v>2013</v>
      </c>
      <c r="AC11" s="283"/>
    </row>
    <row r="12" spans="1:30" x14ac:dyDescent="0.35">
      <c r="A12" s="253" t="s">
        <v>261</v>
      </c>
      <c r="B12" s="254">
        <v>-34</v>
      </c>
      <c r="C12" s="254">
        <v>-17.34</v>
      </c>
      <c r="D12" s="254">
        <v>2.08</v>
      </c>
      <c r="E12" s="254">
        <v>-2.4300000000000002</v>
      </c>
      <c r="F12" s="254">
        <v>7.54</v>
      </c>
      <c r="G12" s="254">
        <v>10.51</v>
      </c>
      <c r="H12" s="254">
        <v>4.97</v>
      </c>
      <c r="I12" s="254">
        <v>4.07</v>
      </c>
      <c r="J12" s="254">
        <v>3.09</v>
      </c>
      <c r="K12" s="254">
        <v>0.68899999999999995</v>
      </c>
      <c r="L12" s="254">
        <v>0.626</v>
      </c>
      <c r="M12" s="254">
        <v>-0.70599999999999996</v>
      </c>
      <c r="N12" s="254">
        <v>-3.1320000000000001</v>
      </c>
      <c r="O12" s="251"/>
      <c r="P12" s="251"/>
      <c r="R12" s="250" t="s">
        <v>358</v>
      </c>
      <c r="S12" s="255">
        <f>C26</f>
        <v>0</v>
      </c>
      <c r="T12" s="255">
        <f t="shared" ref="T12:AC12" si="2">D26</f>
        <v>0</v>
      </c>
      <c r="U12" s="255">
        <f t="shared" si="2"/>
        <v>0</v>
      </c>
      <c r="V12" s="255">
        <f t="shared" si="2"/>
        <v>0</v>
      </c>
      <c r="W12" s="255">
        <f t="shared" si="2"/>
        <v>0</v>
      </c>
      <c r="X12" s="255">
        <f t="shared" si="2"/>
        <v>0</v>
      </c>
      <c r="Y12" s="255">
        <f t="shared" si="2"/>
        <v>0</v>
      </c>
      <c r="Z12" s="255">
        <f t="shared" si="2"/>
        <v>0</v>
      </c>
      <c r="AA12" s="255">
        <f t="shared" si="2"/>
        <v>0</v>
      </c>
      <c r="AB12" s="255">
        <f t="shared" si="2"/>
        <v>0</v>
      </c>
      <c r="AC12" s="255">
        <f t="shared" si="2"/>
        <v>0</v>
      </c>
      <c r="AD12" s="255"/>
    </row>
    <row r="13" spans="1:30" x14ac:dyDescent="0.35">
      <c r="A13" s="253" t="s">
        <v>262</v>
      </c>
      <c r="B13" s="254">
        <v>132.5</v>
      </c>
      <c r="C13" s="254">
        <v>114.56</v>
      </c>
      <c r="D13" s="254">
        <v>106.87</v>
      </c>
      <c r="E13" s="254">
        <v>106.25</v>
      </c>
      <c r="F13" s="254">
        <v>78.97</v>
      </c>
      <c r="G13" s="254">
        <v>59.26</v>
      </c>
      <c r="H13" s="254">
        <v>67.680000000000007</v>
      </c>
      <c r="I13" s="254">
        <v>69.59</v>
      </c>
      <c r="J13" s="254">
        <v>77.67</v>
      </c>
      <c r="K13" s="254">
        <v>81.92</v>
      </c>
      <c r="L13" s="254">
        <v>80.7</v>
      </c>
      <c r="M13" s="254">
        <v>85.42</v>
      </c>
      <c r="N13" s="254">
        <v>142.672</v>
      </c>
      <c r="O13" s="251"/>
      <c r="P13" s="251"/>
      <c r="R13" s="250" t="s">
        <v>359</v>
      </c>
      <c r="S13" s="255">
        <f>C25</f>
        <v>760.3</v>
      </c>
      <c r="T13" s="255">
        <f t="shared" ref="T13:AC13" si="3">D25</f>
        <v>645.9</v>
      </c>
      <c r="U13" s="255">
        <f t="shared" si="3"/>
        <v>537.6</v>
      </c>
      <c r="V13" s="255">
        <f t="shared" si="3"/>
        <v>433.5</v>
      </c>
      <c r="W13" s="255">
        <f t="shared" si="3"/>
        <v>317.7</v>
      </c>
      <c r="X13" s="255">
        <f t="shared" si="3"/>
        <v>124.7</v>
      </c>
      <c r="Y13" s="255">
        <f t="shared" si="3"/>
        <v>107.2</v>
      </c>
      <c r="Z13" s="255">
        <f t="shared" si="3"/>
        <v>91.6</v>
      </c>
      <c r="AA13" s="255">
        <f t="shared" si="3"/>
        <v>101.2</v>
      </c>
      <c r="AB13" s="255">
        <f t="shared" si="3"/>
        <v>97.8</v>
      </c>
      <c r="AC13" s="255">
        <f t="shared" si="3"/>
        <v>96.6</v>
      </c>
      <c r="AD13" s="255"/>
    </row>
    <row r="14" spans="1:30" x14ac:dyDescent="0.35">
      <c r="A14" s="253" t="s">
        <v>219</v>
      </c>
      <c r="B14" s="254">
        <v>1160.3</v>
      </c>
      <c r="C14" s="254">
        <v>869.3</v>
      </c>
      <c r="D14" s="254">
        <v>860.1</v>
      </c>
      <c r="E14" s="254">
        <v>990.4</v>
      </c>
      <c r="F14" s="254">
        <v>860.4</v>
      </c>
      <c r="G14" s="254">
        <v>786.4</v>
      </c>
      <c r="H14" s="254">
        <v>661.7</v>
      </c>
      <c r="I14" s="254">
        <v>630.29999999999995</v>
      </c>
      <c r="J14" s="254">
        <v>592.29999999999995</v>
      </c>
      <c r="K14" s="254">
        <v>617.20000000000005</v>
      </c>
      <c r="L14" s="254">
        <v>627.20000000000005</v>
      </c>
      <c r="M14" s="254">
        <v>436</v>
      </c>
      <c r="N14" s="254">
        <v>189</v>
      </c>
      <c r="O14" s="251"/>
      <c r="P14" s="251"/>
      <c r="R14" s="250" t="s">
        <v>360</v>
      </c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</row>
    <row r="15" spans="1:30" x14ac:dyDescent="0.35">
      <c r="A15" s="253" t="s">
        <v>117</v>
      </c>
      <c r="B15" s="254">
        <v>-25.3</v>
      </c>
      <c r="C15" s="254">
        <v>-24.37</v>
      </c>
      <c r="D15" s="254">
        <f>-23.02</f>
        <v>-23.02</v>
      </c>
      <c r="E15" s="254">
        <v>-35.369999999999997</v>
      </c>
      <c r="F15" s="254">
        <v>-44.94</v>
      </c>
      <c r="G15" s="254">
        <v>-21.76</v>
      </c>
      <c r="H15" s="254">
        <v>-19.149999999999999</v>
      </c>
      <c r="I15" s="254">
        <v>-12.44</v>
      </c>
      <c r="J15" s="254">
        <v>-16.14</v>
      </c>
      <c r="K15" s="254">
        <v>-26.02</v>
      </c>
      <c r="L15" s="254">
        <v>-28.85</v>
      </c>
      <c r="M15" s="254"/>
      <c r="N15" s="254">
        <v>-44</v>
      </c>
      <c r="T15" s="255"/>
    </row>
    <row r="16" spans="1:30" x14ac:dyDescent="0.35">
      <c r="A16" s="253" t="s">
        <v>19</v>
      </c>
      <c r="B16" s="254">
        <v>0</v>
      </c>
      <c r="C16" s="254">
        <v>0</v>
      </c>
      <c r="D16" s="254">
        <v>0</v>
      </c>
      <c r="E16" s="254">
        <v>0</v>
      </c>
      <c r="F16" s="254">
        <v>0</v>
      </c>
      <c r="G16" s="254">
        <v>0</v>
      </c>
      <c r="H16" s="254">
        <v>0</v>
      </c>
      <c r="I16" s="254"/>
      <c r="J16" s="254">
        <v>0</v>
      </c>
      <c r="K16" s="254">
        <v>-0.33500000000000002</v>
      </c>
      <c r="L16" s="254">
        <v>-0.26100000000000001</v>
      </c>
      <c r="M16" s="254">
        <v>-0.28799999999999998</v>
      </c>
      <c r="N16" s="254">
        <v>0</v>
      </c>
      <c r="O16" s="251"/>
      <c r="P16" s="251"/>
      <c r="S16" s="251">
        <f>(S12-T12)</f>
        <v>0</v>
      </c>
      <c r="T16" s="251">
        <f t="shared" ref="T16:AB16" si="4">(T12-U12)</f>
        <v>0</v>
      </c>
      <c r="U16" s="251">
        <f t="shared" si="4"/>
        <v>0</v>
      </c>
      <c r="V16" s="251">
        <f t="shared" si="4"/>
        <v>0</v>
      </c>
      <c r="W16" s="251">
        <f t="shared" si="4"/>
        <v>0</v>
      </c>
      <c r="X16" s="251">
        <f t="shared" si="4"/>
        <v>0</v>
      </c>
      <c r="Y16" s="251">
        <f t="shared" si="4"/>
        <v>0</v>
      </c>
      <c r="Z16" s="251">
        <f t="shared" si="4"/>
        <v>0</v>
      </c>
      <c r="AA16" s="251">
        <f t="shared" si="4"/>
        <v>0</v>
      </c>
      <c r="AB16" s="251">
        <f t="shared" si="4"/>
        <v>0</v>
      </c>
      <c r="AC16" s="402"/>
      <c r="AD16" s="402"/>
    </row>
    <row r="17" spans="1:102" x14ac:dyDescent="0.35">
      <c r="A17" s="253" t="s">
        <v>221</v>
      </c>
      <c r="B17" s="254">
        <v>115.8</v>
      </c>
      <c r="C17" s="254">
        <v>91.7</v>
      </c>
      <c r="D17" s="254">
        <v>51.6</v>
      </c>
      <c r="E17" s="254">
        <v>60.7</v>
      </c>
      <c r="F17" s="254"/>
      <c r="G17" s="254">
        <v>60</v>
      </c>
      <c r="H17" s="254">
        <v>71.3</v>
      </c>
      <c r="I17" s="254">
        <v>67.7</v>
      </c>
      <c r="J17" s="254">
        <v>136.4</v>
      </c>
      <c r="K17" s="254">
        <v>114.7</v>
      </c>
      <c r="L17" s="254">
        <v>104.2</v>
      </c>
      <c r="M17" s="254">
        <v>93.4</v>
      </c>
      <c r="N17" s="254"/>
      <c r="O17" s="251"/>
      <c r="P17" s="251"/>
      <c r="R17" s="255"/>
      <c r="S17" s="251">
        <f t="shared" ref="S17:AB18" si="5">(S13-T13)</f>
        <v>114.39999999999998</v>
      </c>
      <c r="T17" s="251">
        <f t="shared" si="5"/>
        <v>108.29999999999995</v>
      </c>
      <c r="U17" s="251">
        <f t="shared" si="5"/>
        <v>104.10000000000002</v>
      </c>
      <c r="V17" s="251">
        <f t="shared" si="5"/>
        <v>115.80000000000001</v>
      </c>
      <c r="W17" s="251">
        <f t="shared" si="5"/>
        <v>193</v>
      </c>
      <c r="X17" s="251">
        <f t="shared" si="5"/>
        <v>17.5</v>
      </c>
      <c r="Y17" s="251">
        <f t="shared" si="5"/>
        <v>15.600000000000009</v>
      </c>
      <c r="Z17" s="251">
        <f t="shared" si="5"/>
        <v>-9.6000000000000085</v>
      </c>
      <c r="AA17" s="251">
        <f t="shared" si="5"/>
        <v>3.4000000000000057</v>
      </c>
      <c r="AB17" s="251">
        <f t="shared" si="5"/>
        <v>1.2000000000000028</v>
      </c>
      <c r="AC17" s="402"/>
      <c r="AD17" s="402"/>
    </row>
    <row r="18" spans="1:102" x14ac:dyDescent="0.35">
      <c r="A18" s="253" t="s">
        <v>41</v>
      </c>
      <c r="B18" s="254">
        <v>500.4</v>
      </c>
      <c r="C18" s="254">
        <v>523.70000000000005</v>
      </c>
      <c r="D18" s="254">
        <v>454.6</v>
      </c>
      <c r="E18" s="254">
        <v>433.9</v>
      </c>
      <c r="F18" s="254">
        <v>451.3</v>
      </c>
      <c r="G18" s="254">
        <v>419.4</v>
      </c>
      <c r="H18" s="254">
        <v>259.3</v>
      </c>
      <c r="I18" s="254">
        <v>265.60000000000002</v>
      </c>
      <c r="J18" s="254">
        <v>252.5</v>
      </c>
      <c r="K18" s="254">
        <v>254.7</v>
      </c>
      <c r="L18" s="254">
        <v>245.3</v>
      </c>
      <c r="M18" s="254">
        <v>203.5</v>
      </c>
      <c r="N18" s="254">
        <v>575.69200000000001</v>
      </c>
      <c r="O18" s="251"/>
      <c r="P18" s="251"/>
      <c r="R18" s="255"/>
      <c r="S18" s="251">
        <f t="shared" si="5"/>
        <v>0</v>
      </c>
      <c r="T18" s="251">
        <f t="shared" si="5"/>
        <v>0</v>
      </c>
      <c r="U18" s="251">
        <f t="shared" si="5"/>
        <v>0</v>
      </c>
      <c r="V18" s="251">
        <f t="shared" si="5"/>
        <v>0</v>
      </c>
      <c r="W18" s="251">
        <f t="shared" si="5"/>
        <v>0</v>
      </c>
      <c r="X18" s="251">
        <f t="shared" si="5"/>
        <v>0</v>
      </c>
      <c r="Y18" s="251">
        <f t="shared" si="5"/>
        <v>0</v>
      </c>
      <c r="Z18" s="251">
        <f t="shared" si="5"/>
        <v>0</v>
      </c>
      <c r="AA18" s="251">
        <f t="shared" si="5"/>
        <v>0</v>
      </c>
      <c r="AB18" s="251">
        <f t="shared" si="5"/>
        <v>0</v>
      </c>
      <c r="AC18" s="402"/>
      <c r="AD18" s="402"/>
    </row>
    <row r="19" spans="1:102" ht="13.9" x14ac:dyDescent="0.4">
      <c r="A19" s="253" t="s">
        <v>225</v>
      </c>
      <c r="B19" s="254">
        <v>0</v>
      </c>
      <c r="C19" s="254">
        <v>0</v>
      </c>
      <c r="D19" s="254">
        <v>0</v>
      </c>
      <c r="E19" s="254">
        <v>0</v>
      </c>
      <c r="F19" s="254">
        <v>0</v>
      </c>
      <c r="G19" s="254">
        <v>0</v>
      </c>
      <c r="H19" s="254">
        <v>0</v>
      </c>
      <c r="I19" s="254">
        <v>0</v>
      </c>
      <c r="J19" s="254">
        <v>0</v>
      </c>
      <c r="K19" s="254">
        <v>0</v>
      </c>
      <c r="L19" s="254">
        <v>0</v>
      </c>
      <c r="M19" s="254">
        <v>0</v>
      </c>
      <c r="N19" s="254">
        <v>0</v>
      </c>
      <c r="O19" s="251"/>
      <c r="P19" s="251"/>
      <c r="R19" s="258" t="s">
        <v>361</v>
      </c>
      <c r="S19" s="257">
        <f>SUM(S16:S18)</f>
        <v>114.39999999999998</v>
      </c>
      <c r="T19" s="257">
        <f t="shared" ref="T19:AB19" si="6">SUM(T16:T18)</f>
        <v>108.29999999999995</v>
      </c>
      <c r="U19" s="257">
        <f t="shared" si="6"/>
        <v>104.10000000000002</v>
      </c>
      <c r="V19" s="257">
        <f t="shared" si="6"/>
        <v>115.80000000000001</v>
      </c>
      <c r="W19" s="257">
        <f t="shared" si="6"/>
        <v>193</v>
      </c>
      <c r="X19" s="257">
        <f t="shared" si="6"/>
        <v>17.5</v>
      </c>
      <c r="Y19" s="257">
        <f t="shared" si="6"/>
        <v>15.600000000000009</v>
      </c>
      <c r="Z19" s="257">
        <f t="shared" si="6"/>
        <v>-9.6000000000000085</v>
      </c>
      <c r="AA19" s="257">
        <f t="shared" si="6"/>
        <v>3.4000000000000057</v>
      </c>
      <c r="AB19" s="257">
        <f t="shared" si="6"/>
        <v>1.2000000000000028</v>
      </c>
      <c r="AC19" s="402"/>
      <c r="AD19" s="402"/>
    </row>
    <row r="20" spans="1:102" x14ac:dyDescent="0.35">
      <c r="A20" s="253" t="s">
        <v>263</v>
      </c>
      <c r="B20" s="254">
        <v>-47.2</v>
      </c>
      <c r="C20" s="254">
        <v>-69.2</v>
      </c>
      <c r="D20" s="254">
        <v>-175.9</v>
      </c>
      <c r="E20" s="254">
        <v>-294.3</v>
      </c>
      <c r="F20" s="254">
        <v>-282.5</v>
      </c>
      <c r="G20" s="254">
        <v>-294.7</v>
      </c>
      <c r="H20" s="254">
        <v>-257.7</v>
      </c>
      <c r="I20" s="254">
        <v>-67.5</v>
      </c>
      <c r="J20" s="254">
        <v>-202.5</v>
      </c>
      <c r="K20" s="254">
        <v>-200.3</v>
      </c>
      <c r="L20" s="254">
        <v>-244.2</v>
      </c>
      <c r="M20" s="254">
        <v>-230</v>
      </c>
      <c r="N20" s="254">
        <v>0</v>
      </c>
      <c r="O20" s="251"/>
      <c r="P20" s="251"/>
      <c r="S20" s="402"/>
    </row>
    <row r="21" spans="1:102" x14ac:dyDescent="0.35">
      <c r="B21" s="251">
        <f t="shared" ref="B21:M21" si="7">B10-B11-B12-B17</f>
        <v>500.40000000000003</v>
      </c>
      <c r="C21" s="251">
        <f t="shared" si="7"/>
        <v>523.74</v>
      </c>
      <c r="D21" s="251">
        <f t="shared" si="7"/>
        <v>454.61999999999995</v>
      </c>
      <c r="E21" s="251">
        <f t="shared" si="7"/>
        <v>433.93</v>
      </c>
      <c r="F21" s="251">
        <f t="shared" si="7"/>
        <v>451.26</v>
      </c>
      <c r="G21" s="251">
        <f t="shared" si="7"/>
        <v>419.39000000000004</v>
      </c>
      <c r="H21" s="251">
        <f t="shared" si="7"/>
        <v>259.32999999999993</v>
      </c>
      <c r="I21" s="251">
        <f t="shared" si="7"/>
        <v>265.63</v>
      </c>
      <c r="J21" s="251">
        <f t="shared" si="7"/>
        <v>252.51000000000002</v>
      </c>
      <c r="K21" s="251">
        <f t="shared" si="7"/>
        <v>254.71100000000001</v>
      </c>
      <c r="L21" s="251">
        <f t="shared" si="7"/>
        <v>245.274</v>
      </c>
      <c r="M21" s="251">
        <f t="shared" si="7"/>
        <v>203.506</v>
      </c>
      <c r="N21" s="251">
        <f>N10-N11-N12-N17</f>
        <v>724.42199999999991</v>
      </c>
      <c r="Q21" s="255"/>
      <c r="S21" s="402"/>
    </row>
    <row r="22" spans="1:102" ht="13.9" x14ac:dyDescent="0.4">
      <c r="A22" s="283" t="s">
        <v>264</v>
      </c>
      <c r="B22" s="256">
        <f t="shared" ref="B22:M22" si="8">B18-B21</f>
        <v>0</v>
      </c>
      <c r="C22" s="256">
        <f t="shared" si="8"/>
        <v>-3.999999999996362E-2</v>
      </c>
      <c r="D22" s="256">
        <f t="shared" si="8"/>
        <v>-1.9999999999924967E-2</v>
      </c>
      <c r="E22" s="256">
        <f t="shared" si="8"/>
        <v>-3.0000000000029559E-2</v>
      </c>
      <c r="F22" s="256">
        <f t="shared" si="8"/>
        <v>4.0000000000020464E-2</v>
      </c>
      <c r="G22" s="256">
        <f t="shared" si="8"/>
        <v>9.9999999999340616E-3</v>
      </c>
      <c r="H22" s="256">
        <f t="shared" si="8"/>
        <v>-2.9999999999915872E-2</v>
      </c>
      <c r="I22" s="256">
        <f t="shared" si="8"/>
        <v>-2.9999999999972715E-2</v>
      </c>
      <c r="J22" s="256">
        <f t="shared" si="8"/>
        <v>-1.0000000000019327E-2</v>
      </c>
      <c r="K22" s="256">
        <f t="shared" si="8"/>
        <v>-1.1000000000024102E-2</v>
      </c>
      <c r="L22" s="256">
        <f t="shared" si="8"/>
        <v>2.6000000000010459E-2</v>
      </c>
      <c r="M22" s="256">
        <f t="shared" si="8"/>
        <v>-6.0000000000002274E-3</v>
      </c>
      <c r="N22" s="251">
        <f>N18-N21</f>
        <v>-148.7299999999999</v>
      </c>
      <c r="Q22" s="255"/>
      <c r="S22" s="402"/>
    </row>
    <row r="23" spans="1:102" ht="13.9" x14ac:dyDescent="0.4">
      <c r="A23" s="252" t="s">
        <v>231</v>
      </c>
      <c r="B23" s="258"/>
      <c r="C23" s="258"/>
      <c r="D23" s="258"/>
      <c r="E23" s="258"/>
      <c r="F23" s="258"/>
      <c r="G23" s="258"/>
      <c r="H23" s="258"/>
      <c r="I23" s="258"/>
      <c r="J23" s="258"/>
      <c r="K23" s="257"/>
      <c r="L23" s="257"/>
      <c r="N23" s="251"/>
      <c r="Q23" s="255"/>
      <c r="S23" s="402"/>
    </row>
    <row r="24" spans="1:102" x14ac:dyDescent="0.35">
      <c r="A24" s="253" t="s">
        <v>232</v>
      </c>
      <c r="B24" s="254">
        <v>860.2</v>
      </c>
      <c r="C24" s="254">
        <v>614.4</v>
      </c>
      <c r="D24" s="254">
        <v>667.7</v>
      </c>
      <c r="E24" s="254">
        <v>912.7</v>
      </c>
      <c r="F24" s="254">
        <v>872.1</v>
      </c>
      <c r="G24" s="254">
        <v>777.1</v>
      </c>
      <c r="H24" s="254">
        <v>881.5</v>
      </c>
      <c r="I24" s="254">
        <v>822.5</v>
      </c>
      <c r="J24" s="254">
        <v>784.6</v>
      </c>
      <c r="K24" s="254">
        <v>788.1</v>
      </c>
      <c r="L24" s="254">
        <v>742.5</v>
      </c>
      <c r="M24" s="254">
        <v>576.70000000000005</v>
      </c>
      <c r="N24" s="254"/>
      <c r="O24" s="251"/>
      <c r="P24" s="251"/>
      <c r="Q24" s="255"/>
      <c r="R24" s="255"/>
      <c r="S24" s="255"/>
      <c r="T24" s="255"/>
      <c r="U24" s="255"/>
      <c r="V24" s="255"/>
      <c r="W24" s="255"/>
      <c r="X24" s="255"/>
      <c r="Y24" s="255"/>
      <c r="Z24" s="255"/>
      <c r="AA24" s="255"/>
      <c r="AB24" s="255"/>
      <c r="AC24" s="255"/>
    </row>
    <row r="25" spans="1:102" s="260" customFormat="1" x14ac:dyDescent="0.35">
      <c r="A25" s="259" t="s">
        <v>233</v>
      </c>
      <c r="B25" s="254">
        <v>864.5</v>
      </c>
      <c r="C25" s="254">
        <v>760.3</v>
      </c>
      <c r="D25" s="254">
        <v>645.9</v>
      </c>
      <c r="E25" s="254">
        <v>537.6</v>
      </c>
      <c r="F25" s="254">
        <v>433.5</v>
      </c>
      <c r="G25" s="254">
        <v>317.7</v>
      </c>
      <c r="H25" s="254">
        <v>124.7</v>
      </c>
      <c r="I25" s="254">
        <v>107.2</v>
      </c>
      <c r="J25" s="254">
        <v>91.6</v>
      </c>
      <c r="K25" s="254">
        <v>101.2</v>
      </c>
      <c r="L25" s="254">
        <v>97.8</v>
      </c>
      <c r="M25" s="254">
        <v>96.6</v>
      </c>
      <c r="N25" s="254"/>
      <c r="O25" s="251"/>
      <c r="P25" s="251">
        <f>B14-C14</f>
        <v>291</v>
      </c>
      <c r="Q25" s="251">
        <f>C14-D14</f>
        <v>9.1999999999999318</v>
      </c>
      <c r="R25" s="251">
        <f>D14-E14</f>
        <v>-130.29999999999995</v>
      </c>
      <c r="S25" s="251">
        <f>E14-F14</f>
        <v>130</v>
      </c>
      <c r="T25" s="255"/>
      <c r="U25" s="255"/>
      <c r="V25" s="255"/>
      <c r="W25" s="255"/>
      <c r="X25" s="255"/>
      <c r="Y25" s="255"/>
      <c r="Z25" s="255"/>
      <c r="AA25" s="255"/>
      <c r="AB25" s="255"/>
      <c r="AC25" s="255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  <c r="AY25" s="250"/>
      <c r="AZ25" s="250"/>
      <c r="BA25" s="250"/>
      <c r="BB25" s="250"/>
      <c r="BC25" s="250"/>
      <c r="BD25" s="250"/>
      <c r="BE25" s="250"/>
      <c r="BF25" s="250"/>
      <c r="BG25" s="250"/>
      <c r="BH25" s="250"/>
      <c r="BI25" s="250"/>
      <c r="BJ25" s="250"/>
      <c r="BK25" s="250"/>
      <c r="BL25" s="250"/>
      <c r="BM25" s="250"/>
      <c r="BN25" s="250"/>
      <c r="BO25" s="250"/>
      <c r="BP25" s="250"/>
      <c r="BQ25" s="250"/>
      <c r="BR25" s="250"/>
      <c r="BS25" s="250"/>
      <c r="BT25" s="250"/>
      <c r="BU25" s="250"/>
      <c r="BV25" s="250"/>
      <c r="BW25" s="250"/>
      <c r="BX25" s="250"/>
      <c r="BY25" s="250"/>
      <c r="BZ25" s="250"/>
      <c r="CA25" s="250"/>
      <c r="CB25" s="250"/>
      <c r="CC25" s="250"/>
      <c r="CD25" s="250"/>
      <c r="CE25" s="250"/>
      <c r="CF25" s="250"/>
      <c r="CG25" s="250"/>
      <c r="CH25" s="250"/>
      <c r="CI25" s="250"/>
      <c r="CJ25" s="250"/>
      <c r="CK25" s="250"/>
      <c r="CL25" s="250"/>
      <c r="CM25" s="250"/>
      <c r="CN25" s="250"/>
      <c r="CO25" s="250"/>
      <c r="CP25" s="250"/>
      <c r="CQ25" s="250"/>
      <c r="CR25" s="250"/>
      <c r="CS25" s="250"/>
      <c r="CT25" s="250"/>
      <c r="CU25" s="250"/>
      <c r="CV25" s="250"/>
      <c r="CW25" s="250"/>
      <c r="CX25" s="250"/>
    </row>
    <row r="26" spans="1:102" x14ac:dyDescent="0.35">
      <c r="A26" s="253" t="s">
        <v>234</v>
      </c>
      <c r="B26" s="254">
        <v>0</v>
      </c>
      <c r="C26" s="254">
        <v>0</v>
      </c>
      <c r="D26" s="254">
        <v>0</v>
      </c>
      <c r="E26" s="254">
        <v>0</v>
      </c>
      <c r="F26" s="254">
        <v>0</v>
      </c>
      <c r="G26" s="254">
        <v>0</v>
      </c>
      <c r="H26" s="254">
        <v>0</v>
      </c>
      <c r="I26" s="254">
        <v>0</v>
      </c>
      <c r="J26" s="254">
        <v>0</v>
      </c>
      <c r="K26" s="254">
        <v>0</v>
      </c>
      <c r="L26" s="254">
        <v>0</v>
      </c>
      <c r="M26" s="254">
        <v>0</v>
      </c>
      <c r="N26" s="254"/>
      <c r="O26" s="251"/>
      <c r="P26" s="251"/>
      <c r="Q26" s="255"/>
      <c r="R26" s="255"/>
      <c r="S26" s="255"/>
      <c r="T26" s="255"/>
      <c r="U26" s="255"/>
      <c r="V26" s="255"/>
      <c r="W26" s="255"/>
      <c r="X26" s="255"/>
      <c r="Y26" s="255"/>
      <c r="Z26" s="255"/>
      <c r="AA26" s="255"/>
      <c r="AB26" s="255"/>
      <c r="AC26" s="255"/>
    </row>
    <row r="27" spans="1:102" x14ac:dyDescent="0.35">
      <c r="A27" s="253" t="s">
        <v>265</v>
      </c>
      <c r="B27" s="254">
        <v>194.8</v>
      </c>
      <c r="C27" s="254">
        <v>210</v>
      </c>
      <c r="D27" s="254">
        <v>208.8</v>
      </c>
      <c r="E27" s="254">
        <v>234.2</v>
      </c>
      <c r="F27" s="254">
        <v>189.3</v>
      </c>
      <c r="G27" s="254">
        <v>61.7</v>
      </c>
      <c r="H27" s="254">
        <v>57.1</v>
      </c>
      <c r="I27" s="254">
        <v>54.7</v>
      </c>
      <c r="J27" s="254">
        <v>61.9</v>
      </c>
      <c r="K27" s="254">
        <v>64.2</v>
      </c>
      <c r="L27" s="254">
        <v>60.5</v>
      </c>
      <c r="M27" s="254">
        <v>52.3</v>
      </c>
      <c r="N27" s="254"/>
      <c r="O27" s="251"/>
      <c r="P27" s="251"/>
      <c r="Q27" s="255"/>
      <c r="R27" s="255"/>
      <c r="S27" s="255"/>
      <c r="T27" s="255"/>
      <c r="U27" s="255"/>
      <c r="V27" s="255"/>
      <c r="W27" s="255"/>
      <c r="X27" s="255"/>
      <c r="Y27" s="255"/>
      <c r="Z27" s="255"/>
      <c r="AA27" s="255"/>
      <c r="AB27" s="255"/>
      <c r="AC27" s="255"/>
    </row>
    <row r="28" spans="1:102" x14ac:dyDescent="0.35">
      <c r="A28" s="250" t="s">
        <v>236</v>
      </c>
      <c r="B28" s="251">
        <f t="shared" ref="B28:M28" si="9">B29-SUM(B24:B27)</f>
        <v>5403.4</v>
      </c>
      <c r="C28" s="251">
        <f t="shared" si="9"/>
        <v>5103.2</v>
      </c>
      <c r="D28" s="251">
        <f t="shared" si="9"/>
        <v>4801.9000000000005</v>
      </c>
      <c r="E28" s="251">
        <f t="shared" si="9"/>
        <v>4256.1000000000004</v>
      </c>
      <c r="F28" s="251">
        <f t="shared" si="9"/>
        <v>3344</v>
      </c>
      <c r="G28" s="251">
        <f t="shared" si="9"/>
        <v>2109.5</v>
      </c>
      <c r="H28" s="251">
        <f t="shared" si="9"/>
        <v>1878.3</v>
      </c>
      <c r="I28" s="251">
        <f t="shared" si="9"/>
        <v>1816.1</v>
      </c>
      <c r="J28" s="251">
        <f t="shared" si="9"/>
        <v>1791.8000000000002</v>
      </c>
      <c r="K28" s="251">
        <f t="shared" si="9"/>
        <v>1799.4</v>
      </c>
      <c r="L28" s="251">
        <f t="shared" si="9"/>
        <v>1821.6000000000001</v>
      </c>
      <c r="M28" s="251">
        <f t="shared" si="9"/>
        <v>1881.8000000000002</v>
      </c>
      <c r="N28" s="251"/>
      <c r="O28" s="251"/>
      <c r="P28" s="251"/>
      <c r="Q28" s="255"/>
      <c r="R28" s="255"/>
      <c r="S28" s="255"/>
      <c r="T28" s="255"/>
      <c r="U28" s="255"/>
      <c r="V28" s="255"/>
      <c r="W28" s="255"/>
      <c r="X28" s="255"/>
      <c r="Y28" s="255"/>
      <c r="Z28" s="255"/>
    </row>
    <row r="29" spans="1:102" x14ac:dyDescent="0.35">
      <c r="A29" s="253" t="s">
        <v>237</v>
      </c>
      <c r="B29" s="254">
        <v>7322.9</v>
      </c>
      <c r="C29" s="254">
        <v>6687.9</v>
      </c>
      <c r="D29" s="254">
        <v>6324.3</v>
      </c>
      <c r="E29" s="254">
        <v>5940.6</v>
      </c>
      <c r="F29" s="254">
        <v>4838.8999999999996</v>
      </c>
      <c r="G29" s="254">
        <v>3266</v>
      </c>
      <c r="H29" s="254">
        <v>2941.6</v>
      </c>
      <c r="I29" s="254">
        <v>2800.5</v>
      </c>
      <c r="J29" s="254">
        <v>2729.9</v>
      </c>
      <c r="K29" s="254">
        <v>2752.9</v>
      </c>
      <c r="L29" s="254">
        <v>2722.4</v>
      </c>
      <c r="M29" s="254">
        <v>2607.4</v>
      </c>
      <c r="N29" s="254"/>
      <c r="O29" s="251"/>
      <c r="P29" s="251"/>
      <c r="Q29" s="255" t="s">
        <v>535</v>
      </c>
      <c r="R29" s="255"/>
      <c r="S29" s="255"/>
      <c r="T29" s="255"/>
      <c r="U29" s="255"/>
      <c r="V29" s="255"/>
      <c r="W29" s="255"/>
      <c r="X29" s="255"/>
      <c r="Y29" s="255"/>
      <c r="Z29" s="255"/>
    </row>
    <row r="30" spans="1:102" ht="13.9" x14ac:dyDescent="0.4">
      <c r="B30" s="258"/>
      <c r="C30" s="258"/>
      <c r="D30" s="255"/>
      <c r="E30" s="255"/>
      <c r="F30" s="255"/>
      <c r="G30" s="255"/>
      <c r="H30" s="255"/>
      <c r="I30" s="255"/>
      <c r="J30" s="255"/>
      <c r="K30" s="255"/>
      <c r="L30" s="255"/>
      <c r="Q30" s="258"/>
      <c r="R30" s="255"/>
      <c r="S30" s="255"/>
      <c r="T30" s="255"/>
      <c r="U30" s="255"/>
      <c r="V30" s="255"/>
      <c r="W30" s="255"/>
      <c r="X30" s="255"/>
      <c r="Y30" s="255"/>
      <c r="Z30" s="255"/>
    </row>
    <row r="31" spans="1:102" x14ac:dyDescent="0.35">
      <c r="K31" s="250"/>
      <c r="L31" s="250"/>
      <c r="Q31"/>
      <c r="R31"/>
      <c r="S31"/>
      <c r="T31" s="255"/>
      <c r="U31" s="255"/>
      <c r="V31" s="255"/>
      <c r="W31" s="255"/>
      <c r="X31" s="255"/>
      <c r="Y31" s="255"/>
      <c r="Z31" s="255"/>
    </row>
    <row r="32" spans="1:102" ht="13.9" x14ac:dyDescent="0.4">
      <c r="A32" s="252" t="s">
        <v>238</v>
      </c>
      <c r="B32" s="258"/>
      <c r="C32" s="258"/>
      <c r="D32" s="258"/>
      <c r="E32" s="258"/>
      <c r="F32" s="258"/>
      <c r="G32" s="258"/>
      <c r="H32" s="258"/>
      <c r="I32" s="258"/>
      <c r="J32" s="258"/>
      <c r="K32" s="257"/>
      <c r="L32" s="257"/>
      <c r="Q32"/>
      <c r="R32"/>
      <c r="S32"/>
      <c r="T32" s="255"/>
      <c r="U32" s="255"/>
      <c r="V32" s="255"/>
      <c r="W32" s="255"/>
      <c r="X32" s="255"/>
      <c r="Y32" s="255"/>
      <c r="Z32" s="255"/>
    </row>
    <row r="33" spans="1:26" s="252" customFormat="1" ht="13.9" x14ac:dyDescent="0.4">
      <c r="A33" s="262" t="s">
        <v>239</v>
      </c>
      <c r="B33" s="262">
        <v>477.4</v>
      </c>
      <c r="C33" s="262">
        <v>440.4</v>
      </c>
      <c r="D33" s="262">
        <v>465.1</v>
      </c>
      <c r="E33" s="262">
        <v>484.1</v>
      </c>
      <c r="F33" s="262">
        <v>539.1</v>
      </c>
      <c r="G33" s="262">
        <v>608.6</v>
      </c>
      <c r="H33" s="262">
        <v>524.79999999999995</v>
      </c>
      <c r="I33" s="262">
        <v>695.1</v>
      </c>
      <c r="J33" s="262">
        <v>728.8</v>
      </c>
      <c r="K33" s="262">
        <v>778.5</v>
      </c>
      <c r="L33" s="262">
        <v>794.8</v>
      </c>
      <c r="M33" s="262">
        <v>889.3</v>
      </c>
      <c r="N33" s="261"/>
      <c r="O33" s="257"/>
      <c r="P33" s="257"/>
      <c r="Q33"/>
      <c r="R33"/>
      <c r="S33"/>
      <c r="T33" s="255"/>
      <c r="U33" s="255"/>
      <c r="V33" s="255"/>
      <c r="W33" s="255"/>
      <c r="X33" s="255"/>
      <c r="Y33" s="255"/>
      <c r="Z33" s="255"/>
    </row>
    <row r="34" spans="1:26" x14ac:dyDescent="0.35">
      <c r="A34" s="253" t="s">
        <v>240</v>
      </c>
      <c r="B34" s="254">
        <v>53.1</v>
      </c>
      <c r="C34" s="254">
        <v>0</v>
      </c>
      <c r="D34" s="254">
        <v>0</v>
      </c>
      <c r="E34" s="254">
        <v>0</v>
      </c>
      <c r="F34" s="254">
        <v>0</v>
      </c>
      <c r="G34" s="254">
        <v>0</v>
      </c>
      <c r="H34" s="254">
        <v>0</v>
      </c>
      <c r="I34" s="254">
        <v>93.2</v>
      </c>
      <c r="J34" s="254">
        <v>23.6</v>
      </c>
      <c r="K34" s="254">
        <v>22.8</v>
      </c>
      <c r="L34" s="254">
        <v>22.8</v>
      </c>
      <c r="M34" s="254">
        <v>23.3</v>
      </c>
      <c r="N34" s="254"/>
      <c r="O34" s="251"/>
      <c r="P34" s="251"/>
      <c r="Q34"/>
      <c r="R34"/>
      <c r="S34"/>
      <c r="T34" s="255"/>
      <c r="U34" s="255"/>
      <c r="V34" s="255"/>
      <c r="W34" s="255"/>
      <c r="X34" s="255"/>
      <c r="Y34" s="255"/>
      <c r="Z34" s="255"/>
    </row>
    <row r="35" spans="1:26" x14ac:dyDescent="0.35">
      <c r="A35" s="253" t="s">
        <v>241</v>
      </c>
      <c r="B35" s="254">
        <v>0</v>
      </c>
      <c r="C35" s="254">
        <v>0</v>
      </c>
      <c r="D35" s="254">
        <v>0</v>
      </c>
      <c r="E35" s="254">
        <v>0</v>
      </c>
      <c r="F35" s="254">
        <v>0</v>
      </c>
      <c r="G35" s="254">
        <v>0</v>
      </c>
      <c r="H35" s="254">
        <v>0</v>
      </c>
      <c r="I35" s="254">
        <v>18.2</v>
      </c>
      <c r="J35" s="254">
        <v>23.6</v>
      </c>
      <c r="K35" s="254">
        <v>22.8</v>
      </c>
      <c r="L35" s="254">
        <v>22.8</v>
      </c>
      <c r="M35" s="254">
        <v>23.3</v>
      </c>
      <c r="N35" s="254"/>
      <c r="O35" s="251"/>
      <c r="P35" s="251"/>
      <c r="Q35"/>
      <c r="R35"/>
      <c r="S35"/>
      <c r="T35" s="255"/>
      <c r="U35" s="255"/>
      <c r="V35" s="255"/>
      <c r="W35" s="255"/>
      <c r="X35" s="255"/>
      <c r="Y35" s="255"/>
      <c r="Z35" s="255"/>
    </row>
    <row r="36" spans="1:26" x14ac:dyDescent="0.35">
      <c r="A36" s="250" t="s">
        <v>242</v>
      </c>
      <c r="B36" s="251">
        <f t="shared" ref="B36:M36" si="10">B33-B34-B35</f>
        <v>424.29999999999995</v>
      </c>
      <c r="C36" s="251">
        <f t="shared" si="10"/>
        <v>440.4</v>
      </c>
      <c r="D36" s="251">
        <f t="shared" si="10"/>
        <v>465.1</v>
      </c>
      <c r="E36" s="251">
        <f t="shared" si="10"/>
        <v>484.1</v>
      </c>
      <c r="F36" s="251">
        <f t="shared" si="10"/>
        <v>539.1</v>
      </c>
      <c r="G36" s="251">
        <f t="shared" si="10"/>
        <v>608.6</v>
      </c>
      <c r="H36" s="251">
        <f t="shared" si="10"/>
        <v>524.79999999999995</v>
      </c>
      <c r="I36" s="251">
        <f t="shared" si="10"/>
        <v>583.69999999999993</v>
      </c>
      <c r="J36" s="251">
        <f t="shared" si="10"/>
        <v>681.59999999999991</v>
      </c>
      <c r="K36" s="251">
        <f t="shared" si="10"/>
        <v>732.90000000000009</v>
      </c>
      <c r="L36" s="251">
        <f t="shared" si="10"/>
        <v>749.2</v>
      </c>
      <c r="M36" s="251">
        <f t="shared" si="10"/>
        <v>842.7</v>
      </c>
      <c r="N36" s="251"/>
      <c r="O36" s="251"/>
      <c r="P36" s="251"/>
      <c r="Q36"/>
      <c r="R36"/>
      <c r="S36"/>
      <c r="T36" s="255"/>
      <c r="U36" s="255"/>
      <c r="V36" s="255"/>
      <c r="W36" s="255"/>
      <c r="X36" s="255"/>
      <c r="Y36" s="255"/>
      <c r="Z36" s="255"/>
    </row>
    <row r="37" spans="1:26" s="252" customFormat="1" ht="13.9" x14ac:dyDescent="0.4">
      <c r="A37" s="262" t="s">
        <v>243</v>
      </c>
      <c r="B37" s="262">
        <v>255.2</v>
      </c>
      <c r="C37" s="262">
        <v>189.7</v>
      </c>
      <c r="D37" s="262">
        <v>145.69999999999999</v>
      </c>
      <c r="E37" s="262">
        <v>70.3</v>
      </c>
      <c r="F37" s="262">
        <v>51.3</v>
      </c>
      <c r="G37" s="262">
        <v>53</v>
      </c>
      <c r="H37" s="262">
        <v>87.2</v>
      </c>
      <c r="I37" s="262">
        <v>91.7</v>
      </c>
      <c r="J37" s="262">
        <v>690.4</v>
      </c>
      <c r="K37" s="262">
        <v>1113.9000000000001</v>
      </c>
      <c r="L37" s="262">
        <v>1061.8</v>
      </c>
      <c r="M37" s="262">
        <v>1027.3</v>
      </c>
      <c r="N37" s="261"/>
      <c r="O37" s="257"/>
      <c r="P37" s="257"/>
      <c r="Q37"/>
      <c r="R37"/>
      <c r="S37"/>
      <c r="T37" s="255"/>
      <c r="U37" s="255"/>
      <c r="V37" s="255"/>
      <c r="W37" s="255"/>
      <c r="X37" s="255"/>
      <c r="Y37" s="255"/>
      <c r="Z37" s="255"/>
    </row>
    <row r="38" spans="1:26" x14ac:dyDescent="0.35">
      <c r="A38" s="253" t="s">
        <v>244</v>
      </c>
      <c r="B38" s="254">
        <v>0</v>
      </c>
      <c r="C38" s="254">
        <v>0</v>
      </c>
      <c r="D38" s="254">
        <v>0</v>
      </c>
      <c r="E38" s="254">
        <v>0</v>
      </c>
      <c r="F38" s="254">
        <v>0</v>
      </c>
      <c r="G38" s="254">
        <v>0</v>
      </c>
      <c r="H38" s="254">
        <v>0</v>
      </c>
      <c r="I38" s="254">
        <v>515.29999999999995</v>
      </c>
      <c r="J38" s="254">
        <v>919.1</v>
      </c>
      <c r="K38" s="254">
        <v>858</v>
      </c>
      <c r="L38" s="254">
        <v>866.4</v>
      </c>
      <c r="M38" s="254">
        <v>854.4</v>
      </c>
      <c r="N38" s="254"/>
      <c r="O38" s="251"/>
      <c r="P38" s="251"/>
      <c r="Q38"/>
      <c r="R38"/>
      <c r="S38"/>
      <c r="T38" s="255"/>
      <c r="U38" s="255"/>
      <c r="V38" s="255"/>
      <c r="W38" s="255"/>
      <c r="X38" s="255"/>
      <c r="Y38" s="255"/>
      <c r="Z38" s="255"/>
    </row>
    <row r="39" spans="1:26" x14ac:dyDescent="0.35">
      <c r="A39" s="253" t="s">
        <v>245</v>
      </c>
      <c r="B39" s="254">
        <v>0</v>
      </c>
      <c r="C39" s="254">
        <v>0</v>
      </c>
      <c r="D39" s="254">
        <v>0</v>
      </c>
      <c r="E39" s="254">
        <v>0</v>
      </c>
      <c r="F39" s="254">
        <v>0</v>
      </c>
      <c r="G39" s="254">
        <v>0</v>
      </c>
      <c r="H39" s="254">
        <v>0</v>
      </c>
      <c r="I39" s="254">
        <v>91.8</v>
      </c>
      <c r="J39" s="254">
        <v>120.9</v>
      </c>
      <c r="K39" s="254">
        <v>104.4</v>
      </c>
      <c r="L39" s="254">
        <v>112.8</v>
      </c>
      <c r="M39" s="254">
        <v>100.5</v>
      </c>
      <c r="N39" s="254"/>
      <c r="O39" s="251"/>
      <c r="P39" s="251"/>
      <c r="Q39"/>
      <c r="R39"/>
      <c r="S39"/>
    </row>
    <row r="40" spans="1:26" x14ac:dyDescent="0.35">
      <c r="A40" s="250" t="s">
        <v>246</v>
      </c>
      <c r="B40" s="251">
        <f t="shared" ref="B40:M40" si="11">B37-B38-B39</f>
        <v>255.2</v>
      </c>
      <c r="C40" s="251">
        <f t="shared" si="11"/>
        <v>189.7</v>
      </c>
      <c r="D40" s="251">
        <f t="shared" si="11"/>
        <v>145.69999999999999</v>
      </c>
      <c r="E40" s="251">
        <f t="shared" si="11"/>
        <v>70.3</v>
      </c>
      <c r="F40" s="251">
        <f t="shared" si="11"/>
        <v>51.3</v>
      </c>
      <c r="G40" s="251">
        <f t="shared" si="11"/>
        <v>53</v>
      </c>
      <c r="H40" s="251">
        <f t="shared" si="11"/>
        <v>87.2</v>
      </c>
      <c r="I40" s="251">
        <f t="shared" si="11"/>
        <v>-515.4</v>
      </c>
      <c r="J40" s="251">
        <f t="shared" si="11"/>
        <v>-349.6</v>
      </c>
      <c r="K40" s="251">
        <f t="shared" si="11"/>
        <v>151.50000000000009</v>
      </c>
      <c r="L40" s="251">
        <f t="shared" si="11"/>
        <v>82.59999999999998</v>
      </c>
      <c r="M40" s="251">
        <f t="shared" si="11"/>
        <v>72.399999999999977</v>
      </c>
      <c r="N40" s="251"/>
      <c r="O40" s="251"/>
      <c r="P40" s="251"/>
      <c r="Q40" s="251"/>
      <c r="R40" s="251"/>
    </row>
    <row r="41" spans="1:26" s="252" customFormat="1" ht="13.9" x14ac:dyDescent="0.4">
      <c r="A41" s="252" t="s">
        <v>247</v>
      </c>
      <c r="B41" s="257">
        <f>B33+B37</f>
        <v>732.59999999999991</v>
      </c>
      <c r="C41" s="257">
        <f>C33+C37</f>
        <v>630.09999999999991</v>
      </c>
      <c r="D41" s="257">
        <f>+D37+D33</f>
        <v>610.79999999999995</v>
      </c>
      <c r="E41" s="257">
        <f>+E37+E33</f>
        <v>554.4</v>
      </c>
      <c r="F41" s="257">
        <f>+F37+F33</f>
        <v>590.4</v>
      </c>
      <c r="G41" s="257">
        <f>+G37+G33</f>
        <v>661.6</v>
      </c>
      <c r="H41" s="257">
        <f>+H37+H33</f>
        <v>612</v>
      </c>
      <c r="I41" s="257">
        <f>I33+I37</f>
        <v>786.80000000000007</v>
      </c>
      <c r="J41" s="257">
        <f>J37+J33</f>
        <v>1419.1999999999998</v>
      </c>
      <c r="K41" s="257">
        <f>K37+K33</f>
        <v>1892.4</v>
      </c>
      <c r="L41" s="257">
        <f>L37+L33</f>
        <v>1856.6</v>
      </c>
      <c r="M41" s="257">
        <f>M37+M33</f>
        <v>1916.6</v>
      </c>
      <c r="N41" s="257"/>
      <c r="O41" s="257"/>
      <c r="P41" s="283"/>
      <c r="Q41"/>
      <c r="R41"/>
    </row>
    <row r="42" spans="1:26" ht="13.9" x14ac:dyDescent="0.4">
      <c r="B42" s="255"/>
      <c r="C42" s="255"/>
      <c r="D42" s="255"/>
      <c r="E42" s="255"/>
      <c r="F42" s="255"/>
      <c r="G42" s="255"/>
      <c r="H42" s="255"/>
      <c r="I42" s="255"/>
      <c r="J42" s="255"/>
      <c r="K42" s="255"/>
      <c r="L42" s="255"/>
      <c r="P42" s="283"/>
    </row>
    <row r="43" spans="1:26" ht="13.9" x14ac:dyDescent="0.4">
      <c r="B43" s="255"/>
      <c r="C43" s="255"/>
      <c r="D43" s="255"/>
      <c r="E43" s="255"/>
      <c r="F43" s="255"/>
      <c r="G43" s="255"/>
      <c r="H43" s="255"/>
      <c r="I43" s="255"/>
      <c r="J43" s="255"/>
      <c r="K43" s="255"/>
      <c r="L43" s="255"/>
      <c r="P43" s="283"/>
    </row>
    <row r="44" spans="1:26" s="252" customFormat="1" ht="13.9" x14ac:dyDescent="0.4">
      <c r="A44" s="262" t="s">
        <v>248</v>
      </c>
      <c r="B44" s="261">
        <v>0</v>
      </c>
      <c r="C44" s="261">
        <v>0</v>
      </c>
      <c r="D44" s="261">
        <v>0</v>
      </c>
      <c r="E44" s="261">
        <v>0</v>
      </c>
      <c r="F44" s="261">
        <v>0</v>
      </c>
      <c r="G44" s="261">
        <v>0</v>
      </c>
      <c r="H44" s="261">
        <v>0</v>
      </c>
      <c r="I44" s="261">
        <v>0</v>
      </c>
      <c r="J44" s="261">
        <v>0</v>
      </c>
      <c r="K44" s="261">
        <v>0</v>
      </c>
      <c r="L44" s="261">
        <v>0</v>
      </c>
      <c r="M44" s="261">
        <v>0</v>
      </c>
      <c r="N44" s="261"/>
      <c r="O44" s="251"/>
      <c r="P44" s="257"/>
      <c r="Q44" s="255"/>
      <c r="R44" s="255"/>
      <c r="S44" s="255"/>
      <c r="T44" s="255"/>
      <c r="U44" s="255"/>
      <c r="V44" s="255"/>
      <c r="W44" s="255"/>
      <c r="X44" s="255"/>
      <c r="Y44" s="255"/>
      <c r="Z44" s="255"/>
    </row>
    <row r="45" spans="1:26" ht="13.9" x14ac:dyDescent="0.4">
      <c r="B45" s="255"/>
      <c r="C45" s="255"/>
      <c r="D45" s="255"/>
      <c r="E45" s="255"/>
      <c r="F45" s="251"/>
      <c r="G45" s="251"/>
      <c r="H45" s="251"/>
      <c r="I45" s="251"/>
      <c r="J45" s="251"/>
      <c r="M45" s="251"/>
      <c r="N45" s="251"/>
      <c r="O45" s="251"/>
      <c r="P45" s="257"/>
      <c r="Q45" s="251"/>
      <c r="R45" s="251"/>
    </row>
    <row r="46" spans="1:26" ht="13.9" x14ac:dyDescent="0.4">
      <c r="A46" s="252" t="s">
        <v>249</v>
      </c>
      <c r="B46" s="257">
        <f t="shared" ref="B46:L46" si="12">B29-B41-B44</f>
        <v>6590.2999999999993</v>
      </c>
      <c r="C46" s="257">
        <f t="shared" si="12"/>
        <v>6057.7999999999993</v>
      </c>
      <c r="D46" s="257">
        <f t="shared" si="12"/>
        <v>5713.5</v>
      </c>
      <c r="E46" s="257">
        <f t="shared" si="12"/>
        <v>5386.2000000000007</v>
      </c>
      <c r="F46" s="257">
        <f t="shared" si="12"/>
        <v>4248.5</v>
      </c>
      <c r="G46" s="257">
        <f t="shared" si="12"/>
        <v>2604.4</v>
      </c>
      <c r="H46" s="257">
        <f t="shared" si="12"/>
        <v>2329.6</v>
      </c>
      <c r="I46" s="257">
        <f t="shared" si="12"/>
        <v>2013.6999999999998</v>
      </c>
      <c r="J46" s="257">
        <f t="shared" si="12"/>
        <v>1310.7000000000003</v>
      </c>
      <c r="K46" s="257">
        <f t="shared" si="12"/>
        <v>860.5</v>
      </c>
      <c r="L46" s="257">
        <f t="shared" si="12"/>
        <v>865.80000000000018</v>
      </c>
      <c r="M46" s="257">
        <v>47791</v>
      </c>
      <c r="N46" s="257"/>
      <c r="O46" s="257"/>
      <c r="P46" s="257"/>
      <c r="Q46" s="257"/>
      <c r="R46" s="257"/>
    </row>
    <row r="47" spans="1:26" ht="13.9" x14ac:dyDescent="0.4">
      <c r="B47" s="255"/>
      <c r="C47" s="255"/>
      <c r="D47" s="255"/>
      <c r="P47" s="283"/>
    </row>
    <row r="48" spans="1:26" ht="13.9" x14ac:dyDescent="0.4">
      <c r="A48" s="283" t="s">
        <v>250</v>
      </c>
      <c r="B48" s="283"/>
      <c r="C48" s="283"/>
      <c r="D48" s="283"/>
      <c r="E48" s="283"/>
      <c r="F48" s="283"/>
      <c r="G48" s="283"/>
      <c r="H48" s="283"/>
      <c r="I48" s="283"/>
      <c r="J48" s="283"/>
      <c r="K48" s="257"/>
      <c r="L48" s="257"/>
      <c r="P48" s="283"/>
    </row>
    <row r="49" spans="1:18" ht="13.9" x14ac:dyDescent="0.4">
      <c r="A49" s="253" t="s">
        <v>362</v>
      </c>
      <c r="B49" s="254">
        <v>6200</v>
      </c>
      <c r="C49" s="254">
        <v>5600</v>
      </c>
      <c r="D49" s="254">
        <v>5100</v>
      </c>
      <c r="E49" s="254">
        <v>4800</v>
      </c>
      <c r="F49" s="254">
        <v>2100</v>
      </c>
      <c r="G49" s="254">
        <v>1700</v>
      </c>
      <c r="H49" s="254">
        <v>2900</v>
      </c>
      <c r="I49" s="254">
        <v>2800</v>
      </c>
      <c r="J49" s="254">
        <v>2800</v>
      </c>
      <c r="K49" s="254">
        <v>2700</v>
      </c>
      <c r="L49" s="254">
        <v>2600</v>
      </c>
      <c r="M49" s="254">
        <v>2400</v>
      </c>
      <c r="N49" s="254"/>
      <c r="O49" s="251"/>
      <c r="P49" s="257"/>
      <c r="Q49" s="251"/>
      <c r="R49" s="251"/>
    </row>
    <row r="50" spans="1:18" ht="13.9" x14ac:dyDescent="0.4">
      <c r="A50" s="253" t="s">
        <v>252</v>
      </c>
      <c r="B50" s="254">
        <v>92.7</v>
      </c>
      <c r="C50" s="254">
        <v>92.3</v>
      </c>
      <c r="D50" s="254">
        <v>90.8</v>
      </c>
      <c r="E50" s="254">
        <v>88.1</v>
      </c>
      <c r="F50" s="254">
        <v>85.7</v>
      </c>
      <c r="G50" s="254">
        <v>84.2</v>
      </c>
      <c r="H50" s="254">
        <v>83.6</v>
      </c>
      <c r="I50" s="254">
        <v>85.7</v>
      </c>
      <c r="J50" s="254">
        <v>86.6</v>
      </c>
      <c r="K50" s="254">
        <v>87.1</v>
      </c>
      <c r="L50" s="254">
        <v>86.9</v>
      </c>
      <c r="M50" s="254">
        <v>86.9</v>
      </c>
      <c r="N50" s="254"/>
      <c r="O50" s="251"/>
      <c r="P50" s="257"/>
      <c r="Q50" s="251"/>
      <c r="R50" s="251"/>
    </row>
    <row r="51" spans="1:18" ht="13.9" x14ac:dyDescent="0.4">
      <c r="A51" s="253" t="s">
        <v>171</v>
      </c>
      <c r="B51" s="403"/>
      <c r="C51" s="403"/>
      <c r="D51" s="403"/>
      <c r="E51" s="403"/>
      <c r="F51" s="403"/>
      <c r="G51" s="403"/>
      <c r="H51" s="403"/>
      <c r="I51" s="403"/>
      <c r="J51" s="403"/>
      <c r="K51" s="403"/>
      <c r="L51" s="403"/>
      <c r="M51" s="403"/>
      <c r="N51" s="404"/>
      <c r="O51" s="405"/>
      <c r="P51" s="406"/>
      <c r="Q51" s="405"/>
      <c r="R51" s="405"/>
    </row>
    <row r="52" spans="1:18" ht="13.9" x14ac:dyDescent="0.4">
      <c r="A52" s="253" t="s">
        <v>253</v>
      </c>
      <c r="B52" s="403">
        <v>2.3900000000000001E-2</v>
      </c>
      <c r="C52" s="403">
        <v>2.3099999999999999E-2</v>
      </c>
      <c r="D52" s="403">
        <v>2.1999999999999999E-2</v>
      </c>
      <c r="E52" s="403">
        <v>2.29E-2</v>
      </c>
      <c r="F52" s="403">
        <v>2.1999999999999999E-2</v>
      </c>
      <c r="G52" s="403">
        <v>2.1899999999999999E-2</v>
      </c>
      <c r="H52" s="403">
        <v>2.1000000000000001E-2</v>
      </c>
      <c r="I52" s="403">
        <v>2.06E-2</v>
      </c>
      <c r="J52" s="403">
        <v>1.9E-2</v>
      </c>
      <c r="K52" s="403">
        <v>1.55E-2</v>
      </c>
      <c r="L52" s="403">
        <v>1.54E-2</v>
      </c>
      <c r="M52" s="403">
        <v>1.46E-2</v>
      </c>
      <c r="N52" s="404"/>
      <c r="O52" s="405"/>
      <c r="P52" s="407"/>
      <c r="Q52" s="405"/>
      <c r="R52" s="408"/>
    </row>
    <row r="53" spans="1:18" ht="13.9" x14ac:dyDescent="0.4">
      <c r="A53" s="253" t="s">
        <v>254</v>
      </c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7"/>
      <c r="P53" s="257"/>
      <c r="Q53" s="257"/>
      <c r="R53" s="257"/>
    </row>
    <row r="54" spans="1:18" ht="13.9" x14ac:dyDescent="0.4">
      <c r="A54" s="253" t="str">
        <f>"Vol. Diario en Millones "&amp;A3</f>
        <v>Vol. Diario en Millones USD</v>
      </c>
      <c r="B54" s="409"/>
      <c r="C54" s="409"/>
      <c r="D54" s="409"/>
      <c r="E54" s="409"/>
      <c r="F54" s="409"/>
      <c r="G54" s="409"/>
      <c r="H54" s="409"/>
      <c r="I54" s="409"/>
      <c r="J54" s="409"/>
      <c r="K54" s="409"/>
      <c r="L54" s="409"/>
      <c r="M54" s="409"/>
      <c r="N54" s="254"/>
      <c r="P54" s="283"/>
    </row>
    <row r="55" spans="1:18" ht="13.9" x14ac:dyDescent="0.4">
      <c r="B55" s="283">
        <v>2021</v>
      </c>
      <c r="C55" s="283">
        <f>B55+1</f>
        <v>2022</v>
      </c>
      <c r="D55" s="283">
        <f>C55+1</f>
        <v>2023</v>
      </c>
      <c r="E55" s="410"/>
      <c r="G55" s="410"/>
      <c r="H55" s="410"/>
      <c r="I55" s="410"/>
      <c r="J55" s="410"/>
      <c r="K55" s="410"/>
      <c r="L55" s="410"/>
      <c r="P55" s="283"/>
    </row>
    <row r="56" spans="1:18" ht="13.9" x14ac:dyDescent="0.4">
      <c r="A56" s="253" t="s">
        <v>363</v>
      </c>
      <c r="B56" s="403"/>
      <c r="C56" s="403"/>
      <c r="D56" s="403"/>
      <c r="K56" s="250"/>
      <c r="L56" s="250"/>
      <c r="P56" s="283"/>
    </row>
    <row r="57" spans="1:18" ht="13.9" x14ac:dyDescent="0.4">
      <c r="A57" s="253" t="s">
        <v>134</v>
      </c>
      <c r="B57" s="409">
        <v>5.22</v>
      </c>
      <c r="C57" s="409">
        <v>6.01</v>
      </c>
      <c r="D57" s="409">
        <v>5.56</v>
      </c>
      <c r="K57" s="250"/>
      <c r="L57" s="250"/>
      <c r="P57" s="283"/>
    </row>
    <row r="58" spans="1:18" ht="13.9" x14ac:dyDescent="0.4">
      <c r="P58" s="283"/>
    </row>
    <row r="59" spans="1:18" ht="13.9" x14ac:dyDescent="0.4">
      <c r="A59" s="283" t="s">
        <v>364</v>
      </c>
      <c r="B59" s="283" t="s">
        <v>255</v>
      </c>
      <c r="C59" s="283" t="s">
        <v>254</v>
      </c>
      <c r="D59" s="283" t="s">
        <v>365</v>
      </c>
      <c r="E59" s="283" t="s">
        <v>258</v>
      </c>
      <c r="J59" s="251"/>
      <c r="L59" s="220"/>
      <c r="P59" s="283"/>
    </row>
    <row r="60" spans="1:18" ht="13.9" x14ac:dyDescent="0.4">
      <c r="A60" s="253"/>
      <c r="B60" s="411"/>
      <c r="C60" s="254"/>
      <c r="D60" s="412"/>
      <c r="E60" s="254"/>
      <c r="J60" s="251"/>
      <c r="L60" s="220"/>
      <c r="P60" s="283"/>
    </row>
    <row r="61" spans="1:18" ht="13.9" x14ac:dyDescent="0.4">
      <c r="A61" s="253"/>
      <c r="B61" s="411"/>
      <c r="C61" s="254"/>
      <c r="D61" s="412"/>
      <c r="E61" s="254"/>
      <c r="J61" s="251"/>
      <c r="L61" s="220"/>
      <c r="P61" s="283"/>
    </row>
    <row r="62" spans="1:18" ht="13.9" x14ac:dyDescent="0.4">
      <c r="A62" s="253"/>
      <c r="B62" s="411"/>
      <c r="C62" s="254"/>
      <c r="D62" s="412"/>
      <c r="E62" s="254"/>
      <c r="J62" s="251"/>
      <c r="L62" s="220"/>
      <c r="P62" s="283"/>
    </row>
    <row r="63" spans="1:18" ht="13.9" x14ac:dyDescent="0.4">
      <c r="A63" s="253"/>
      <c r="B63" s="411"/>
      <c r="C63" s="254"/>
      <c r="D63" s="412"/>
      <c r="E63" s="254"/>
      <c r="J63" s="251"/>
      <c r="L63" s="220"/>
      <c r="P63" s="283"/>
    </row>
    <row r="64" spans="1:18" ht="13.9" x14ac:dyDescent="0.4">
      <c r="P64" s="283"/>
    </row>
    <row r="65" spans="16:16" ht="13.9" x14ac:dyDescent="0.4">
      <c r="P65" s="283"/>
    </row>
    <row r="66" spans="16:16" ht="13.9" x14ac:dyDescent="0.4">
      <c r="P66" s="283"/>
    </row>
  </sheetData>
  <sortState xmlns:xlrd2="http://schemas.microsoft.com/office/spreadsheetml/2017/richdata2" ref="A4:M29">
    <sortCondition descending="1" ref="B8"/>
  </sortState>
  <mergeCells count="1">
    <mergeCell ref="C4:L4"/>
  </mergeCells>
  <pageMargins left="0.75" right="0.75" top="1" bottom="1" header="0" footer="0"/>
  <pageSetup orientation="portrait" horizontalDpi="4294967292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B63"/>
  <sheetViews>
    <sheetView zoomScale="81" zoomScaleNormal="70" workbookViewId="0">
      <pane xSplit="1" ySplit="2" topLeftCell="Z3" activePane="bottomRight" state="frozen"/>
      <selection pane="topRight" activeCell="B1" sqref="B1"/>
      <selection pane="bottomLeft" activeCell="A3" sqref="A3"/>
      <selection pane="bottomRight" activeCell="G3" sqref="G3"/>
    </sheetView>
  </sheetViews>
  <sheetFormatPr defaultColWidth="8.796875" defaultRowHeight="12.75" x14ac:dyDescent="0.35"/>
  <cols>
    <col min="1" max="2" width="13.796875" customWidth="1"/>
    <col min="3" max="3" width="8.796875" customWidth="1"/>
    <col min="4" max="4" width="8.33203125" customWidth="1"/>
    <col min="5" max="5" width="8.46484375" customWidth="1"/>
    <col min="6" max="12" width="7.33203125" customWidth="1"/>
  </cols>
  <sheetData>
    <row r="2" spans="1:54" x14ac:dyDescent="0.35">
      <c r="B2" s="101" t="s">
        <v>409</v>
      </c>
      <c r="C2" s="101" t="s">
        <v>408</v>
      </c>
      <c r="D2" s="101" t="s">
        <v>407</v>
      </c>
      <c r="E2" s="101" t="s">
        <v>405</v>
      </c>
      <c r="F2" s="101" t="s">
        <v>404</v>
      </c>
      <c r="G2" t="s">
        <v>403</v>
      </c>
      <c r="H2" t="s">
        <v>402</v>
      </c>
      <c r="I2" t="s">
        <v>398</v>
      </c>
      <c r="J2" t="s">
        <v>399</v>
      </c>
      <c r="K2" t="s">
        <v>400</v>
      </c>
      <c r="L2" t="s">
        <v>401</v>
      </c>
      <c r="M2" t="s">
        <v>379</v>
      </c>
      <c r="N2" t="s">
        <v>380</v>
      </c>
      <c r="O2" t="s">
        <v>381</v>
      </c>
      <c r="P2" t="s">
        <v>382</v>
      </c>
      <c r="Q2" t="s">
        <v>375</v>
      </c>
      <c r="R2" t="s">
        <v>376</v>
      </c>
      <c r="S2" t="s">
        <v>377</v>
      </c>
      <c r="T2" t="s">
        <v>378</v>
      </c>
      <c r="U2" t="s">
        <v>374</v>
      </c>
      <c r="V2" t="s">
        <v>373</v>
      </c>
      <c r="W2" t="s">
        <v>372</v>
      </c>
      <c r="X2" s="101" t="s">
        <v>410</v>
      </c>
      <c r="Y2" s="101"/>
      <c r="Z2" s="101">
        <v>2019</v>
      </c>
      <c r="AA2" s="101">
        <v>2020</v>
      </c>
      <c r="AB2" s="101">
        <v>2021</v>
      </c>
      <c r="AC2">
        <v>2022</v>
      </c>
      <c r="AD2">
        <v>2023</v>
      </c>
      <c r="AE2">
        <v>2024</v>
      </c>
      <c r="AF2">
        <v>2025</v>
      </c>
      <c r="AG2">
        <v>2026</v>
      </c>
      <c r="AH2">
        <v>2027</v>
      </c>
      <c r="AI2">
        <v>2028</v>
      </c>
      <c r="AJ2">
        <v>2029</v>
      </c>
      <c r="AK2">
        <v>2030</v>
      </c>
      <c r="AL2">
        <v>2031</v>
      </c>
      <c r="AM2">
        <v>2032</v>
      </c>
      <c r="AN2">
        <v>2033</v>
      </c>
      <c r="AO2">
        <v>2034</v>
      </c>
      <c r="AP2">
        <v>2035</v>
      </c>
      <c r="AQ2">
        <v>2036</v>
      </c>
      <c r="AR2">
        <v>2037</v>
      </c>
      <c r="AS2">
        <v>2038</v>
      </c>
      <c r="AT2">
        <v>2039</v>
      </c>
      <c r="AU2">
        <v>2040</v>
      </c>
      <c r="AV2">
        <v>2041</v>
      </c>
      <c r="AW2">
        <v>2042</v>
      </c>
      <c r="AX2">
        <v>2043</v>
      </c>
      <c r="AY2">
        <v>2044</v>
      </c>
      <c r="AZ2">
        <v>2045</v>
      </c>
      <c r="BA2">
        <v>2046</v>
      </c>
      <c r="BB2">
        <v>2047</v>
      </c>
    </row>
    <row r="3" spans="1:54" x14ac:dyDescent="0.35">
      <c r="A3" s="101" t="s">
        <v>406</v>
      </c>
      <c r="B3" s="101"/>
      <c r="C3" s="101"/>
      <c r="D3" s="101"/>
      <c r="E3" s="101"/>
      <c r="F3" s="101"/>
    </row>
    <row r="4" spans="1:54" x14ac:dyDescent="0.35">
      <c r="A4" s="101" t="s">
        <v>411</v>
      </c>
      <c r="B4" s="101"/>
      <c r="C4" s="101"/>
      <c r="D4" s="101"/>
      <c r="E4" s="101"/>
      <c r="F4" s="101"/>
    </row>
    <row r="5" spans="1:54" x14ac:dyDescent="0.35">
      <c r="A5" s="101" t="s">
        <v>412</v>
      </c>
      <c r="B5" s="101"/>
      <c r="C5" s="101"/>
      <c r="D5" s="101"/>
      <c r="E5" s="101"/>
      <c r="F5" s="101"/>
      <c r="AE5" s="278">
        <v>4.4999999999999998E-2</v>
      </c>
      <c r="AF5" s="278">
        <f>0.987*AE5</f>
        <v>4.4414999999999996E-2</v>
      </c>
      <c r="AG5" s="278">
        <f t="shared" ref="AG5:BB5" si="0">0.987*AF5</f>
        <v>4.3837604999999995E-2</v>
      </c>
      <c r="AH5" s="278">
        <f t="shared" si="0"/>
        <v>4.3267716134999995E-2</v>
      </c>
      <c r="AI5" s="278">
        <f t="shared" si="0"/>
        <v>4.2705235825244992E-2</v>
      </c>
      <c r="AJ5" s="278">
        <f t="shared" si="0"/>
        <v>4.2150067759516803E-2</v>
      </c>
      <c r="AK5" s="278">
        <f t="shared" si="0"/>
        <v>4.1602116878643083E-2</v>
      </c>
      <c r="AL5" s="278">
        <f t="shared" si="0"/>
        <v>4.1061289359220723E-2</v>
      </c>
      <c r="AM5" s="278">
        <f t="shared" si="0"/>
        <v>4.0527492597550854E-2</v>
      </c>
      <c r="AN5" s="278">
        <f t="shared" si="0"/>
        <v>4.0000635193782691E-2</v>
      </c>
      <c r="AO5" s="278">
        <f t="shared" si="0"/>
        <v>3.9480626936263516E-2</v>
      </c>
      <c r="AP5" s="278">
        <f t="shared" si="0"/>
        <v>3.8967378786092091E-2</v>
      </c>
      <c r="AQ5" s="278">
        <f t="shared" si="0"/>
        <v>3.8460802861872895E-2</v>
      </c>
      <c r="AR5" s="278">
        <f t="shared" si="0"/>
        <v>3.7960812424668547E-2</v>
      </c>
      <c r="AS5" s="278">
        <f t="shared" si="0"/>
        <v>3.7467321863147857E-2</v>
      </c>
      <c r="AT5" s="278">
        <f t="shared" si="0"/>
        <v>3.6980246678926937E-2</v>
      </c>
      <c r="AU5" s="278">
        <f t="shared" si="0"/>
        <v>3.6499503472100889E-2</v>
      </c>
      <c r="AV5" s="278">
        <f t="shared" si="0"/>
        <v>3.6025009926963579E-2</v>
      </c>
      <c r="AW5" s="278">
        <f t="shared" si="0"/>
        <v>3.5556684797913053E-2</v>
      </c>
      <c r="AX5" s="278">
        <f t="shared" si="0"/>
        <v>3.5094447895540185E-2</v>
      </c>
      <c r="AY5" s="278">
        <f t="shared" si="0"/>
        <v>3.4638220072898164E-2</v>
      </c>
      <c r="AZ5" s="278">
        <f t="shared" si="0"/>
        <v>3.4187923211950487E-2</v>
      </c>
      <c r="BA5" s="278">
        <f t="shared" si="0"/>
        <v>3.3743480210195131E-2</v>
      </c>
      <c r="BB5" s="278">
        <f t="shared" si="0"/>
        <v>3.3304814967462591E-2</v>
      </c>
    </row>
    <row r="6" spans="1:54" x14ac:dyDescent="0.35">
      <c r="A6" s="101" t="s">
        <v>413</v>
      </c>
      <c r="B6" s="101"/>
      <c r="C6" s="101"/>
      <c r="D6" s="101"/>
      <c r="E6" s="101"/>
      <c r="F6" s="101"/>
      <c r="AE6" s="119">
        <v>0.09</v>
      </c>
      <c r="AF6">
        <f>AE6*0.975</f>
        <v>8.7749999999999995E-2</v>
      </c>
      <c r="AG6">
        <f t="shared" ref="AG6:BB6" si="1">AF6*0.975</f>
        <v>8.5556249999999986E-2</v>
      </c>
      <c r="AH6">
        <f t="shared" si="1"/>
        <v>8.3417343749999984E-2</v>
      </c>
      <c r="AI6">
        <f t="shared" si="1"/>
        <v>8.1331910156249979E-2</v>
      </c>
      <c r="AJ6">
        <f t="shared" si="1"/>
        <v>7.9298612402343732E-2</v>
      </c>
      <c r="AK6">
        <f t="shared" si="1"/>
        <v>7.731614709228514E-2</v>
      </c>
      <c r="AL6">
        <f t="shared" si="1"/>
        <v>7.5383243414978013E-2</v>
      </c>
      <c r="AM6">
        <f t="shared" si="1"/>
        <v>7.3498662329603559E-2</v>
      </c>
      <c r="AN6">
        <f t="shared" si="1"/>
        <v>7.166119577136347E-2</v>
      </c>
      <c r="AO6">
        <f t="shared" si="1"/>
        <v>6.9869665877079379E-2</v>
      </c>
      <c r="AP6">
        <f t="shared" si="1"/>
        <v>6.8122924230152399E-2</v>
      </c>
      <c r="AQ6">
        <f t="shared" si="1"/>
        <v>6.6419851124398591E-2</v>
      </c>
      <c r="AR6">
        <f t="shared" si="1"/>
        <v>6.4759354846288628E-2</v>
      </c>
      <c r="AS6">
        <f t="shared" si="1"/>
        <v>6.3140370975131407E-2</v>
      </c>
      <c r="AT6">
        <f>AS6*0.975</f>
        <v>6.1561861700753118E-2</v>
      </c>
      <c r="AU6">
        <f t="shared" si="1"/>
        <v>6.0022815158234287E-2</v>
      </c>
      <c r="AV6">
        <f t="shared" si="1"/>
        <v>5.8522244779278428E-2</v>
      </c>
      <c r="AW6">
        <f t="shared" si="1"/>
        <v>5.7059188659796464E-2</v>
      </c>
      <c r="AX6">
        <f t="shared" si="1"/>
        <v>5.5632708943301551E-2</v>
      </c>
      <c r="AY6">
        <f t="shared" si="1"/>
        <v>5.4241891219719014E-2</v>
      </c>
      <c r="AZ6">
        <f t="shared" si="1"/>
        <v>5.2885843939226039E-2</v>
      </c>
      <c r="BA6">
        <f t="shared" si="1"/>
        <v>5.1563697840745389E-2</v>
      </c>
      <c r="BB6">
        <f t="shared" si="1"/>
        <v>5.0274605394726751E-2</v>
      </c>
    </row>
    <row r="7" spans="1:54" x14ac:dyDescent="0.35">
      <c r="A7" s="101"/>
      <c r="B7" s="101"/>
      <c r="C7" s="101"/>
      <c r="D7" s="101"/>
      <c r="E7" s="101"/>
      <c r="F7" s="101"/>
      <c r="AE7" s="119"/>
    </row>
    <row r="8" spans="1:54" x14ac:dyDescent="0.35">
      <c r="A8" s="101" t="s">
        <v>386</v>
      </c>
      <c r="B8" s="101"/>
      <c r="C8" s="101"/>
      <c r="D8" s="101"/>
      <c r="E8" s="101"/>
      <c r="F8" s="101"/>
      <c r="AE8" s="119"/>
    </row>
    <row r="9" spans="1:54" x14ac:dyDescent="0.35">
      <c r="A9" s="101" t="s">
        <v>412</v>
      </c>
      <c r="B9" s="101"/>
      <c r="C9" s="101"/>
      <c r="D9" s="101"/>
      <c r="E9" s="101"/>
      <c r="F9" s="101"/>
      <c r="Z9">
        <f t="shared" ref="Z9:AD10" si="2">Z30/Z26</f>
        <v>0.67792204148997348</v>
      </c>
      <c r="AA9">
        <f t="shared" si="2"/>
        <v>0.68533660706600774</v>
      </c>
      <c r="AB9">
        <f t="shared" si="2"/>
        <v>0.64650696723516432</v>
      </c>
      <c r="AC9">
        <f t="shared" si="2"/>
        <v>0.63716520292600543</v>
      </c>
      <c r="AD9">
        <f t="shared" si="2"/>
        <v>0.63586480102249077</v>
      </c>
      <c r="AE9">
        <f>AD9*1.001</f>
        <v>0.63650066582351317</v>
      </c>
      <c r="AF9">
        <f t="shared" ref="AF9:BB9" si="3">AE9*1.001</f>
        <v>0.6371371664893366</v>
      </c>
      <c r="AG9">
        <f t="shared" si="3"/>
        <v>0.63777430365582588</v>
      </c>
      <c r="AH9">
        <f t="shared" si="3"/>
        <v>0.63841207795948163</v>
      </c>
      <c r="AI9">
        <f t="shared" si="3"/>
        <v>0.63905049003744108</v>
      </c>
      <c r="AJ9">
        <f t="shared" si="3"/>
        <v>0.6396895405274784</v>
      </c>
      <c r="AK9">
        <f t="shared" si="3"/>
        <v>0.64032923006800579</v>
      </c>
      <c r="AL9">
        <f t="shared" si="3"/>
        <v>0.64096955929807375</v>
      </c>
      <c r="AM9">
        <f t="shared" si="3"/>
        <v>0.6416105288573718</v>
      </c>
      <c r="AN9">
        <f t="shared" si="3"/>
        <v>0.64225213938622905</v>
      </c>
      <c r="AO9">
        <f t="shared" si="3"/>
        <v>0.64289439152561523</v>
      </c>
      <c r="AP9">
        <f t="shared" si="3"/>
        <v>0.64353728591714077</v>
      </c>
      <c r="AQ9">
        <f t="shared" si="3"/>
        <v>0.64418082320305781</v>
      </c>
      <c r="AR9">
        <f t="shared" si="3"/>
        <v>0.64482500402626075</v>
      </c>
      <c r="AS9">
        <f t="shared" si="3"/>
        <v>0.64546982903028693</v>
      </c>
      <c r="AT9">
        <f t="shared" si="3"/>
        <v>0.64611529885931718</v>
      </c>
      <c r="AU9">
        <f t="shared" si="3"/>
        <v>0.64676141415817645</v>
      </c>
      <c r="AV9">
        <f t="shared" si="3"/>
        <v>0.64740817557233454</v>
      </c>
      <c r="AW9">
        <f t="shared" si="3"/>
        <v>0.64805558374790684</v>
      </c>
      <c r="AX9">
        <f t="shared" si="3"/>
        <v>0.64870363933165465</v>
      </c>
      <c r="AY9">
        <f t="shared" si="3"/>
        <v>0.64935234297098621</v>
      </c>
      <c r="AZ9">
        <f t="shared" si="3"/>
        <v>0.65000169531395713</v>
      </c>
      <c r="BA9">
        <f t="shared" si="3"/>
        <v>0.65065169700927106</v>
      </c>
      <c r="BB9">
        <f t="shared" si="3"/>
        <v>0.65130234870628023</v>
      </c>
    </row>
    <row r="10" spans="1:54" x14ac:dyDescent="0.35">
      <c r="A10" s="101" t="s">
        <v>413</v>
      </c>
      <c r="B10" s="101"/>
      <c r="C10" s="101"/>
      <c r="D10" s="101"/>
      <c r="E10" s="101"/>
      <c r="F10" s="101"/>
      <c r="Z10">
        <f t="shared" si="2"/>
        <v>0.36261908362316647</v>
      </c>
      <c r="AA10">
        <f t="shared" si="2"/>
        <v>0.33984898080642761</v>
      </c>
      <c r="AB10">
        <f t="shared" si="2"/>
        <v>0.30274022652539279</v>
      </c>
      <c r="AC10">
        <f t="shared" si="2"/>
        <v>0.28254553366867619</v>
      </c>
      <c r="AD10">
        <f t="shared" si="2"/>
        <v>0.29105248779560761</v>
      </c>
      <c r="AE10">
        <f>AD10*1.001</f>
        <v>0.2913435402834032</v>
      </c>
      <c r="AF10">
        <f t="shared" ref="AF10:BB10" si="4">AE10*1.001</f>
        <v>0.29163488382368657</v>
      </c>
      <c r="AG10">
        <f t="shared" si="4"/>
        <v>0.29192651870751024</v>
      </c>
      <c r="AH10">
        <f t="shared" si="4"/>
        <v>0.2922184452262177</v>
      </c>
      <c r="AI10">
        <f t="shared" si="4"/>
        <v>0.2925106636714439</v>
      </c>
      <c r="AJ10">
        <f t="shared" si="4"/>
        <v>0.29280317433511532</v>
      </c>
      <c r="AK10">
        <f t="shared" si="4"/>
        <v>0.29309597750945043</v>
      </c>
      <c r="AL10">
        <f t="shared" si="4"/>
        <v>0.29338907348695986</v>
      </c>
      <c r="AM10">
        <f t="shared" si="4"/>
        <v>0.29368246256044678</v>
      </c>
      <c r="AN10">
        <f t="shared" si="4"/>
        <v>0.29397614502300717</v>
      </c>
      <c r="AO10">
        <f t="shared" si="4"/>
        <v>0.29427012116803014</v>
      </c>
      <c r="AP10">
        <f t="shared" si="4"/>
        <v>0.29456439128919815</v>
      </c>
      <c r="AQ10">
        <f t="shared" si="4"/>
        <v>0.29485895568048731</v>
      </c>
      <c r="AR10">
        <f t="shared" si="4"/>
        <v>0.29515381463616774</v>
      </c>
      <c r="AS10">
        <f t="shared" si="4"/>
        <v>0.29544896845080387</v>
      </c>
      <c r="AT10">
        <f t="shared" si="4"/>
        <v>0.29574441741925467</v>
      </c>
      <c r="AU10">
        <f t="shared" si="4"/>
        <v>0.29604016183667387</v>
      </c>
      <c r="AV10">
        <f t="shared" si="4"/>
        <v>0.29633620199851052</v>
      </c>
      <c r="AW10">
        <f t="shared" si="4"/>
        <v>0.296632538200509</v>
      </c>
      <c r="AX10">
        <f t="shared" si="4"/>
        <v>0.2969291707387095</v>
      </c>
      <c r="AY10">
        <f t="shared" si="4"/>
        <v>0.2972260999094482</v>
      </c>
      <c r="AZ10">
        <f t="shared" si="4"/>
        <v>0.2975233260093576</v>
      </c>
      <c r="BA10">
        <f t="shared" si="4"/>
        <v>0.29782084933536696</v>
      </c>
      <c r="BB10">
        <f t="shared" si="4"/>
        <v>0.29811867018470228</v>
      </c>
    </row>
    <row r="11" spans="1:54" x14ac:dyDescent="0.35">
      <c r="A11" s="101"/>
      <c r="B11" s="101"/>
      <c r="C11" s="101"/>
      <c r="D11" s="101"/>
      <c r="E11" s="101"/>
      <c r="F11" s="101"/>
    </row>
    <row r="12" spans="1:54" x14ac:dyDescent="0.35">
      <c r="A12" s="101" t="s">
        <v>387</v>
      </c>
      <c r="B12" s="101"/>
      <c r="C12" s="101"/>
      <c r="D12" s="101"/>
      <c r="E12" s="101"/>
      <c r="F12" s="101"/>
      <c r="Z12">
        <f>Z33/Z25</f>
        <v>6.233136285716482E-2</v>
      </c>
      <c r="AA12">
        <f t="shared" ref="AA12:AD12" si="5">AA33/AA25</f>
        <v>6.8309564140393061E-2</v>
      </c>
      <c r="AB12">
        <f t="shared" si="5"/>
        <v>5.9904269074427925E-2</v>
      </c>
      <c r="AC12">
        <f t="shared" si="5"/>
        <v>6.657148363798665E-2</v>
      </c>
      <c r="AD12">
        <f t="shared" si="5"/>
        <v>7.8317483273248417E-2</v>
      </c>
      <c r="AE12" s="101">
        <f>1.01*AD12</f>
        <v>7.9100658105980909E-2</v>
      </c>
      <c r="AF12" s="101">
        <f t="shared" ref="AF12:BB12" si="6">1.01*AE12</f>
        <v>7.9891664687040717E-2</v>
      </c>
      <c r="AG12" s="101">
        <f t="shared" si="6"/>
        <v>8.0690581333911118E-2</v>
      </c>
      <c r="AH12" s="101">
        <f t="shared" si="6"/>
        <v>8.1497487147250233E-2</v>
      </c>
      <c r="AI12" s="101">
        <f t="shared" si="6"/>
        <v>8.2312462018722735E-2</v>
      </c>
      <c r="AJ12" s="101">
        <f t="shared" si="6"/>
        <v>8.3135586638909964E-2</v>
      </c>
      <c r="AK12" s="101">
        <f t="shared" si="6"/>
        <v>8.3966942505299069E-2</v>
      </c>
      <c r="AL12" s="101">
        <f t="shared" si="6"/>
        <v>8.4806611930352063E-2</v>
      </c>
      <c r="AM12" s="101">
        <f t="shared" si="6"/>
        <v>8.5654678049655583E-2</v>
      </c>
      <c r="AN12" s="101">
        <f t="shared" si="6"/>
        <v>8.6511224830152139E-2</v>
      </c>
      <c r="AO12" s="101">
        <f t="shared" si="6"/>
        <v>8.7376337078453659E-2</v>
      </c>
      <c r="AP12" s="101">
        <f t="shared" si="6"/>
        <v>8.82501004492382E-2</v>
      </c>
      <c r="AQ12" s="101">
        <f t="shared" si="6"/>
        <v>8.9132601453730587E-2</v>
      </c>
      <c r="AR12" s="101">
        <f t="shared" si="6"/>
        <v>9.0023927468267886E-2</v>
      </c>
      <c r="AS12" s="101">
        <f t="shared" si="6"/>
        <v>9.0924166742950563E-2</v>
      </c>
      <c r="AT12" s="101">
        <f t="shared" si="6"/>
        <v>9.1833408410380069E-2</v>
      </c>
      <c r="AU12" s="101">
        <f t="shared" si="6"/>
        <v>9.2751742494483869E-2</v>
      </c>
      <c r="AV12" s="101">
        <f t="shared" si="6"/>
        <v>9.3679259919428715E-2</v>
      </c>
      <c r="AW12" s="101">
        <f t="shared" si="6"/>
        <v>9.4616052518622998E-2</v>
      </c>
      <c r="AX12" s="101">
        <f t="shared" si="6"/>
        <v>9.5562213043809227E-2</v>
      </c>
      <c r="AY12" s="101">
        <f t="shared" si="6"/>
        <v>9.6517835174247321E-2</v>
      </c>
      <c r="AZ12" s="101">
        <f t="shared" si="6"/>
        <v>9.7483013525989801E-2</v>
      </c>
      <c r="BA12" s="101">
        <f t="shared" si="6"/>
        <v>9.8457843661249697E-2</v>
      </c>
      <c r="BB12" s="101">
        <f t="shared" si="6"/>
        <v>9.9442422097862193E-2</v>
      </c>
    </row>
    <row r="13" spans="1:54" x14ac:dyDescent="0.35">
      <c r="A13" s="101" t="s">
        <v>388</v>
      </c>
      <c r="B13" s="101"/>
      <c r="C13" s="101"/>
      <c r="D13" s="101"/>
      <c r="E13" s="101"/>
      <c r="F13" s="101"/>
      <c r="Z13">
        <f>Z34/Z25</f>
        <v>7.0126146348213125E-2</v>
      </c>
      <c r="AA13">
        <f t="shared" ref="AA13:AD13" si="7">AA34/AA25</f>
        <v>7.2549769593646979E-2</v>
      </c>
      <c r="AB13">
        <f t="shared" si="7"/>
        <v>6.006555190163388E-2</v>
      </c>
      <c r="AC13">
        <f t="shared" si="7"/>
        <v>6.3637378020328261E-2</v>
      </c>
      <c r="AD13">
        <f t="shared" si="7"/>
        <v>6.5265004477000232E-2</v>
      </c>
      <c r="AE13">
        <f>AD13*1.001</f>
        <v>6.5330269481477229E-2</v>
      </c>
      <c r="AF13">
        <f t="shared" ref="AF13:BB13" si="8">AE13*1.001</f>
        <v>6.5395599750958697E-2</v>
      </c>
      <c r="AG13">
        <f t="shared" si="8"/>
        <v>6.546099535070965E-2</v>
      </c>
      <c r="AH13">
        <f t="shared" si="8"/>
        <v>6.5526456346060358E-2</v>
      </c>
      <c r="AI13">
        <f t="shared" si="8"/>
        <v>6.5591982802406412E-2</v>
      </c>
      <c r="AJ13">
        <f t="shared" si="8"/>
        <v>6.5657574785208811E-2</v>
      </c>
      <c r="AK13">
        <f t="shared" si="8"/>
        <v>6.5723232359994013E-2</v>
      </c>
      <c r="AL13">
        <f t="shared" si="8"/>
        <v>6.5788955592353995E-2</v>
      </c>
      <c r="AM13">
        <f t="shared" si="8"/>
        <v>6.5854744547946348E-2</v>
      </c>
      <c r="AN13">
        <f t="shared" si="8"/>
        <v>6.5920599292494289E-2</v>
      </c>
      <c r="AO13">
        <f t="shared" si="8"/>
        <v>6.5986519891786777E-2</v>
      </c>
      <c r="AP13">
        <f t="shared" si="8"/>
        <v>6.6052506411678563E-2</v>
      </c>
      <c r="AQ13">
        <f t="shared" si="8"/>
        <v>6.6118558918090237E-2</v>
      </c>
      <c r="AR13">
        <f t="shared" si="8"/>
        <v>6.6184677477008319E-2</v>
      </c>
      <c r="AS13">
        <f t="shared" si="8"/>
        <v>6.6250862154485321E-2</v>
      </c>
      <c r="AT13">
        <f t="shared" si="8"/>
        <v>6.6317113016639798E-2</v>
      </c>
      <c r="AU13">
        <f t="shared" si="8"/>
        <v>6.6383430129656432E-2</v>
      </c>
      <c r="AV13">
        <f t="shared" si="8"/>
        <v>6.6449813559786075E-2</v>
      </c>
      <c r="AW13">
        <f t="shared" si="8"/>
        <v>6.651626337334586E-2</v>
      </c>
      <c r="AX13">
        <f t="shared" si="8"/>
        <v>6.65827796367192E-2</v>
      </c>
      <c r="AY13">
        <f t="shared" si="8"/>
        <v>6.6649362416355912E-2</v>
      </c>
      <c r="AZ13">
        <f t="shared" si="8"/>
        <v>6.6716011778772261E-2</v>
      </c>
      <c r="BA13">
        <f t="shared" si="8"/>
        <v>6.6782727790551027E-2</v>
      </c>
      <c r="BB13">
        <f t="shared" si="8"/>
        <v>6.6849510518341565E-2</v>
      </c>
    </row>
    <row r="14" spans="1:54" x14ac:dyDescent="0.35">
      <c r="A14" s="101"/>
      <c r="B14" s="101"/>
      <c r="C14" s="101"/>
      <c r="D14" s="101"/>
      <c r="E14" s="101"/>
      <c r="F14" s="101"/>
    </row>
    <row r="15" spans="1:54" x14ac:dyDescent="0.35">
      <c r="A15" s="101" t="s">
        <v>414</v>
      </c>
      <c r="B15" s="101"/>
      <c r="C15" s="101"/>
      <c r="D15" s="101"/>
      <c r="E15" s="101"/>
      <c r="F15" s="101"/>
    </row>
    <row r="16" spans="1:54" x14ac:dyDescent="0.35">
      <c r="A16" s="101"/>
      <c r="B16" s="101"/>
      <c r="C16" s="101"/>
      <c r="D16" s="101"/>
      <c r="E16" s="101"/>
      <c r="F16" s="101"/>
    </row>
    <row r="17" spans="1:54" x14ac:dyDescent="0.35">
      <c r="A17" s="101" t="s">
        <v>331</v>
      </c>
      <c r="B17" s="101"/>
      <c r="C17" s="101"/>
      <c r="D17" s="101"/>
      <c r="E17" s="101"/>
      <c r="F17" s="101"/>
      <c r="Z17">
        <f>Z41/Z40</f>
        <v>0.15943836804235059</v>
      </c>
      <c r="AA17">
        <f t="shared" ref="AA17:AC17" si="9">AA41/AA40</f>
        <v>0.14428164731484103</v>
      </c>
      <c r="AB17">
        <f t="shared" si="9"/>
        <v>0.13302260844085087</v>
      </c>
      <c r="AC17">
        <f t="shared" si="9"/>
        <v>0.16204461684424407</v>
      </c>
      <c r="AE17" s="119"/>
    </row>
    <row r="18" spans="1:54" x14ac:dyDescent="0.35">
      <c r="A18" s="101"/>
      <c r="B18" s="101"/>
      <c r="C18" s="101"/>
      <c r="D18" s="101"/>
      <c r="E18" s="101"/>
      <c r="F18" s="101"/>
      <c r="AE18" s="119"/>
    </row>
    <row r="19" spans="1:54" x14ac:dyDescent="0.35">
      <c r="A19" t="s">
        <v>393</v>
      </c>
      <c r="B19" s="101"/>
      <c r="C19" s="101"/>
      <c r="D19" s="101"/>
      <c r="E19" s="101"/>
      <c r="F19" s="101"/>
      <c r="Z19">
        <f>Z52/Z25</f>
        <v>4.8225418373857493E-2</v>
      </c>
      <c r="AA19">
        <f t="shared" ref="AA19:AC19" si="10">AA52/AA25</f>
        <v>4.0274666229532081E-2</v>
      </c>
      <c r="AB19">
        <f t="shared" si="10"/>
        <v>3.084602410494865E-2</v>
      </c>
      <c r="AC19">
        <f t="shared" si="10"/>
        <v>2.8159298857803657E-2</v>
      </c>
      <c r="AE19" s="119"/>
    </row>
    <row r="20" spans="1:54" x14ac:dyDescent="0.35">
      <c r="A20" t="s">
        <v>394</v>
      </c>
      <c r="B20" s="101"/>
      <c r="C20" s="101"/>
      <c r="D20" s="101"/>
      <c r="E20" s="101"/>
      <c r="F20" s="101"/>
      <c r="Z20">
        <f>Z53/Z25</f>
        <v>2.3322853167495598E-2</v>
      </c>
      <c r="AA20">
        <f t="shared" ref="AA20:AC20" si="11">AA53/AA25</f>
        <v>2.4876600550061016E-2</v>
      </c>
      <c r="AB20">
        <f t="shared" si="11"/>
        <v>2.1611898845597662E-2</v>
      </c>
      <c r="AC20">
        <f t="shared" si="11"/>
        <v>2.2920005680550203E-2</v>
      </c>
      <c r="AE20" s="119"/>
    </row>
    <row r="21" spans="1:54" x14ac:dyDescent="0.35">
      <c r="A21" s="101" t="s">
        <v>416</v>
      </c>
      <c r="B21" s="101"/>
      <c r="C21" s="101"/>
      <c r="D21" s="101"/>
      <c r="E21" s="101"/>
      <c r="F21" s="101"/>
      <c r="U21" s="427">
        <f>((W25+V25)/(R25+S25))-1</f>
        <v>-1.999589429473414E-2</v>
      </c>
      <c r="Z21">
        <f>(Z53+Z54)/Z25</f>
        <v>3.1148385311368546E-2</v>
      </c>
      <c r="AA21">
        <f t="shared" ref="AA21:AC21" si="12">(AA53+AA54)/AA25</f>
        <v>3.4908839225543234E-2</v>
      </c>
      <c r="AB21">
        <f t="shared" si="12"/>
        <v>3.9533427916143865E-2</v>
      </c>
      <c r="AC21">
        <f t="shared" si="12"/>
        <v>3.8701284210099204E-2</v>
      </c>
      <c r="AE21" s="119"/>
    </row>
    <row r="22" spans="1:54" x14ac:dyDescent="0.35">
      <c r="A22" s="101" t="s">
        <v>117</v>
      </c>
      <c r="B22" s="101"/>
      <c r="C22" s="101"/>
      <c r="D22" s="101"/>
      <c r="E22" s="101"/>
      <c r="F22" s="101"/>
      <c r="U22">
        <f>((W25+V25)/(F25+G25))-1</f>
        <v>0.57956252682787235</v>
      </c>
      <c r="Z22">
        <f>Z55/Z25</f>
        <v>4.033838892433525E-2</v>
      </c>
      <c r="AA22">
        <f t="shared" ref="AA22:AC22" si="13">AA55/AA25</f>
        <v>2.6625138881299748E-2</v>
      </c>
      <c r="AB22">
        <f t="shared" si="13"/>
        <v>3.0302036264033657E-2</v>
      </c>
      <c r="AC22">
        <f t="shared" si="13"/>
        <v>2.7155058732831552E-2</v>
      </c>
      <c r="AE22" s="119"/>
    </row>
    <row r="23" spans="1:54" x14ac:dyDescent="0.35">
      <c r="A23" s="101" t="s">
        <v>418</v>
      </c>
      <c r="B23" s="101"/>
      <c r="C23" s="101"/>
      <c r="D23" s="101"/>
      <c r="E23" s="101"/>
      <c r="F23" s="101"/>
      <c r="Z23">
        <f>Z21/Z20</f>
        <v>1.3355306526038233</v>
      </c>
      <c r="AA23">
        <f t="shared" ref="AA23:AC23" si="14">AA21/AA20</f>
        <v>1.4032801288622054</v>
      </c>
      <c r="AB23">
        <f t="shared" si="14"/>
        <v>1.8292436124462434</v>
      </c>
      <c r="AC23">
        <f t="shared" si="14"/>
        <v>1.6885372870104003</v>
      </c>
      <c r="AE23" s="119"/>
    </row>
    <row r="24" spans="1:54" x14ac:dyDescent="0.35">
      <c r="A24" s="101"/>
      <c r="B24" s="101"/>
      <c r="C24" s="101"/>
      <c r="D24" s="101"/>
      <c r="E24" s="101"/>
      <c r="F24" s="101"/>
    </row>
    <row r="25" spans="1:54" x14ac:dyDescent="0.35">
      <c r="A25" t="s">
        <v>383</v>
      </c>
      <c r="C25">
        <f t="shared" ref="C25:W25" si="15">C26+C27</f>
        <v>53265</v>
      </c>
      <c r="D25">
        <f t="shared" si="15"/>
        <v>64040</v>
      </c>
      <c r="E25">
        <f t="shared" si="15"/>
        <v>84310</v>
      </c>
      <c r="F25">
        <f t="shared" si="15"/>
        <v>58015</v>
      </c>
      <c r="G25">
        <f t="shared" si="15"/>
        <v>53809</v>
      </c>
      <c r="H25">
        <f t="shared" si="15"/>
        <v>64040</v>
      </c>
      <c r="I25">
        <f t="shared" si="15"/>
        <v>91819</v>
      </c>
      <c r="J25">
        <f t="shared" si="15"/>
        <v>58313</v>
      </c>
      <c r="K25">
        <f t="shared" si="15"/>
        <v>59685</v>
      </c>
      <c r="L25">
        <f t="shared" si="15"/>
        <v>64698</v>
      </c>
      <c r="M25">
        <f t="shared" si="15"/>
        <v>111439</v>
      </c>
      <c r="N25">
        <f t="shared" si="15"/>
        <v>89584</v>
      </c>
      <c r="O25">
        <f t="shared" si="15"/>
        <v>81434</v>
      </c>
      <c r="P25">
        <f t="shared" si="15"/>
        <v>83360</v>
      </c>
      <c r="Q25">
        <f t="shared" si="15"/>
        <v>123945</v>
      </c>
      <c r="R25">
        <f t="shared" si="15"/>
        <v>97278</v>
      </c>
      <c r="S25">
        <f t="shared" si="15"/>
        <v>82959</v>
      </c>
      <c r="T25">
        <f t="shared" si="15"/>
        <v>90146</v>
      </c>
      <c r="U25">
        <f t="shared" si="15"/>
        <v>117154</v>
      </c>
      <c r="V25">
        <f t="shared" si="15"/>
        <v>94836</v>
      </c>
      <c r="W25">
        <f t="shared" si="15"/>
        <v>81797</v>
      </c>
      <c r="X25">
        <f>X26+X27</f>
        <v>89282</v>
      </c>
      <c r="Z25">
        <f>Z26+Z27</f>
        <v>260174</v>
      </c>
      <c r="AA25">
        <f>AA26+AA27</f>
        <v>274515</v>
      </c>
      <c r="AB25">
        <f>AB26+AB27</f>
        <v>365817</v>
      </c>
      <c r="AC25">
        <f>AC26+AC27</f>
        <v>394328</v>
      </c>
      <c r="AD25">
        <f>AD26+AD27</f>
        <v>383069</v>
      </c>
      <c r="AE25">
        <f t="shared" ref="AE25:BB25" si="16">AE26+AE27</f>
        <v>404095.69999999995</v>
      </c>
      <c r="AF25">
        <f t="shared" si="16"/>
        <v>426020.38502915</v>
      </c>
      <c r="AG25">
        <f t="shared" si="16"/>
        <v>448860.48893937253</v>
      </c>
      <c r="AH25">
        <f t="shared" si="16"/>
        <v>472632.31682514609</v>
      </c>
      <c r="AI25">
        <f t="shared" si="16"/>
        <v>497350.97627166676</v>
      </c>
      <c r="AJ25">
        <f t="shared" si="16"/>
        <v>523030.31453687267</v>
      </c>
      <c r="AK25">
        <f t="shared" si="16"/>
        <v>549682.8620322668</v>
      </c>
      <c r="AL25">
        <f t="shared" si="16"/>
        <v>577319.78240064369</v>
      </c>
      <c r="AM25">
        <f t="shared" si="16"/>
        <v>605950.82942131127</v>
      </c>
      <c r="AN25">
        <f t="shared" si="16"/>
        <v>635584.31090613932</v>
      </c>
      <c r="AO25">
        <f t="shared" si="16"/>
        <v>666227.05968362512</v>
      </c>
      <c r="AP25">
        <f t="shared" si="16"/>
        <v>697884.41170396539</v>
      </c>
      <c r="AQ25">
        <f t="shared" si="16"/>
        <v>730560.19123654719</v>
      </c>
      <c r="AR25">
        <f t="shared" si="16"/>
        <v>764256.70307296689</v>
      </c>
      <c r="AS25">
        <f t="shared" si="16"/>
        <v>798974.73159418046</v>
      </c>
      <c r="AT25">
        <f t="shared" si="16"/>
        <v>834713.54651011061</v>
      </c>
      <c r="AU25">
        <f t="shared" si="16"/>
        <v>871470.91503434</v>
      </c>
      <c r="AV25">
        <f t="shared" si="16"/>
        <v>909243.1202156581</v>
      </c>
      <c r="AW25">
        <f t="shared" si="16"/>
        <v>948024.98511235893</v>
      </c>
      <c r="AX25">
        <f t="shared" si="16"/>
        <v>987809.90246440098</v>
      </c>
      <c r="AY25">
        <f t="shared" si="16"/>
        <v>1028589.869492837</v>
      </c>
      <c r="AZ25">
        <f t="shared" si="16"/>
        <v>1070355.5274352536</v>
      </c>
      <c r="BA25">
        <f t="shared" si="16"/>
        <v>1113096.2054101799</v>
      </c>
      <c r="BB25">
        <f t="shared" si="16"/>
        <v>1156799.9681923776</v>
      </c>
    </row>
    <row r="26" spans="1:54" ht="13.15" x14ac:dyDescent="0.4">
      <c r="A26" s="426" t="s">
        <v>384</v>
      </c>
      <c r="B26" s="426"/>
      <c r="C26" s="426">
        <v>43095</v>
      </c>
      <c r="D26" s="426">
        <v>51529</v>
      </c>
      <c r="E26" s="426">
        <v>73435</v>
      </c>
      <c r="F26" s="426">
        <v>46565</v>
      </c>
      <c r="G26" s="426">
        <v>42354</v>
      </c>
      <c r="H26" s="426">
        <v>51529</v>
      </c>
      <c r="I26" s="426">
        <v>79104</v>
      </c>
      <c r="J26" s="426">
        <v>44965</v>
      </c>
      <c r="K26" s="426">
        <v>46529</v>
      </c>
      <c r="L26" s="426">
        <v>50149</v>
      </c>
      <c r="M26">
        <v>95678</v>
      </c>
      <c r="N26" s="214">
        <v>72683</v>
      </c>
      <c r="O26">
        <v>63948</v>
      </c>
      <c r="P26">
        <v>65083</v>
      </c>
      <c r="Q26">
        <v>104429</v>
      </c>
      <c r="R26">
        <v>77457</v>
      </c>
      <c r="S26">
        <v>63355</v>
      </c>
      <c r="T26">
        <v>70958</v>
      </c>
      <c r="U26">
        <v>96388</v>
      </c>
      <c r="V26">
        <v>73929</v>
      </c>
      <c r="W26">
        <v>60584</v>
      </c>
      <c r="X26">
        <v>67977</v>
      </c>
      <c r="Z26">
        <f>SUM(E26:H26)</f>
        <v>213883</v>
      </c>
      <c r="AA26">
        <f>SUM(I26:L26)</f>
        <v>220747</v>
      </c>
      <c r="AB26">
        <f>SUM(M26:P26)</f>
        <v>297392</v>
      </c>
      <c r="AC26">
        <f>SUM(Q26:T26)</f>
        <v>316199</v>
      </c>
      <c r="AD26">
        <f>SUM(U26:X26)</f>
        <v>298878</v>
      </c>
      <c r="AE26" s="101">
        <f>(1+AE5)*AD26</f>
        <v>312327.50999999995</v>
      </c>
      <c r="AF26" s="101">
        <f t="shared" ref="AF26:BB26" si="17">(1+AF5)*AE26</f>
        <v>326199.53635665</v>
      </c>
      <c r="AG26" s="101">
        <f t="shared" si="17"/>
        <v>340499.34278263594</v>
      </c>
      <c r="AH26" s="101">
        <f t="shared" si="17"/>
        <v>355231.97169030906</v>
      </c>
      <c r="AI26" s="101">
        <f t="shared" si="17"/>
        <v>370402.23681401042</v>
      </c>
      <c r="AJ26" s="101">
        <f t="shared" si="17"/>
        <v>386014.71619399753</v>
      </c>
      <c r="AK26" s="101">
        <f t="shared" si="17"/>
        <v>402073.74553397647</v>
      </c>
      <c r="AL26" s="101">
        <f t="shared" si="17"/>
        <v>418583.41194309283</v>
      </c>
      <c r="AM26" s="101">
        <f t="shared" si="17"/>
        <v>435547.54807207413</v>
      </c>
      <c r="AN26" s="101">
        <f t="shared" si="17"/>
        <v>452969.72665205173</v>
      </c>
      <c r="AO26" s="101">
        <f t="shared" si="17"/>
        <v>470853.25544342265</v>
      </c>
      <c r="AP26" s="101">
        <f t="shared" si="17"/>
        <v>489201.17260095105</v>
      </c>
      <c r="AQ26" s="101">
        <f t="shared" si="17"/>
        <v>508016.2424601533</v>
      </c>
      <c r="AR26" s="101">
        <f t="shared" si="17"/>
        <v>527300.95174886822</v>
      </c>
      <c r="AS26" s="101">
        <f t="shared" si="17"/>
        <v>547057.50622678723</v>
      </c>
      <c r="AT26" s="101">
        <f t="shared" si="17"/>
        <v>567287.82775461243</v>
      </c>
      <c r="AU26" s="101">
        <f t="shared" si="17"/>
        <v>587993.55179342255</v>
      </c>
      <c r="AV26" s="101">
        <f t="shared" si="17"/>
        <v>609176.02533377125</v>
      </c>
      <c r="AW26" s="101">
        <f t="shared" si="17"/>
        <v>630836.30525300954</v>
      </c>
      <c r="AX26" s="101">
        <f t="shared" si="17"/>
        <v>652975.15709832637</v>
      </c>
      <c r="AY26" s="101">
        <f t="shared" si="17"/>
        <v>675593.05429203343</v>
      </c>
      <c r="AZ26" s="101">
        <f t="shared" si="17"/>
        <v>698690.17775469646</v>
      </c>
      <c r="BA26" s="101">
        <f t="shared" si="17"/>
        <v>722266.41594081966</v>
      </c>
      <c r="BB26" s="101">
        <f t="shared" si="17"/>
        <v>746321.36528094101</v>
      </c>
    </row>
    <row r="27" spans="1:54" x14ac:dyDescent="0.35">
      <c r="A27" s="426" t="s">
        <v>385</v>
      </c>
      <c r="B27" s="426"/>
      <c r="C27" s="426">
        <v>10170</v>
      </c>
      <c r="D27" s="426">
        <v>12511</v>
      </c>
      <c r="E27" s="426">
        <v>10875</v>
      </c>
      <c r="F27" s="426">
        <v>11450</v>
      </c>
      <c r="G27" s="426">
        <v>11455</v>
      </c>
      <c r="H27" s="426">
        <v>12511</v>
      </c>
      <c r="I27" s="426">
        <v>12715</v>
      </c>
      <c r="J27" s="426">
        <v>13348</v>
      </c>
      <c r="K27" s="426">
        <v>13156</v>
      </c>
      <c r="L27" s="426">
        <v>14549</v>
      </c>
      <c r="M27">
        <v>15761</v>
      </c>
      <c r="N27">
        <v>16901</v>
      </c>
      <c r="O27">
        <v>17486</v>
      </c>
      <c r="P27">
        <v>18277</v>
      </c>
      <c r="Q27">
        <v>19516</v>
      </c>
      <c r="R27">
        <v>19821</v>
      </c>
      <c r="S27">
        <v>19604</v>
      </c>
      <c r="T27">
        <v>19188</v>
      </c>
      <c r="U27">
        <v>20766</v>
      </c>
      <c r="V27">
        <v>20907</v>
      </c>
      <c r="W27">
        <v>21213</v>
      </c>
      <c r="X27">
        <v>21305</v>
      </c>
      <c r="Z27">
        <f>SUM(E27:H27)</f>
        <v>46291</v>
      </c>
      <c r="AA27">
        <f>SUM(I27:L27)</f>
        <v>53768</v>
      </c>
      <c r="AB27">
        <f>SUM(M27:P27)</f>
        <v>68425</v>
      </c>
      <c r="AC27">
        <f>SUM(Q27:T27)</f>
        <v>78129</v>
      </c>
      <c r="AD27">
        <f>SUM(U27:X27)</f>
        <v>84191</v>
      </c>
      <c r="AE27" s="101">
        <f>(1+AE6)*AD27</f>
        <v>91768.19</v>
      </c>
      <c r="AF27" s="101">
        <f t="shared" ref="AF27:BB27" si="18">(1+AF6)*AE27</f>
        <v>99820.848672499997</v>
      </c>
      <c r="AG27" s="101">
        <f t="shared" si="18"/>
        <v>108361.14615673658</v>
      </c>
      <c r="AH27" s="101">
        <f t="shared" si="18"/>
        <v>117400.34513483704</v>
      </c>
      <c r="AI27" s="101">
        <f t="shared" si="18"/>
        <v>126948.73945765635</v>
      </c>
      <c r="AJ27" s="101">
        <f t="shared" si="18"/>
        <v>137015.59834287516</v>
      </c>
      <c r="AK27" s="101">
        <f t="shared" si="18"/>
        <v>147609.11649829036</v>
      </c>
      <c r="AL27" s="101">
        <f t="shared" si="18"/>
        <v>158736.3704575508</v>
      </c>
      <c r="AM27" s="101">
        <f t="shared" si="18"/>
        <v>170403.28134923716</v>
      </c>
      <c r="AN27" s="101">
        <f t="shared" si="18"/>
        <v>182614.58425408759</v>
      </c>
      <c r="AO27" s="101">
        <f t="shared" si="18"/>
        <v>195373.80424020247</v>
      </c>
      <c r="AP27" s="101">
        <f t="shared" si="18"/>
        <v>208683.23910301441</v>
      </c>
      <c r="AQ27" s="101">
        <f t="shared" si="18"/>
        <v>222543.9487763939</v>
      </c>
      <c r="AR27" s="101">
        <f t="shared" si="18"/>
        <v>236955.75132409864</v>
      </c>
      <c r="AS27" s="101">
        <f t="shared" si="18"/>
        <v>251917.22536739323</v>
      </c>
      <c r="AT27" s="101">
        <f t="shared" si="18"/>
        <v>267425.71875549818</v>
      </c>
      <c r="AU27" s="101">
        <f t="shared" si="18"/>
        <v>283477.36324091739</v>
      </c>
      <c r="AV27" s="101">
        <f t="shared" si="18"/>
        <v>300067.09488188679</v>
      </c>
      <c r="AW27" s="101">
        <f t="shared" si="18"/>
        <v>317188.67985934939</v>
      </c>
      <c r="AX27" s="101">
        <f t="shared" si="18"/>
        <v>334834.74536607461</v>
      </c>
      <c r="AY27" s="101">
        <f t="shared" si="18"/>
        <v>352996.81520080357</v>
      </c>
      <c r="AZ27" s="101">
        <f t="shared" si="18"/>
        <v>371665.34968055709</v>
      </c>
      <c r="BA27" s="101">
        <f t="shared" si="18"/>
        <v>390829.78946936032</v>
      </c>
      <c r="BB27" s="101">
        <f t="shared" si="18"/>
        <v>410478.60291143652</v>
      </c>
    </row>
    <row r="28" spans="1:54" x14ac:dyDescent="0.35">
      <c r="C28" s="101" t="s">
        <v>268</v>
      </c>
    </row>
    <row r="29" spans="1:54" x14ac:dyDescent="0.35">
      <c r="A29" t="s">
        <v>386</v>
      </c>
    </row>
    <row r="30" spans="1:54" x14ac:dyDescent="0.35">
      <c r="A30" s="426" t="s">
        <v>384</v>
      </c>
      <c r="B30" s="426"/>
      <c r="C30" s="426">
        <v>28956</v>
      </c>
      <c r="D30" s="426">
        <v>35238</v>
      </c>
      <c r="E30" s="426">
        <v>48238</v>
      </c>
      <c r="F30" s="426">
        <v>32047</v>
      </c>
      <c r="G30" s="426">
        <v>29473</v>
      </c>
      <c r="H30" s="426">
        <v>35238</v>
      </c>
      <c r="I30" s="426">
        <v>52075</v>
      </c>
      <c r="J30" s="426">
        <v>31321</v>
      </c>
      <c r="K30" s="426">
        <v>32693</v>
      </c>
      <c r="L30" s="426">
        <v>35197</v>
      </c>
      <c r="M30">
        <v>62130</v>
      </c>
      <c r="N30">
        <v>46447</v>
      </c>
      <c r="O30">
        <v>40899</v>
      </c>
      <c r="P30">
        <v>42790</v>
      </c>
      <c r="Q30">
        <v>64309</v>
      </c>
      <c r="R30">
        <v>49290</v>
      </c>
      <c r="S30">
        <v>41485</v>
      </c>
      <c r="T30">
        <v>46387</v>
      </c>
      <c r="U30">
        <v>60765</v>
      </c>
      <c r="V30">
        <v>46795</v>
      </c>
      <c r="W30">
        <v>39136</v>
      </c>
      <c r="X30">
        <v>43350</v>
      </c>
      <c r="Z30">
        <f>SUM(E30:H30)</f>
        <v>144996</v>
      </c>
      <c r="AA30">
        <f>SUM(I30:L30)</f>
        <v>151286</v>
      </c>
      <c r="AB30">
        <f>SUM(M30:P30)</f>
        <v>192266</v>
      </c>
      <c r="AC30">
        <f>SUM(Q30:T30)</f>
        <v>201471</v>
      </c>
      <c r="AD30">
        <f>SUM(U30:X30)</f>
        <v>190046</v>
      </c>
      <c r="AE30">
        <f>AE9*AE26</f>
        <v>198796.66806999993</v>
      </c>
      <c r="AF30">
        <f t="shared" ref="AF30:BB30" si="19">AF9*AF26</f>
        <v>207833.84830441131</v>
      </c>
      <c r="AG30">
        <f t="shared" si="19"/>
        <v>217161.731238462</v>
      </c>
      <c r="AH30">
        <f t="shared" si="19"/>
        <v>226784.38120445397</v>
      </c>
      <c r="AI30">
        <f t="shared" si="19"/>
        <v>236705.73094695766</v>
      </c>
      <c r="AJ30">
        <f t="shared" si="19"/>
        <v>246929.57643898326</v>
      </c>
      <c r="AK30">
        <f t="shared" si="19"/>
        <v>257459.57190833043</v>
      </c>
      <c r="AL30">
        <f t="shared" si="19"/>
        <v>268299.22508264828</v>
      </c>
      <c r="AM30">
        <f t="shared" si="19"/>
        <v>279451.89266105503</v>
      </c>
      <c r="AN30">
        <f t="shared" si="19"/>
        <v>290920.7760194756</v>
      </c>
      <c r="AO30">
        <f t="shared" si="19"/>
        <v>302708.91715615429</v>
      </c>
      <c r="AP30">
        <f t="shared" si="19"/>
        <v>314819.19488309877</v>
      </c>
      <c r="AQ30">
        <f t="shared" si="19"/>
        <v>327254.32126850577</v>
      </c>
      <c r="AR30">
        <f t="shared" si="19"/>
        <v>340016.83833451505</v>
      </c>
      <c r="AS30">
        <f t="shared" si="19"/>
        <v>353109.1150139395</v>
      </c>
      <c r="AT30">
        <f t="shared" si="19"/>
        <v>366533.34436892427</v>
      </c>
      <c r="AU30">
        <f t="shared" si="19"/>
        <v>380291.54107380292</v>
      </c>
      <c r="AV30">
        <f t="shared" si="19"/>
        <v>394385.53916374309</v>
      </c>
      <c r="AW30">
        <f t="shared" si="19"/>
        <v>408816.99005011184</v>
      </c>
      <c r="AX30">
        <f t="shared" si="19"/>
        <v>423587.36080284324</v>
      </c>
      <c r="AY30">
        <f t="shared" si="19"/>
        <v>438697.93269945658</v>
      </c>
      <c r="AZ30">
        <f t="shared" si="19"/>
        <v>454149.80003976275</v>
      </c>
      <c r="BA30">
        <f t="shared" si="19"/>
        <v>469943.86922469834</v>
      </c>
      <c r="BB30">
        <f t="shared" si="19"/>
        <v>486080.85809715459</v>
      </c>
    </row>
    <row r="31" spans="1:54" x14ac:dyDescent="0.35">
      <c r="A31" s="426" t="s">
        <v>385</v>
      </c>
      <c r="B31" s="426"/>
      <c r="C31" s="426">
        <v>3888</v>
      </c>
      <c r="D31" s="426">
        <v>4489</v>
      </c>
      <c r="E31" s="426">
        <v>4041</v>
      </c>
      <c r="F31" s="426">
        <v>4147</v>
      </c>
      <c r="G31" s="426">
        <v>4109</v>
      </c>
      <c r="H31" s="426">
        <v>4489</v>
      </c>
      <c r="I31" s="426">
        <v>4527</v>
      </c>
      <c r="J31" s="426">
        <v>4622</v>
      </c>
      <c r="K31" s="426">
        <v>4312</v>
      </c>
      <c r="L31" s="426">
        <v>4812</v>
      </c>
      <c r="M31">
        <v>4981</v>
      </c>
      <c r="N31">
        <v>5058</v>
      </c>
      <c r="O31">
        <v>5280</v>
      </c>
      <c r="P31">
        <v>5396</v>
      </c>
      <c r="Q31">
        <v>5393</v>
      </c>
      <c r="R31">
        <v>5429</v>
      </c>
      <c r="S31">
        <v>5589</v>
      </c>
      <c r="T31">
        <v>5664</v>
      </c>
      <c r="U31">
        <v>6057</v>
      </c>
      <c r="V31">
        <v>6065</v>
      </c>
      <c r="W31">
        <v>6248</v>
      </c>
      <c r="X31">
        <v>6134</v>
      </c>
      <c r="Z31">
        <f>SUM(E31:H31)</f>
        <v>16786</v>
      </c>
      <c r="AA31">
        <f>SUM(I31:L31)</f>
        <v>18273</v>
      </c>
      <c r="AB31">
        <f>SUM(M31:P31)</f>
        <v>20715</v>
      </c>
      <c r="AC31">
        <f>SUM(Q31:T31)</f>
        <v>22075</v>
      </c>
      <c r="AD31">
        <f>SUM(U31:X31)</f>
        <v>24504</v>
      </c>
      <c r="AE31">
        <f>AE10*AE27</f>
        <v>26736.069360000001</v>
      </c>
      <c r="AF31">
        <f t="shared" ref="AF31:BB31" si="20">AF10*AF27</f>
        <v>29111.241605786334</v>
      </c>
      <c r="AG31">
        <f t="shared" si="20"/>
        <v>31633.492160691811</v>
      </c>
      <c r="AH31">
        <f t="shared" si="20"/>
        <v>34306.546324323434</v>
      </c>
      <c r="AI31">
        <f t="shared" si="20"/>
        <v>37133.860031012278</v>
      </c>
      <c r="AJ31">
        <f t="shared" si="20"/>
        <v>40118.602128219012</v>
      </c>
      <c r="AK31">
        <f t="shared" si="20"/>
        <v>43263.638289372757</v>
      </c>
      <c r="AL31">
        <f t="shared" si="20"/>
        <v>46571.516657223656</v>
      </c>
      <c r="AM31">
        <f t="shared" si="20"/>
        <v>50044.455295024622</v>
      </c>
      <c r="AN31">
        <f t="shared" si="20"/>
        <v>53684.331503995818</v>
      </c>
      <c r="AO31">
        <f t="shared" si="20"/>
        <v>57492.67304682338</v>
      </c>
      <c r="AP31">
        <f t="shared" si="20"/>
        <v>61470.651298637633</v>
      </c>
      <c r="AQ31">
        <f t="shared" si="20"/>
        <v>65619.076329219373</v>
      </c>
      <c r="AR31">
        <f t="shared" si="20"/>
        <v>69938.393903286866</v>
      </c>
      <c r="AS31">
        <f t="shared" si="20"/>
        <v>74428.684369785013</v>
      </c>
      <c r="AT31">
        <f t="shared" si="20"/>
        <v>79089.663396270262</v>
      </c>
      <c r="AU31">
        <f t="shared" si="20"/>
        <v>83920.684490874773</v>
      </c>
      <c r="AV31">
        <f t="shared" si="20"/>
        <v>88920.743242025026</v>
      </c>
      <c r="AW31">
        <f t="shared" si="20"/>
        <v>94088.483195147477</v>
      </c>
      <c r="AX31">
        <f t="shared" si="20"/>
        <v>99422.203276055487</v>
      </c>
      <c r="AY31">
        <f t="shared" si="20"/>
        <v>104919.86666259107</v>
      </c>
      <c r="AZ31">
        <f t="shared" si="20"/>
        <v>110579.11099939028</v>
      </c>
      <c r="BA31">
        <f t="shared" si="20"/>
        <v>116397.25984532754</v>
      </c>
      <c r="BB31">
        <f t="shared" si="20"/>
        <v>122371.33523923192</v>
      </c>
    </row>
    <row r="33" spans="1:54" x14ac:dyDescent="0.35">
      <c r="A33" t="s">
        <v>387</v>
      </c>
      <c r="C33">
        <v>3701</v>
      </c>
      <c r="D33">
        <v>4110</v>
      </c>
      <c r="E33">
        <v>3902</v>
      </c>
      <c r="F33">
        <v>3948</v>
      </c>
      <c r="G33">
        <v>4257</v>
      </c>
      <c r="H33">
        <v>4110</v>
      </c>
      <c r="I33">
        <v>4451</v>
      </c>
      <c r="J33">
        <v>4565</v>
      </c>
      <c r="K33">
        <v>4758</v>
      </c>
      <c r="L33">
        <v>4978</v>
      </c>
      <c r="M33">
        <v>5163</v>
      </c>
      <c r="N33">
        <v>5262</v>
      </c>
      <c r="O33">
        <v>5717</v>
      </c>
      <c r="P33">
        <v>5772</v>
      </c>
      <c r="Q33">
        <v>6306</v>
      </c>
      <c r="R33">
        <v>6387</v>
      </c>
      <c r="S33">
        <v>6797</v>
      </c>
      <c r="T33">
        <v>6761</v>
      </c>
      <c r="U33">
        <v>7709</v>
      </c>
      <c r="V33">
        <v>7457</v>
      </c>
      <c r="W33">
        <v>7442</v>
      </c>
      <c r="X33">
        <v>7393</v>
      </c>
      <c r="Z33">
        <f>SUM(E33:H33)</f>
        <v>16217</v>
      </c>
      <c r="AA33">
        <f>SUM(I33:L33)</f>
        <v>18752</v>
      </c>
      <c r="AB33">
        <f>SUM(M33:P33)</f>
        <v>21914</v>
      </c>
      <c r="AC33">
        <f>SUM(Q33:T33)</f>
        <v>26251</v>
      </c>
      <c r="AD33">
        <f>SUM(U33:X33)</f>
        <v>30001</v>
      </c>
      <c r="AE33">
        <f>AE12*AE$25</f>
        <v>31964.235807797028</v>
      </c>
      <c r="AF33">
        <f t="shared" ref="AF33:BB33" si="21">AF12*AF$25</f>
        <v>34035.477750592836</v>
      </c>
      <c r="AG33">
        <f t="shared" si="21"/>
        <v>36218.813790341548</v>
      </c>
      <c r="AH33">
        <f t="shared" si="21"/>
        <v>38518.346165832445</v>
      </c>
      <c r="AI33">
        <f t="shared" si="21"/>
        <v>40938.183344336241</v>
      </c>
      <c r="AJ33">
        <f t="shared" si="21"/>
        <v>43482.432028956508</v>
      </c>
      <c r="AK33">
        <f t="shared" si="21"/>
        <v>46155.18927241159</v>
      </c>
      <c r="AL33">
        <f t="shared" si="21"/>
        <v>48960.534745766687</v>
      </c>
      <c r="AM33">
        <f t="shared" si="21"/>
        <v>51902.523208004182</v>
      </c>
      <c r="AN33">
        <f t="shared" si="21"/>
        <v>54985.177219318335</v>
      </c>
      <c r="AO33">
        <f t="shared" si="21"/>
        <v>58212.480137703489</v>
      </c>
      <c r="AP33">
        <f t="shared" si="21"/>
        <v>61588.369434832457</v>
      </c>
      <c r="AQ33">
        <f t="shared" si="21"/>
        <v>65116.730363448361</v>
      </c>
      <c r="AR33">
        <f t="shared" si="21"/>
        <v>68801.390004578323</v>
      </c>
      <c r="AS33">
        <f t="shared" si="21"/>
        <v>72646.111718873435</v>
      </c>
      <c r="AT33">
        <f t="shared" si="21"/>
        <v>76654.590022339762</v>
      </c>
      <c r="AU33">
        <f t="shared" si="21"/>
        <v>80830.445902697335</v>
      </c>
      <c r="AV33">
        <f t="shared" si="21"/>
        <v>85177.222588635006</v>
      </c>
      <c r="AW33">
        <f t="shared" si="21"/>
        <v>89698.38178035774</v>
      </c>
      <c r="AX33">
        <f t="shared" si="21"/>
        <v>94397.300346087504</v>
      </c>
      <c r="AY33">
        <f t="shared" si="21"/>
        <v>99277.267485610209</v>
      </c>
      <c r="AZ33">
        <f t="shared" si="21"/>
        <v>104341.48235858878</v>
      </c>
      <c r="BA33">
        <f t="shared" si="21"/>
        <v>109593.05217220577</v>
      </c>
      <c r="BB33">
        <f t="shared" si="21"/>
        <v>115034.99071977998</v>
      </c>
    </row>
    <row r="34" spans="1:54" x14ac:dyDescent="0.35">
      <c r="A34" t="s">
        <v>388</v>
      </c>
      <c r="C34">
        <v>4108</v>
      </c>
      <c r="D34">
        <v>4578</v>
      </c>
      <c r="E34">
        <v>4783</v>
      </c>
      <c r="F34">
        <v>4458</v>
      </c>
      <c r="G34">
        <v>4426</v>
      </c>
      <c r="H34">
        <v>4578</v>
      </c>
      <c r="I34">
        <v>5197</v>
      </c>
      <c r="J34">
        <v>4952</v>
      </c>
      <c r="K34">
        <v>4831</v>
      </c>
      <c r="L34">
        <v>4936</v>
      </c>
      <c r="M34">
        <v>5631</v>
      </c>
      <c r="N34">
        <v>5314</v>
      </c>
      <c r="O34">
        <v>5412</v>
      </c>
      <c r="P34">
        <v>5616</v>
      </c>
      <c r="Q34">
        <v>6449</v>
      </c>
      <c r="R34">
        <v>6193</v>
      </c>
      <c r="S34">
        <v>6012</v>
      </c>
      <c r="T34">
        <v>6440</v>
      </c>
      <c r="U34">
        <v>6607</v>
      </c>
      <c r="V34">
        <v>6201</v>
      </c>
      <c r="W34">
        <v>5973</v>
      </c>
      <c r="X34">
        <v>6220</v>
      </c>
      <c r="Z34">
        <f>SUM(E34:H34)</f>
        <v>18245</v>
      </c>
      <c r="AA34">
        <f>SUM(I34:L34)</f>
        <v>19916</v>
      </c>
      <c r="AB34">
        <f>SUM(M34:P34)</f>
        <v>21973</v>
      </c>
      <c r="AC34">
        <f>SUM(Q34:T34)</f>
        <v>25094</v>
      </c>
      <c r="AD34">
        <f>SUM(U34:X34)</f>
        <v>25001</v>
      </c>
      <c r="AE34">
        <f>AE13*AE$25</f>
        <v>26399.680977306176</v>
      </c>
      <c r="AF34">
        <f t="shared" ref="AF34:BB34" si="22">AF13*AF$25</f>
        <v>27859.858585115609</v>
      </c>
      <c r="AG34">
        <f t="shared" si="22"/>
        <v>29382.854379577526</v>
      </c>
      <c r="AH34">
        <f t="shared" si="22"/>
        <v>30969.920876180302</v>
      </c>
      <c r="AI34">
        <f t="shared" si="22"/>
        <v>32622.236682371207</v>
      </c>
      <c r="AJ34">
        <f t="shared" si="22"/>
        <v>34340.901991636005</v>
      </c>
      <c r="AK34">
        <f t="shared" si="22"/>
        <v>36126.934465653205</v>
      </c>
      <c r="AL34">
        <f t="shared" si="22"/>
        <v>37981.265526943418</v>
      </c>
      <c r="AM34">
        <f t="shared" si="22"/>
        <v>39904.737080156665</v>
      </c>
      <c r="AN34">
        <f t="shared" si="22"/>
        <v>41898.098675839719</v>
      </c>
      <c r="AO34">
        <f t="shared" si="22"/>
        <v>43962.005126260148</v>
      </c>
      <c r="AP34">
        <f t="shared" si="22"/>
        <v>46097.0145786867</v>
      </c>
      <c r="AQ34">
        <f t="shared" si="22"/>
        <v>48303.587047484914</v>
      </c>
      <c r="AR34">
        <f t="shared" si="22"/>
        <v>50582.083402526026</v>
      </c>
      <c r="AS34">
        <f t="shared" si="22"/>
        <v>52932.764807762956</v>
      </c>
      <c r="AT34">
        <f t="shared" si="22"/>
        <v>55355.792600431225</v>
      </c>
      <c r="AU34">
        <f t="shared" si="22"/>
        <v>57851.228598209869</v>
      </c>
      <c r="AV34">
        <f t="shared" si="22"/>
        <v>60419.035818848635</v>
      </c>
      <c r="AW34">
        <f t="shared" si="22"/>
        <v>63059.079594245952</v>
      </c>
      <c r="AX34">
        <f t="shared" si="22"/>
        <v>65771.129058756298</v>
      </c>
      <c r="AY34">
        <f t="shared" si="22"/>
        <v>68554.858989620319</v>
      </c>
      <c r="AZ34">
        <f t="shared" si="22"/>
        <v>71409.851975844373</v>
      </c>
      <c r="BA34">
        <f t="shared" si="22"/>
        <v>74335.600890603324</v>
      </c>
      <c r="BB34">
        <f t="shared" si="22"/>
        <v>77331.511641293531</v>
      </c>
    </row>
    <row r="36" spans="1:54" x14ac:dyDescent="0.35">
      <c r="A36" s="101" t="s">
        <v>415</v>
      </c>
      <c r="C36">
        <f>C25-C30-C31-C33-C34</f>
        <v>12612</v>
      </c>
      <c r="D36">
        <f t="shared" ref="D36:BB36" si="23">D25-D30-D31-D33-D34</f>
        <v>15625</v>
      </c>
      <c r="E36">
        <f t="shared" si="23"/>
        <v>23346</v>
      </c>
      <c r="F36">
        <f t="shared" si="23"/>
        <v>13415</v>
      </c>
      <c r="G36">
        <f t="shared" si="23"/>
        <v>11544</v>
      </c>
      <c r="H36">
        <f t="shared" si="23"/>
        <v>15625</v>
      </c>
      <c r="I36">
        <f t="shared" si="23"/>
        <v>25569</v>
      </c>
      <c r="J36">
        <f t="shared" si="23"/>
        <v>12853</v>
      </c>
      <c r="K36">
        <f t="shared" si="23"/>
        <v>13091</v>
      </c>
      <c r="L36">
        <f t="shared" si="23"/>
        <v>14775</v>
      </c>
      <c r="M36">
        <f t="shared" si="23"/>
        <v>33534</v>
      </c>
      <c r="N36">
        <f t="shared" si="23"/>
        <v>27503</v>
      </c>
      <c r="O36">
        <f t="shared" si="23"/>
        <v>24126</v>
      </c>
      <c r="P36">
        <f t="shared" si="23"/>
        <v>23786</v>
      </c>
      <c r="Q36">
        <f t="shared" si="23"/>
        <v>41488</v>
      </c>
      <c r="R36">
        <f t="shared" si="23"/>
        <v>29979</v>
      </c>
      <c r="S36">
        <f t="shared" si="23"/>
        <v>23076</v>
      </c>
      <c r="T36">
        <f t="shared" si="23"/>
        <v>24894</v>
      </c>
      <c r="U36">
        <f t="shared" si="23"/>
        <v>36016</v>
      </c>
      <c r="V36">
        <f t="shared" si="23"/>
        <v>28318</v>
      </c>
      <c r="W36">
        <f t="shared" si="23"/>
        <v>22998</v>
      </c>
      <c r="X36">
        <f>X25-X30-X31-X33-X34</f>
        <v>26185</v>
      </c>
      <c r="Z36">
        <f t="shared" si="23"/>
        <v>63930</v>
      </c>
      <c r="AA36">
        <f t="shared" si="23"/>
        <v>66288</v>
      </c>
      <c r="AB36">
        <f t="shared" si="23"/>
        <v>108949</v>
      </c>
      <c r="AC36">
        <f t="shared" si="23"/>
        <v>119437</v>
      </c>
      <c r="AD36">
        <f t="shared" si="23"/>
        <v>113517</v>
      </c>
      <c r="AE36">
        <f t="shared" si="23"/>
        <v>120199.04578489682</v>
      </c>
      <c r="AF36">
        <f t="shared" si="23"/>
        <v>127179.9587832439</v>
      </c>
      <c r="AG36">
        <f t="shared" si="23"/>
        <v>134463.59737029963</v>
      </c>
      <c r="AH36">
        <f t="shared" si="23"/>
        <v>142053.12225435593</v>
      </c>
      <c r="AI36">
        <f t="shared" si="23"/>
        <v>149950.9652669894</v>
      </c>
      <c r="AJ36">
        <f t="shared" si="23"/>
        <v>158158.8019490779</v>
      </c>
      <c r="AK36">
        <f t="shared" si="23"/>
        <v>166677.52809649881</v>
      </c>
      <c r="AL36">
        <f t="shared" si="23"/>
        <v>175507.24038806168</v>
      </c>
      <c r="AM36">
        <f t="shared" si="23"/>
        <v>184647.22117707078</v>
      </c>
      <c r="AN36">
        <f t="shared" si="23"/>
        <v>194095.92748750985</v>
      </c>
      <c r="AO36">
        <f t="shared" si="23"/>
        <v>203850.98421668384</v>
      </c>
      <c r="AP36">
        <f t="shared" si="23"/>
        <v>213909.18150870985</v>
      </c>
      <c r="AQ36">
        <f t="shared" si="23"/>
        <v>224266.47622788875</v>
      </c>
      <c r="AR36">
        <f t="shared" si="23"/>
        <v>234917.99742806063</v>
      </c>
      <c r="AS36">
        <f t="shared" si="23"/>
        <v>245858.05568381955</v>
      </c>
      <c r="AT36">
        <f t="shared" si="23"/>
        <v>257080.1561221451</v>
      </c>
      <c r="AU36">
        <f t="shared" si="23"/>
        <v>268577.01496875513</v>
      </c>
      <c r="AV36">
        <f t="shared" si="23"/>
        <v>280340.57940240635</v>
      </c>
      <c r="AW36">
        <f t="shared" si="23"/>
        <v>292362.050492496</v>
      </c>
      <c r="AX36">
        <f t="shared" si="23"/>
        <v>304631.90898065845</v>
      </c>
      <c r="AY36">
        <f t="shared" si="23"/>
        <v>317139.94365555886</v>
      </c>
      <c r="AZ36">
        <f t="shared" si="23"/>
        <v>329875.28206166747</v>
      </c>
      <c r="BA36">
        <f t="shared" si="23"/>
        <v>342826.42327734496</v>
      </c>
      <c r="BB36">
        <f t="shared" si="23"/>
        <v>355981.2724949175</v>
      </c>
    </row>
    <row r="37" spans="1:54" x14ac:dyDescent="0.35">
      <c r="AB37" s="101"/>
      <c r="AC37" s="101"/>
    </row>
    <row r="38" spans="1:54" x14ac:dyDescent="0.35">
      <c r="A38" t="s">
        <v>389</v>
      </c>
      <c r="C38">
        <v>672</v>
      </c>
      <c r="D38">
        <v>502</v>
      </c>
      <c r="E38">
        <v>560</v>
      </c>
      <c r="F38">
        <v>378</v>
      </c>
      <c r="G38">
        <v>367</v>
      </c>
      <c r="H38">
        <v>502</v>
      </c>
      <c r="I38">
        <v>349</v>
      </c>
      <c r="J38">
        <v>282</v>
      </c>
      <c r="K38">
        <v>46</v>
      </c>
      <c r="L38">
        <v>126</v>
      </c>
      <c r="M38">
        <v>45</v>
      </c>
      <c r="N38">
        <v>508</v>
      </c>
      <c r="O38">
        <v>243</v>
      </c>
      <c r="P38">
        <v>-538</v>
      </c>
      <c r="Q38">
        <v>-247</v>
      </c>
      <c r="R38">
        <v>160</v>
      </c>
      <c r="S38">
        <v>-10</v>
      </c>
      <c r="T38">
        <v>-237</v>
      </c>
      <c r="U38">
        <v>-393</v>
      </c>
      <c r="V38">
        <v>64</v>
      </c>
      <c r="W38">
        <v>-265</v>
      </c>
      <c r="Z38">
        <f>SUM(E38:H38)</f>
        <v>1807</v>
      </c>
      <c r="AA38">
        <f>SUM(I38:L38)</f>
        <v>803</v>
      </c>
      <c r="AB38">
        <f>SUM(M38:P38)</f>
        <v>258</v>
      </c>
      <c r="AC38">
        <f>SUM(Q38:T38)</f>
        <v>-334</v>
      </c>
    </row>
    <row r="39" spans="1:54" x14ac:dyDescent="0.35">
      <c r="AC39" s="101"/>
    </row>
    <row r="40" spans="1:54" x14ac:dyDescent="0.35">
      <c r="A40" t="s">
        <v>390</v>
      </c>
      <c r="C40">
        <f t="shared" ref="C40:W40" si="24">C26+C27-C30-C31-C33-C34+C38</f>
        <v>13284</v>
      </c>
      <c r="D40">
        <f t="shared" si="24"/>
        <v>16127</v>
      </c>
      <c r="E40">
        <f t="shared" si="24"/>
        <v>23906</v>
      </c>
      <c r="F40">
        <f t="shared" si="24"/>
        <v>13793</v>
      </c>
      <c r="G40">
        <f t="shared" si="24"/>
        <v>11911</v>
      </c>
      <c r="H40">
        <f t="shared" si="24"/>
        <v>16127</v>
      </c>
      <c r="I40">
        <f t="shared" si="24"/>
        <v>25918</v>
      </c>
      <c r="J40">
        <f t="shared" si="24"/>
        <v>13135</v>
      </c>
      <c r="K40">
        <f t="shared" si="24"/>
        <v>13137</v>
      </c>
      <c r="L40">
        <f t="shared" si="24"/>
        <v>14901</v>
      </c>
      <c r="M40">
        <f t="shared" si="24"/>
        <v>33579</v>
      </c>
      <c r="N40">
        <f t="shared" si="24"/>
        <v>28011</v>
      </c>
      <c r="O40">
        <f t="shared" si="24"/>
        <v>24369</v>
      </c>
      <c r="P40">
        <f t="shared" si="24"/>
        <v>23248</v>
      </c>
      <c r="Q40">
        <f t="shared" si="24"/>
        <v>41241</v>
      </c>
      <c r="R40">
        <f t="shared" si="24"/>
        <v>30139</v>
      </c>
      <c r="S40">
        <f t="shared" si="24"/>
        <v>23066</v>
      </c>
      <c r="T40">
        <f t="shared" si="24"/>
        <v>24657</v>
      </c>
      <c r="U40">
        <f t="shared" si="24"/>
        <v>35623</v>
      </c>
      <c r="V40">
        <f t="shared" si="24"/>
        <v>28382</v>
      </c>
      <c r="W40">
        <f t="shared" si="24"/>
        <v>22733</v>
      </c>
      <c r="Z40">
        <f>SUM(E40:H40)</f>
        <v>65737</v>
      </c>
      <c r="AA40">
        <f>SUM(I40:L40)</f>
        <v>67091</v>
      </c>
      <c r="AB40">
        <f>SUM(M40:P40)</f>
        <v>109207</v>
      </c>
      <c r="AC40">
        <f>SUM(Q40:T40)</f>
        <v>119103</v>
      </c>
    </row>
    <row r="41" spans="1:54" x14ac:dyDescent="0.35">
      <c r="A41" t="s">
        <v>391</v>
      </c>
      <c r="C41">
        <v>1765</v>
      </c>
      <c r="D41">
        <v>2441</v>
      </c>
      <c r="E41">
        <v>3941</v>
      </c>
      <c r="F41">
        <v>2232</v>
      </c>
      <c r="G41">
        <v>1867</v>
      </c>
      <c r="H41">
        <v>2441</v>
      </c>
      <c r="I41">
        <v>3682</v>
      </c>
      <c r="J41">
        <v>1886</v>
      </c>
      <c r="K41">
        <v>1884</v>
      </c>
      <c r="L41">
        <v>2228</v>
      </c>
      <c r="M41">
        <v>4824</v>
      </c>
      <c r="N41">
        <v>4381</v>
      </c>
      <c r="O41">
        <v>2625</v>
      </c>
      <c r="P41">
        <v>2697</v>
      </c>
      <c r="Q41">
        <v>6611</v>
      </c>
      <c r="R41">
        <v>5129</v>
      </c>
      <c r="S41">
        <v>3624</v>
      </c>
      <c r="T41">
        <v>3936</v>
      </c>
      <c r="U41">
        <v>5625</v>
      </c>
      <c r="V41">
        <v>4222</v>
      </c>
      <c r="W41">
        <v>2852</v>
      </c>
      <c r="Z41">
        <f>SUM(E41:H41)</f>
        <v>10481</v>
      </c>
      <c r="AA41">
        <f>SUM(I41:L41)</f>
        <v>9680</v>
      </c>
      <c r="AB41">
        <f>SUM(M41:P41)</f>
        <v>14527</v>
      </c>
      <c r="AC41">
        <f>SUM(Q41:T41)</f>
        <v>19300</v>
      </c>
    </row>
    <row r="42" spans="1:54" x14ac:dyDescent="0.35">
      <c r="A42" t="s">
        <v>392</v>
      </c>
      <c r="C42">
        <f t="shared" ref="C42:W42" si="25">C40-C41</f>
        <v>11519</v>
      </c>
      <c r="D42">
        <f t="shared" si="25"/>
        <v>13686</v>
      </c>
      <c r="E42">
        <f t="shared" si="25"/>
        <v>19965</v>
      </c>
      <c r="F42">
        <f t="shared" si="25"/>
        <v>11561</v>
      </c>
      <c r="G42">
        <f t="shared" si="25"/>
        <v>10044</v>
      </c>
      <c r="H42">
        <f t="shared" si="25"/>
        <v>13686</v>
      </c>
      <c r="I42">
        <f t="shared" si="25"/>
        <v>22236</v>
      </c>
      <c r="J42">
        <f t="shared" si="25"/>
        <v>11249</v>
      </c>
      <c r="K42">
        <f t="shared" si="25"/>
        <v>11253</v>
      </c>
      <c r="L42">
        <f t="shared" si="25"/>
        <v>12673</v>
      </c>
      <c r="M42">
        <f t="shared" si="25"/>
        <v>28755</v>
      </c>
      <c r="N42">
        <f t="shared" si="25"/>
        <v>23630</v>
      </c>
      <c r="O42">
        <f t="shared" si="25"/>
        <v>21744</v>
      </c>
      <c r="P42">
        <f t="shared" si="25"/>
        <v>20551</v>
      </c>
      <c r="Q42">
        <f t="shared" si="25"/>
        <v>34630</v>
      </c>
      <c r="R42">
        <f t="shared" si="25"/>
        <v>25010</v>
      </c>
      <c r="S42">
        <f t="shared" si="25"/>
        <v>19442</v>
      </c>
      <c r="T42">
        <f t="shared" si="25"/>
        <v>20721</v>
      </c>
      <c r="U42">
        <f t="shared" si="25"/>
        <v>29998</v>
      </c>
      <c r="V42">
        <f t="shared" si="25"/>
        <v>24160</v>
      </c>
      <c r="W42">
        <f t="shared" si="25"/>
        <v>19881</v>
      </c>
    </row>
    <row r="45" spans="1:54" x14ac:dyDescent="0.35">
      <c r="A45" t="s">
        <v>393</v>
      </c>
      <c r="E45">
        <v>3395</v>
      </c>
      <c r="F45">
        <v>6435</v>
      </c>
      <c r="G45">
        <v>9368</v>
      </c>
      <c r="H45">
        <v>12547</v>
      </c>
      <c r="I45">
        <v>2816</v>
      </c>
      <c r="J45">
        <v>5602</v>
      </c>
      <c r="K45">
        <v>8354</v>
      </c>
      <c r="L45">
        <v>11056</v>
      </c>
      <c r="M45">
        <v>2666</v>
      </c>
      <c r="N45">
        <v>5463</v>
      </c>
      <c r="O45">
        <v>8295</v>
      </c>
      <c r="P45">
        <v>11284</v>
      </c>
      <c r="Q45">
        <v>2697</v>
      </c>
      <c r="R45">
        <v>5434</v>
      </c>
      <c r="S45">
        <v>8239</v>
      </c>
      <c r="T45">
        <v>11104</v>
      </c>
      <c r="U45">
        <v>2916</v>
      </c>
      <c r="V45">
        <v>5814</v>
      </c>
      <c r="W45">
        <v>8866</v>
      </c>
    </row>
    <row r="46" spans="1:54" x14ac:dyDescent="0.35">
      <c r="A46" t="s">
        <v>394</v>
      </c>
      <c r="E46">
        <v>1559</v>
      </c>
      <c r="F46">
        <v>3073</v>
      </c>
      <c r="G46">
        <v>4569</v>
      </c>
      <c r="H46">
        <v>6068</v>
      </c>
      <c r="I46">
        <v>1710</v>
      </c>
      <c r="J46">
        <v>3407</v>
      </c>
      <c r="K46">
        <v>5105</v>
      </c>
      <c r="L46">
        <v>6829</v>
      </c>
      <c r="M46">
        <v>2020</v>
      </c>
      <c r="N46">
        <v>4001</v>
      </c>
      <c r="O46">
        <v>5961</v>
      </c>
      <c r="P46">
        <v>7906</v>
      </c>
      <c r="Q46">
        <v>2265</v>
      </c>
      <c r="R46">
        <v>4517</v>
      </c>
      <c r="S46">
        <v>6760</v>
      </c>
      <c r="T46">
        <v>9038</v>
      </c>
      <c r="U46">
        <v>2905</v>
      </c>
      <c r="V46">
        <v>5591</v>
      </c>
      <c r="W46">
        <v>8208</v>
      </c>
    </row>
    <row r="47" spans="1:54" x14ac:dyDescent="0.35">
      <c r="A47" t="s">
        <v>395</v>
      </c>
      <c r="E47">
        <v>1318</v>
      </c>
      <c r="F47">
        <v>1037</v>
      </c>
      <c r="G47">
        <v>2325</v>
      </c>
      <c r="H47">
        <v>2036</v>
      </c>
      <c r="I47">
        <v>1377</v>
      </c>
      <c r="J47">
        <v>1136</v>
      </c>
      <c r="K47">
        <v>2804</v>
      </c>
      <c r="L47">
        <v>2754</v>
      </c>
      <c r="M47">
        <v>2861</v>
      </c>
      <c r="N47">
        <v>3160</v>
      </c>
      <c r="O47">
        <v>5855</v>
      </c>
      <c r="P47">
        <v>6556</v>
      </c>
      <c r="Q47">
        <v>2888</v>
      </c>
      <c r="R47">
        <v>3218</v>
      </c>
      <c r="S47">
        <v>5915</v>
      </c>
      <c r="T47">
        <v>6223</v>
      </c>
      <c r="U47">
        <v>2316</v>
      </c>
      <c r="V47">
        <v>2734</v>
      </c>
      <c r="W47">
        <v>5119</v>
      </c>
    </row>
    <row r="48" spans="1:54" x14ac:dyDescent="0.35">
      <c r="A48" t="s">
        <v>117</v>
      </c>
      <c r="E48">
        <v>3355</v>
      </c>
      <c r="F48">
        <v>5718</v>
      </c>
      <c r="G48">
        <v>7718</v>
      </c>
      <c r="H48">
        <v>10495</v>
      </c>
      <c r="I48">
        <v>2107</v>
      </c>
      <c r="J48">
        <v>3960</v>
      </c>
      <c r="K48">
        <v>5525</v>
      </c>
      <c r="L48">
        <v>7309</v>
      </c>
      <c r="M48">
        <v>3500</v>
      </c>
      <c r="N48">
        <v>5769</v>
      </c>
      <c r="O48">
        <v>7862</v>
      </c>
      <c r="P48">
        <v>11085</v>
      </c>
      <c r="Q48">
        <v>2803</v>
      </c>
      <c r="R48">
        <v>5317</v>
      </c>
      <c r="S48">
        <v>7419</v>
      </c>
      <c r="T48">
        <v>10708</v>
      </c>
      <c r="U48">
        <v>3787</v>
      </c>
      <c r="V48">
        <v>6703</v>
      </c>
      <c r="W48">
        <v>8796</v>
      </c>
    </row>
    <row r="49" spans="1:29" x14ac:dyDescent="0.35">
      <c r="A49" t="s">
        <v>396</v>
      </c>
      <c r="E49">
        <v>3568</v>
      </c>
      <c r="F49">
        <v>7011</v>
      </c>
      <c r="G49">
        <v>10640</v>
      </c>
      <c r="H49">
        <v>14119</v>
      </c>
      <c r="I49">
        <v>3539</v>
      </c>
      <c r="J49">
        <v>6914</v>
      </c>
      <c r="K49">
        <v>10570</v>
      </c>
      <c r="L49">
        <v>14081</v>
      </c>
      <c r="M49">
        <v>3613</v>
      </c>
      <c r="N49">
        <v>7060</v>
      </c>
      <c r="O49">
        <v>10827</v>
      </c>
      <c r="P49">
        <v>14467</v>
      </c>
      <c r="Q49">
        <v>3732</v>
      </c>
      <c r="R49">
        <v>7327</v>
      </c>
      <c r="S49">
        <v>11138</v>
      </c>
      <c r="T49">
        <v>14841</v>
      </c>
      <c r="U49">
        <v>3768</v>
      </c>
      <c r="V49">
        <v>7418</v>
      </c>
      <c r="W49">
        <v>11267</v>
      </c>
    </row>
    <row r="50" spans="1:29" x14ac:dyDescent="0.35">
      <c r="A50" t="s">
        <v>397</v>
      </c>
      <c r="E50">
        <v>8796</v>
      </c>
      <c r="F50">
        <v>32498</v>
      </c>
      <c r="G50">
        <v>49463</v>
      </c>
      <c r="H50">
        <v>66897</v>
      </c>
      <c r="I50">
        <v>20706</v>
      </c>
      <c r="J50">
        <v>39280</v>
      </c>
      <c r="K50">
        <v>55171</v>
      </c>
      <c r="L50">
        <v>72358</v>
      </c>
      <c r="M50">
        <v>24775</v>
      </c>
      <c r="N50">
        <v>43323</v>
      </c>
      <c r="O50">
        <v>66223</v>
      </c>
      <c r="P50">
        <v>85971</v>
      </c>
      <c r="Q50">
        <v>20478</v>
      </c>
      <c r="R50">
        <v>43109</v>
      </c>
      <c r="S50">
        <v>64974</v>
      </c>
      <c r="T50">
        <v>89402</v>
      </c>
      <c r="U50">
        <v>19475</v>
      </c>
      <c r="V50">
        <v>39069</v>
      </c>
      <c r="W50">
        <v>56547</v>
      </c>
    </row>
    <row r="52" spans="1:29" x14ac:dyDescent="0.35">
      <c r="A52" t="s">
        <v>393</v>
      </c>
      <c r="E52">
        <f>E45</f>
        <v>3395</v>
      </c>
      <c r="F52">
        <f t="shared" ref="F52" si="26">F45-E45</f>
        <v>3040</v>
      </c>
      <c r="G52">
        <f t="shared" ref="G52" si="27">G45-F45</f>
        <v>2933</v>
      </c>
      <c r="H52">
        <f t="shared" ref="H52" si="28">H45-G45</f>
        <v>3179</v>
      </c>
      <c r="I52">
        <f>I45</f>
        <v>2816</v>
      </c>
      <c r="J52">
        <f t="shared" ref="J52:K52" si="29">J45-I45</f>
        <v>2786</v>
      </c>
      <c r="K52">
        <f t="shared" si="29"/>
        <v>2752</v>
      </c>
      <c r="L52">
        <f>L45-K45</f>
        <v>2702</v>
      </c>
      <c r="M52">
        <f>M45</f>
        <v>2666</v>
      </c>
      <c r="N52">
        <f>N45-M45</f>
        <v>2797</v>
      </c>
      <c r="O52">
        <f>O45-N45</f>
        <v>2832</v>
      </c>
      <c r="P52">
        <f>P45-O45</f>
        <v>2989</v>
      </c>
      <c r="Q52">
        <f>Q45</f>
        <v>2697</v>
      </c>
      <c r="R52">
        <f>R45-Q45</f>
        <v>2737</v>
      </c>
      <c r="S52">
        <f>S45-R45</f>
        <v>2805</v>
      </c>
      <c r="T52">
        <f>T45-S45</f>
        <v>2865</v>
      </c>
      <c r="U52">
        <f>U45</f>
        <v>2916</v>
      </c>
      <c r="V52">
        <f>V45-U45</f>
        <v>2898</v>
      </c>
      <c r="W52">
        <f>W45-V45</f>
        <v>3052</v>
      </c>
      <c r="X52">
        <v>3262</v>
      </c>
      <c r="Z52">
        <f>SUM(E52:H52)</f>
        <v>12547</v>
      </c>
      <c r="AA52">
        <f>SUM(I52:L52)</f>
        <v>11056</v>
      </c>
      <c r="AB52">
        <f>SUM(M52:P52)</f>
        <v>11284</v>
      </c>
      <c r="AC52">
        <f>SUM(Q52:T52)</f>
        <v>11104</v>
      </c>
    </row>
    <row r="53" spans="1:29" x14ac:dyDescent="0.35">
      <c r="A53" t="s">
        <v>394</v>
      </c>
      <c r="E53">
        <f t="shared" ref="E53:E57" si="30">E46</f>
        <v>1559</v>
      </c>
      <c r="F53">
        <f t="shared" ref="F53" si="31">F46-E46</f>
        <v>1514</v>
      </c>
      <c r="G53">
        <f t="shared" ref="G53" si="32">G46-F46</f>
        <v>1496</v>
      </c>
      <c r="H53">
        <f t="shared" ref="H53" si="33">H46-G46</f>
        <v>1499</v>
      </c>
      <c r="I53">
        <f t="shared" ref="I53:I57" si="34">I46</f>
        <v>1710</v>
      </c>
      <c r="J53">
        <f t="shared" ref="J53:L57" si="35">J46-I46</f>
        <v>1697</v>
      </c>
      <c r="K53">
        <f t="shared" si="35"/>
        <v>1698</v>
      </c>
      <c r="L53">
        <f t="shared" si="35"/>
        <v>1724</v>
      </c>
      <c r="M53">
        <f t="shared" ref="M53:M57" si="36">M46</f>
        <v>2020</v>
      </c>
      <c r="N53">
        <f t="shared" ref="N53:P53" si="37">N46-M46</f>
        <v>1981</v>
      </c>
      <c r="O53">
        <f t="shared" si="37"/>
        <v>1960</v>
      </c>
      <c r="P53">
        <f t="shared" si="37"/>
        <v>1945</v>
      </c>
      <c r="Q53">
        <f t="shared" ref="Q53:Q57" si="38">Q46</f>
        <v>2265</v>
      </c>
      <c r="R53">
        <f t="shared" ref="R53:T53" si="39">R46-Q46</f>
        <v>2252</v>
      </c>
      <c r="S53">
        <f t="shared" si="39"/>
        <v>2243</v>
      </c>
      <c r="T53">
        <f t="shared" si="39"/>
        <v>2278</v>
      </c>
      <c r="U53">
        <f t="shared" ref="U53:U57" si="40">U46</f>
        <v>2905</v>
      </c>
      <c r="V53">
        <f t="shared" ref="V53:W53" si="41">V46-U46</f>
        <v>2686</v>
      </c>
      <c r="W53">
        <f t="shared" si="41"/>
        <v>2617</v>
      </c>
      <c r="Z53">
        <f t="shared" ref="Z53:Z57" si="42">SUM(E53:H53)</f>
        <v>6068</v>
      </c>
      <c r="AA53">
        <f t="shared" ref="AA53:AA57" si="43">SUM(I53:L53)</f>
        <v>6829</v>
      </c>
      <c r="AB53">
        <f t="shared" ref="AB53:AB57" si="44">SUM(M53:P53)</f>
        <v>7906</v>
      </c>
      <c r="AC53">
        <f t="shared" ref="AC53:AC57" si="45">SUM(Q53:T53)</f>
        <v>9038</v>
      </c>
    </row>
    <row r="54" spans="1:29" x14ac:dyDescent="0.35">
      <c r="A54" t="s">
        <v>395</v>
      </c>
      <c r="E54">
        <f t="shared" si="30"/>
        <v>1318</v>
      </c>
      <c r="F54">
        <f t="shared" ref="F54" si="46">F47-E47</f>
        <v>-281</v>
      </c>
      <c r="G54">
        <f t="shared" ref="G54" si="47">G47-F47</f>
        <v>1288</v>
      </c>
      <c r="H54">
        <f t="shared" ref="H54" si="48">H47-G47</f>
        <v>-289</v>
      </c>
      <c r="I54">
        <f t="shared" si="34"/>
        <v>1377</v>
      </c>
      <c r="J54">
        <f t="shared" si="35"/>
        <v>-241</v>
      </c>
      <c r="K54">
        <f t="shared" si="35"/>
        <v>1668</v>
      </c>
      <c r="L54">
        <f t="shared" si="35"/>
        <v>-50</v>
      </c>
      <c r="M54">
        <f t="shared" si="36"/>
        <v>2861</v>
      </c>
      <c r="N54">
        <f t="shared" ref="N54:P54" si="49">N47-M47</f>
        <v>299</v>
      </c>
      <c r="O54">
        <f t="shared" si="49"/>
        <v>2695</v>
      </c>
      <c r="P54">
        <f t="shared" si="49"/>
        <v>701</v>
      </c>
      <c r="Q54">
        <f t="shared" si="38"/>
        <v>2888</v>
      </c>
      <c r="R54">
        <f t="shared" ref="R54:T54" si="50">R47-Q47</f>
        <v>330</v>
      </c>
      <c r="S54">
        <f t="shared" si="50"/>
        <v>2697</v>
      </c>
      <c r="T54">
        <f t="shared" si="50"/>
        <v>308</v>
      </c>
      <c r="U54">
        <f t="shared" si="40"/>
        <v>2316</v>
      </c>
      <c r="V54">
        <f t="shared" ref="V54:W54" si="51">V47-U47</f>
        <v>418</v>
      </c>
      <c r="W54">
        <f t="shared" si="51"/>
        <v>2385</v>
      </c>
      <c r="Z54">
        <f t="shared" si="42"/>
        <v>2036</v>
      </c>
      <c r="AA54">
        <f t="shared" si="43"/>
        <v>2754</v>
      </c>
      <c r="AB54">
        <f t="shared" si="44"/>
        <v>6556</v>
      </c>
      <c r="AC54">
        <f t="shared" si="45"/>
        <v>6223</v>
      </c>
    </row>
    <row r="55" spans="1:29" x14ac:dyDescent="0.35">
      <c r="A55" t="s">
        <v>117</v>
      </c>
      <c r="E55">
        <f t="shared" si="30"/>
        <v>3355</v>
      </c>
      <c r="F55">
        <f t="shared" ref="F55" si="52">F48-E48</f>
        <v>2363</v>
      </c>
      <c r="G55">
        <f t="shared" ref="G55" si="53">G48-F48</f>
        <v>2000</v>
      </c>
      <c r="H55">
        <f t="shared" ref="H55" si="54">H48-G48</f>
        <v>2777</v>
      </c>
      <c r="I55">
        <f t="shared" si="34"/>
        <v>2107</v>
      </c>
      <c r="J55">
        <f t="shared" si="35"/>
        <v>1853</v>
      </c>
      <c r="K55">
        <f t="shared" si="35"/>
        <v>1565</v>
      </c>
      <c r="L55">
        <f t="shared" si="35"/>
        <v>1784</v>
      </c>
      <c r="M55">
        <f t="shared" si="36"/>
        <v>3500</v>
      </c>
      <c r="N55">
        <f t="shared" ref="N55:P55" si="55">N48-M48</f>
        <v>2269</v>
      </c>
      <c r="O55">
        <f t="shared" si="55"/>
        <v>2093</v>
      </c>
      <c r="P55">
        <f t="shared" si="55"/>
        <v>3223</v>
      </c>
      <c r="Q55">
        <f t="shared" si="38"/>
        <v>2803</v>
      </c>
      <c r="R55">
        <f t="shared" ref="R55:T55" si="56">R48-Q48</f>
        <v>2514</v>
      </c>
      <c r="S55">
        <f t="shared" si="56"/>
        <v>2102</v>
      </c>
      <c r="T55">
        <f t="shared" si="56"/>
        <v>3289</v>
      </c>
      <c r="U55">
        <f t="shared" si="40"/>
        <v>3787</v>
      </c>
      <c r="V55">
        <f t="shared" ref="V55:W55" si="57">V48-U48</f>
        <v>2916</v>
      </c>
      <c r="W55">
        <f t="shared" si="57"/>
        <v>2093</v>
      </c>
      <c r="Z55">
        <f t="shared" si="42"/>
        <v>10495</v>
      </c>
      <c r="AA55">
        <f t="shared" si="43"/>
        <v>7309</v>
      </c>
      <c r="AB55">
        <f t="shared" si="44"/>
        <v>11085</v>
      </c>
      <c r="AC55">
        <f t="shared" si="45"/>
        <v>10708</v>
      </c>
    </row>
    <row r="56" spans="1:29" x14ac:dyDescent="0.35">
      <c r="A56" t="s">
        <v>396</v>
      </c>
      <c r="E56">
        <f t="shared" si="30"/>
        <v>3568</v>
      </c>
      <c r="F56">
        <f t="shared" ref="F56" si="58">F49-E49</f>
        <v>3443</v>
      </c>
      <c r="G56">
        <f t="shared" ref="G56" si="59">G49-F49</f>
        <v>3629</v>
      </c>
      <c r="H56">
        <f t="shared" ref="H56" si="60">H49-G49</f>
        <v>3479</v>
      </c>
      <c r="I56">
        <f t="shared" si="34"/>
        <v>3539</v>
      </c>
      <c r="J56">
        <f t="shared" si="35"/>
        <v>3375</v>
      </c>
      <c r="K56">
        <f t="shared" si="35"/>
        <v>3656</v>
      </c>
      <c r="L56">
        <f t="shared" si="35"/>
        <v>3511</v>
      </c>
      <c r="M56">
        <f t="shared" si="36"/>
        <v>3613</v>
      </c>
      <c r="N56">
        <f t="shared" ref="N56:P56" si="61">N49-M49</f>
        <v>3447</v>
      </c>
      <c r="O56">
        <f t="shared" si="61"/>
        <v>3767</v>
      </c>
      <c r="P56">
        <f t="shared" si="61"/>
        <v>3640</v>
      </c>
      <c r="Q56">
        <f t="shared" si="38"/>
        <v>3732</v>
      </c>
      <c r="R56">
        <f t="shared" ref="R56:T56" si="62">R49-Q49</f>
        <v>3595</v>
      </c>
      <c r="S56">
        <f t="shared" si="62"/>
        <v>3811</v>
      </c>
      <c r="T56">
        <f t="shared" si="62"/>
        <v>3703</v>
      </c>
      <c r="U56">
        <f t="shared" si="40"/>
        <v>3768</v>
      </c>
      <c r="V56">
        <f t="shared" ref="V56:W56" si="63">V49-U49</f>
        <v>3650</v>
      </c>
      <c r="W56">
        <f t="shared" si="63"/>
        <v>3849</v>
      </c>
      <c r="Z56">
        <f t="shared" si="42"/>
        <v>14119</v>
      </c>
      <c r="AA56">
        <f t="shared" si="43"/>
        <v>14081</v>
      </c>
      <c r="AB56">
        <f t="shared" si="44"/>
        <v>14467</v>
      </c>
      <c r="AC56">
        <f t="shared" si="45"/>
        <v>14841</v>
      </c>
    </row>
    <row r="57" spans="1:29" x14ac:dyDescent="0.35">
      <c r="A57" t="s">
        <v>397</v>
      </c>
      <c r="E57">
        <f t="shared" si="30"/>
        <v>8796</v>
      </c>
      <c r="F57">
        <f t="shared" ref="F57" si="64">F50-E50</f>
        <v>23702</v>
      </c>
      <c r="G57">
        <f t="shared" ref="G57" si="65">G50-F50</f>
        <v>16965</v>
      </c>
      <c r="H57">
        <f t="shared" ref="H57" si="66">H50-G50</f>
        <v>17434</v>
      </c>
      <c r="I57">
        <f t="shared" si="34"/>
        <v>20706</v>
      </c>
      <c r="J57">
        <f>J50-I50</f>
        <v>18574</v>
      </c>
      <c r="K57">
        <f t="shared" si="35"/>
        <v>15891</v>
      </c>
      <c r="L57">
        <f t="shared" si="35"/>
        <v>17187</v>
      </c>
      <c r="M57">
        <f t="shared" si="36"/>
        <v>24775</v>
      </c>
      <c r="N57">
        <f t="shared" ref="N57:P57" si="67">N50-M50</f>
        <v>18548</v>
      </c>
      <c r="O57">
        <f t="shared" si="67"/>
        <v>22900</v>
      </c>
      <c r="P57">
        <f t="shared" si="67"/>
        <v>19748</v>
      </c>
      <c r="Q57">
        <f t="shared" si="38"/>
        <v>20478</v>
      </c>
      <c r="R57">
        <f t="shared" ref="R57:T57" si="68">R50-Q50</f>
        <v>22631</v>
      </c>
      <c r="S57">
        <f t="shared" si="68"/>
        <v>21865</v>
      </c>
      <c r="T57">
        <f t="shared" si="68"/>
        <v>24428</v>
      </c>
      <c r="U57">
        <f t="shared" si="40"/>
        <v>19475</v>
      </c>
      <c r="V57">
        <f t="shared" ref="V57:W57" si="69">V50-U50</f>
        <v>19594</v>
      </c>
      <c r="W57">
        <f t="shared" si="69"/>
        <v>17478</v>
      </c>
      <c r="Z57">
        <f t="shared" si="42"/>
        <v>66897</v>
      </c>
      <c r="AA57">
        <f t="shared" si="43"/>
        <v>72358</v>
      </c>
      <c r="AB57">
        <f t="shared" si="44"/>
        <v>85971</v>
      </c>
      <c r="AC57">
        <f t="shared" si="45"/>
        <v>89402</v>
      </c>
    </row>
    <row r="63" spans="1:29" x14ac:dyDescent="0.35">
      <c r="J63">
        <v>-1</v>
      </c>
    </row>
  </sheetData>
  <phoneticPr fontId="7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a73c8a-1af7-4183-b158-1cd1291da2b6">
      <Terms xmlns="http://schemas.microsoft.com/office/infopath/2007/PartnerControls"/>
    </lcf76f155ced4ddcb4097134ff3c332f>
    <TaxCatchAll xmlns="8c89d0e4-a8d9-42ba-a773-c59a56f7723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ABDA6886CF6498653E646AB2571ED" ma:contentTypeVersion="16" ma:contentTypeDescription="Create a new document." ma:contentTypeScope="" ma:versionID="235e0e40c567e6394453f2090fab65a6">
  <xsd:schema xmlns:xsd="http://www.w3.org/2001/XMLSchema" xmlns:xs="http://www.w3.org/2001/XMLSchema" xmlns:p="http://schemas.microsoft.com/office/2006/metadata/properties" xmlns:ns2="6ba73c8a-1af7-4183-b158-1cd1291da2b6" xmlns:ns3="8c89d0e4-a8d9-42ba-a773-c59a56f7723e" targetNamespace="http://schemas.microsoft.com/office/2006/metadata/properties" ma:root="true" ma:fieldsID="be2affa39fb2f3cdc665ba7b2e6a6e47" ns2:_="" ns3:_="">
    <xsd:import namespace="6ba73c8a-1af7-4183-b158-1cd1291da2b6"/>
    <xsd:import namespace="8c89d0e4-a8d9-42ba-a773-c59a56f7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a73c8a-1af7-4183-b158-1cd1291da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48f9566-069b-479b-843d-4f6c74a4a3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9d0e4-a8d9-42ba-a773-c59a56f77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20a6b64-fbb8-4bf5-b941-ddf64427d44d}" ma:internalName="TaxCatchAll" ma:showField="CatchAllData" ma:web="8c89d0e4-a8d9-42ba-a773-c59a56f7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F95F15-C902-4F29-BCC3-173A7BFB5290}">
  <ds:schemaRefs>
    <ds:schemaRef ds:uri="http://schemas.microsoft.com/office/infopath/2007/PartnerControls"/>
    <ds:schemaRef ds:uri="6ba73c8a-1af7-4183-b158-1cd1291da2b6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8c89d0e4-a8d9-42ba-a773-c59a56f7723e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206C075-38B2-4794-9284-163FF9CCDD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a73c8a-1af7-4183-b158-1cd1291da2b6"/>
    <ds:schemaRef ds:uri="8c89d0e4-a8d9-42ba-a773-c59a56f772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FB3ED4-AE09-4A5F-AFD9-51C7AB8401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OP</vt:lpstr>
      <vt:lpstr>COVID-19 impact</vt:lpstr>
      <vt:lpstr>Cifras_en_Millones</vt:lpstr>
      <vt:lpstr>Segments</vt:lpstr>
      <vt:lpstr>Peers</vt:lpstr>
      <vt:lpstr>Acuerdo</vt:lpstr>
      <vt:lpstr>ESG</vt:lpstr>
      <vt:lpstr>DCF</vt:lpstr>
      <vt:lpstr>DCFF</vt:lpstr>
      <vt:lpstr>Cifras_Originales</vt:lpstr>
      <vt:lpstr>Q</vt:lpstr>
      <vt:lpstr>Cifras_en_Millones!Print_Area</vt:lpstr>
      <vt:lpstr>OP!Print_Area</vt:lpstr>
    </vt:vector>
  </TitlesOfParts>
  <Company>HIL CONSULTORES, S.C.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E. HERNANDEZ P.</dc:creator>
  <cp:lastModifiedBy>Rosario la Spina</cp:lastModifiedBy>
  <cp:lastPrinted>2019-08-19T22:45:59Z</cp:lastPrinted>
  <dcterms:created xsi:type="dcterms:W3CDTF">2000-04-19T14:51:26Z</dcterms:created>
  <dcterms:modified xsi:type="dcterms:W3CDTF">2025-04-04T06:42:20Z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0x010100162ABDA6886CF6498653E646AB2571ED</vt:lpwstr>
  </property>
  <property fmtid="{D5CDD505-2E9C-101B-9397-08002B2CF9AE}" pid="3" name="MediaServiceImageTags">
    <vt:lpwstr/>
  </property>
</Properties>
</file>