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1st cycle/Team 2 (Jorge Freitas)/"/>
    </mc:Choice>
  </mc:AlternateContent>
  <xr:revisionPtr revIDLastSave="15025" documentId="13_ncr:1_{26D5CA1E-45FE-425A-8F05-72ED85C7BA47}" xr6:coauthVersionLast="47" xr6:coauthVersionMax="47" xr10:uidLastSave="{1B28880E-DD46-405E-BB62-F03D6D24E3B7}"/>
  <bookViews>
    <workbookView xWindow="-110" yWindow="-110" windowWidth="19420" windowHeight="10300" tabRatio="596" firstSheet="5" activeTab="6" xr2:uid="{00000000-000D-0000-FFFF-FFFF00000000}"/>
  </bookViews>
  <sheets>
    <sheet name="OP" sheetId="1" r:id="rId1"/>
    <sheet name="Segments" sheetId="3" r:id="rId2"/>
    <sheet name="Acuerdo" sheetId="11" state="hidden" r:id="rId3"/>
    <sheet name="Peers" sheetId="10" r:id="rId4"/>
    <sheet name="ESG" sheetId="19" r:id="rId5"/>
    <sheet name="DCF" sheetId="4" r:id="rId6"/>
    <sheet name="Assumptions" sheetId="22" r:id="rId7"/>
    <sheet name="Fin. Data" sheetId="16" r:id="rId8"/>
    <sheet name="Inputs" sheetId="17" r:id="rId9"/>
    <sheet name="Sector Impact" sheetId="18" state="hidden" r:id="rId10"/>
  </sheets>
  <externalReferences>
    <externalReference r:id="rId11"/>
  </externalReferences>
  <definedNames>
    <definedName name="_xlnm._FilterDatabase" localSheetId="6" hidden="1">Assumptions!$G$57:$U$78</definedName>
    <definedName name="_xlnm.Print_Area" localSheetId="0">OP!$A$1:$M$83</definedName>
    <definedName name="_xlnm.Print_Area" localSheetId="1">Segments!#REF!</definedName>
    <definedName name="Sectors" localSheetId="6">'[1]Sector Impact'!$K$4:$K$16</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1" i="10" l="1"/>
  <c r="E71" i="10"/>
  <c r="B88" i="17"/>
  <c r="B87" i="17"/>
  <c r="C4" i="22"/>
  <c r="F50" i="4" l="1"/>
  <c r="AC81" i="22"/>
  <c r="E67" i="4" l="1"/>
  <c r="Y81" i="22"/>
  <c r="AB81" i="22"/>
  <c r="Z81" i="22"/>
  <c r="W81" i="22"/>
  <c r="AA81" i="22"/>
  <c r="X81" i="22"/>
  <c r="V81" i="22"/>
  <c r="S81" i="22"/>
  <c r="T81" i="22"/>
  <c r="U81" i="22"/>
  <c r="R81" i="22"/>
  <c r="P81" i="22"/>
  <c r="Q81" i="22"/>
  <c r="M81" i="22"/>
  <c r="N81" i="22"/>
  <c r="O81" i="22"/>
  <c r="D27" i="4"/>
  <c r="F27" i="4"/>
  <c r="E27" i="4"/>
  <c r="H39" i="22"/>
  <c r="K5" i="4" s="1"/>
  <c r="E40" i="22"/>
  <c r="H7" i="4" s="1"/>
  <c r="D40" i="22"/>
  <c r="G7" i="4" s="1"/>
  <c r="I82" i="22"/>
  <c r="F82" i="22"/>
  <c r="E82" i="22"/>
  <c r="D82" i="22"/>
  <c r="D81" i="22"/>
  <c r="I78" i="22"/>
  <c r="L81" i="22"/>
  <c r="K81" i="22"/>
  <c r="J81" i="22"/>
  <c r="H81" i="22"/>
  <c r="G81" i="22"/>
  <c r="F81" i="22"/>
  <c r="C81" i="22"/>
  <c r="E81" i="22"/>
  <c r="AO135" i="17"/>
  <c r="AO137" i="17"/>
  <c r="AO138" i="17"/>
  <c r="H40" i="22"/>
  <c r="K7" i="4" s="1"/>
  <c r="E60" i="4"/>
  <c r="G40" i="22"/>
  <c r="J7" i="4" s="1"/>
  <c r="F40" i="22"/>
  <c r="I7" i="4" s="1"/>
  <c r="I40" i="22"/>
  <c r="L7" i="4" s="1"/>
  <c r="J40" i="22"/>
  <c r="M7" i="4" s="1"/>
  <c r="K40" i="22"/>
  <c r="N7" i="4" s="1"/>
  <c r="L40" i="22"/>
  <c r="O7" i="4" s="1"/>
  <c r="H5" i="4"/>
  <c r="G5" i="4"/>
  <c r="D28" i="22"/>
  <c r="E28" i="22"/>
  <c r="F28" i="22"/>
  <c r="G28" i="22"/>
  <c r="I28" i="22"/>
  <c r="J28" i="22"/>
  <c r="K28" i="22"/>
  <c r="L28" i="22"/>
  <c r="C28" i="22"/>
  <c r="P59" i="22"/>
  <c r="P60" i="22"/>
  <c r="P61" i="22"/>
  <c r="P62" i="22"/>
  <c r="P63" i="22"/>
  <c r="P64" i="22"/>
  <c r="P65" i="22"/>
  <c r="P66" i="22"/>
  <c r="P67" i="22"/>
  <c r="P68" i="22"/>
  <c r="P69" i="22"/>
  <c r="P70" i="22"/>
  <c r="P71" i="22"/>
  <c r="P72" i="22"/>
  <c r="P73" i="22"/>
  <c r="P74" i="22"/>
  <c r="P75" i="22"/>
  <c r="P76" i="22"/>
  <c r="P77" i="22"/>
  <c r="P58" i="22"/>
  <c r="N78" i="22"/>
  <c r="Z63" i="22"/>
  <c r="K78" i="22"/>
  <c r="P78" i="22" l="1"/>
  <c r="H49" i="10" l="1"/>
  <c r="F49" i="10"/>
  <c r="E49" i="10"/>
  <c r="D49" i="10"/>
  <c r="G49" i="10"/>
  <c r="I46" i="10"/>
  <c r="G46" i="10"/>
  <c r="E45" i="10"/>
  <c r="C43" i="10"/>
  <c r="D43" i="10"/>
  <c r="E43" i="10"/>
  <c r="F43" i="10"/>
  <c r="G43" i="10"/>
  <c r="H43" i="10"/>
  <c r="D64" i="4"/>
  <c r="D63" i="4"/>
  <c r="D60" i="4"/>
  <c r="D57" i="4"/>
  <c r="C44" i="10" l="1"/>
  <c r="D44" i="10"/>
  <c r="E44" i="10"/>
  <c r="F44" i="10"/>
  <c r="G44" i="10"/>
  <c r="H44" i="10"/>
  <c r="D29" i="22"/>
  <c r="E29" i="22"/>
  <c r="F29" i="22"/>
  <c r="G29" i="22"/>
  <c r="I29" i="22"/>
  <c r="J29" i="22"/>
  <c r="K29" i="22"/>
  <c r="L29" i="22"/>
  <c r="C29" i="22"/>
  <c r="L27" i="22"/>
  <c r="C27" i="22"/>
  <c r="BY9853" i="4"/>
  <c r="BZ9853" i="4" s="1"/>
  <c r="CA9853" i="4" s="1"/>
  <c r="E178" i="22"/>
  <c r="F178" i="22"/>
  <c r="G178" i="22"/>
  <c r="H178" i="22"/>
  <c r="I178" i="22"/>
  <c r="J178" i="22"/>
  <c r="K178" i="22"/>
  <c r="L178" i="22"/>
  <c r="M178" i="22"/>
  <c r="N178" i="22"/>
  <c r="O178" i="22" s="1"/>
  <c r="D178" i="22"/>
  <c r="C178" i="22"/>
  <c r="C180" i="22"/>
  <c r="E180" i="22"/>
  <c r="F180" i="22"/>
  <c r="G180" i="22"/>
  <c r="H180" i="22"/>
  <c r="I180" i="22"/>
  <c r="J180" i="22"/>
  <c r="K180" i="22"/>
  <c r="L180" i="22"/>
  <c r="M180" i="22"/>
  <c r="N180" i="22"/>
  <c r="O180" i="22" s="1"/>
  <c r="D180" i="22"/>
  <c r="D176" i="22"/>
  <c r="E176" i="22" s="1"/>
  <c r="F176" i="22" s="1"/>
  <c r="G176" i="22" s="1"/>
  <c r="H176" i="22" s="1"/>
  <c r="I176" i="22" s="1"/>
  <c r="J176" i="22" s="1"/>
  <c r="K176" i="22" s="1"/>
  <c r="L176" i="22" s="1"/>
  <c r="M176" i="22" s="1"/>
  <c r="E148" i="22"/>
  <c r="F148" i="22"/>
  <c r="G148" i="22"/>
  <c r="H148" i="22"/>
  <c r="I148" i="22"/>
  <c r="J148" i="22"/>
  <c r="K148" i="22"/>
  <c r="L148" i="22"/>
  <c r="M148" i="22"/>
  <c r="N148" i="22"/>
  <c r="D148" i="22"/>
  <c r="C148" i="22"/>
  <c r="O176" i="22"/>
  <c r="P176" i="22" s="1"/>
  <c r="Q176" i="22" s="1"/>
  <c r="R176" i="22" s="1"/>
  <c r="S176" i="22" s="1"/>
  <c r="T176" i="22" s="1"/>
  <c r="U176" i="22" s="1"/>
  <c r="V176" i="22" s="1"/>
  <c r="W176" i="22" s="1"/>
  <c r="X176" i="22" s="1"/>
  <c r="Y176" i="22" s="1"/>
  <c r="Z176" i="22" s="1"/>
  <c r="AA176" i="22" s="1"/>
  <c r="AB176" i="22" s="1"/>
  <c r="AC176" i="22" s="1"/>
  <c r="AD176" i="22" s="1"/>
  <c r="AE176" i="22" s="1"/>
  <c r="AF176" i="22" s="1"/>
  <c r="AG176" i="22" s="1"/>
  <c r="AH176" i="22" s="1"/>
  <c r="AI176" i="22" s="1"/>
  <c r="AJ176" i="22" s="1"/>
  <c r="AK176" i="22" s="1"/>
  <c r="AL176" i="22" s="1"/>
  <c r="AM176" i="22" s="1"/>
  <c r="AN176" i="22" s="1"/>
  <c r="E151" i="22"/>
  <c r="F151" i="22"/>
  <c r="G151" i="22"/>
  <c r="H151" i="22"/>
  <c r="I151" i="22"/>
  <c r="J151" i="22"/>
  <c r="K151" i="22"/>
  <c r="L151" i="22"/>
  <c r="M151" i="22"/>
  <c r="N151" i="22"/>
  <c r="D151" i="22"/>
  <c r="E143" i="22"/>
  <c r="F143" i="22"/>
  <c r="G143" i="22"/>
  <c r="H143" i="22"/>
  <c r="I143" i="22"/>
  <c r="J143" i="22"/>
  <c r="K143" i="22"/>
  <c r="L143" i="22"/>
  <c r="M143" i="22"/>
  <c r="N143" i="22"/>
  <c r="D143" i="22"/>
  <c r="D139" i="22"/>
  <c r="E139" i="22"/>
  <c r="F139" i="22"/>
  <c r="G139" i="22"/>
  <c r="H139" i="22"/>
  <c r="I139" i="22"/>
  <c r="J139" i="22"/>
  <c r="K139" i="22"/>
  <c r="L139" i="22"/>
  <c r="M139" i="22"/>
  <c r="N139" i="22"/>
  <c r="C139" i="22"/>
  <c r="D142" i="22"/>
  <c r="E142" i="22"/>
  <c r="F142" i="22"/>
  <c r="G142" i="22"/>
  <c r="H142" i="22"/>
  <c r="I142" i="22"/>
  <c r="J142" i="22"/>
  <c r="K142" i="22"/>
  <c r="L142" i="22"/>
  <c r="M142" i="22"/>
  <c r="N142" i="22"/>
  <c r="C142" i="22"/>
  <c r="N141" i="22"/>
  <c r="E141" i="22"/>
  <c r="F141" i="22"/>
  <c r="G141" i="22"/>
  <c r="H141" i="22"/>
  <c r="I141" i="22"/>
  <c r="J141" i="22"/>
  <c r="K141" i="22"/>
  <c r="L141" i="22"/>
  <c r="M141" i="22"/>
  <c r="D141" i="22"/>
  <c r="C141" i="22"/>
  <c r="D137" i="22"/>
  <c r="E137" i="22" s="1"/>
  <c r="F137" i="22" s="1"/>
  <c r="G137" i="22" s="1"/>
  <c r="H137" i="22" s="1"/>
  <c r="I137" i="22" s="1"/>
  <c r="J137" i="22" s="1"/>
  <c r="K137" i="22" s="1"/>
  <c r="L137" i="22" s="1"/>
  <c r="M137" i="22" s="1"/>
  <c r="N137" i="22" s="1"/>
  <c r="N132" i="22"/>
  <c r="E132" i="22"/>
  <c r="F132" i="22"/>
  <c r="G132" i="22"/>
  <c r="H132" i="22"/>
  <c r="I132" i="22"/>
  <c r="J132" i="22"/>
  <c r="K132" i="22"/>
  <c r="L132" i="22"/>
  <c r="M132" i="22"/>
  <c r="D132" i="22"/>
  <c r="C132" i="22"/>
  <c r="E134" i="22"/>
  <c r="F134" i="22"/>
  <c r="G134" i="22"/>
  <c r="H134" i="22"/>
  <c r="I134" i="22"/>
  <c r="J134" i="22"/>
  <c r="K134" i="22"/>
  <c r="L134" i="22"/>
  <c r="M134" i="22"/>
  <c r="N134" i="22"/>
  <c r="D134" i="22"/>
  <c r="E133" i="22"/>
  <c r="F133" i="22"/>
  <c r="G133" i="22"/>
  <c r="H133" i="22"/>
  <c r="I133" i="22"/>
  <c r="J133" i="22"/>
  <c r="K133" i="22"/>
  <c r="L133" i="22"/>
  <c r="M133" i="22"/>
  <c r="N133" i="22"/>
  <c r="D133" i="22"/>
  <c r="D129" i="22"/>
  <c r="E129" i="22"/>
  <c r="F129" i="22"/>
  <c r="G129" i="22"/>
  <c r="H129" i="22"/>
  <c r="I129" i="22"/>
  <c r="J129" i="22"/>
  <c r="K129" i="22"/>
  <c r="L129" i="22"/>
  <c r="M129" i="22"/>
  <c r="N129" i="22"/>
  <c r="C129" i="22"/>
  <c r="D126" i="22"/>
  <c r="E126" i="22" s="1"/>
  <c r="F126" i="22" s="1"/>
  <c r="G126" i="22" s="1"/>
  <c r="H126" i="22" s="1"/>
  <c r="I126" i="22" s="1"/>
  <c r="J126" i="22" s="1"/>
  <c r="K126" i="22" s="1"/>
  <c r="L126" i="22" s="1"/>
  <c r="M126" i="22" s="1"/>
  <c r="N126" i="22" s="1"/>
  <c r="E65" i="4"/>
  <c r="D65" i="4"/>
  <c r="D66" i="4"/>
  <c r="AK29" i="22"/>
  <c r="M17" i="22" s="1"/>
  <c r="AC29" i="22"/>
  <c r="E17" i="22" s="1"/>
  <c r="AD29" i="22"/>
  <c r="F17" i="22" s="1"/>
  <c r="AE29" i="22"/>
  <c r="G17" i="22" s="1"/>
  <c r="AF29" i="22"/>
  <c r="H17" i="22" s="1"/>
  <c r="AG29" i="22"/>
  <c r="I17" i="22" s="1"/>
  <c r="AH29" i="22"/>
  <c r="J17" i="22" s="1"/>
  <c r="AI29" i="22"/>
  <c r="K17" i="22" s="1"/>
  <c r="AJ29" i="22"/>
  <c r="L17" i="22" s="1"/>
  <c r="AB29" i="22"/>
  <c r="D17" i="22" s="1"/>
  <c r="AA29" i="22"/>
  <c r="C17" i="22" s="1"/>
  <c r="F72" i="17"/>
  <c r="E66" i="4"/>
  <c r="F41" i="4"/>
  <c r="E41" i="4"/>
  <c r="D41" i="4"/>
  <c r="E62" i="4"/>
  <c r="D62" i="4"/>
  <c r="D24" i="22"/>
  <c r="E24" i="22"/>
  <c r="F24" i="22"/>
  <c r="G24" i="22"/>
  <c r="H24" i="22"/>
  <c r="I24" i="22"/>
  <c r="C24" i="22"/>
  <c r="D28" i="4"/>
  <c r="E28" i="4"/>
  <c r="F28" i="4"/>
  <c r="D21" i="4"/>
  <c r="D19" i="4" s="1"/>
  <c r="E21" i="4"/>
  <c r="E19" i="4" s="1"/>
  <c r="F21" i="4"/>
  <c r="F19" i="4" s="1"/>
  <c r="F6" i="4"/>
  <c r="G6" i="4" s="1"/>
  <c r="G21" i="4" s="1"/>
  <c r="E6" i="4"/>
  <c r="D6" i="4"/>
  <c r="E55" i="4"/>
  <c r="D55" i="4"/>
  <c r="E54" i="4"/>
  <c r="D54" i="4"/>
  <c r="E53" i="4"/>
  <c r="D53" i="4"/>
  <c r="E10" i="4"/>
  <c r="D48" i="22"/>
  <c r="E48" i="22" s="1"/>
  <c r="F48" i="22" s="1"/>
  <c r="G48" i="22" s="1"/>
  <c r="H48" i="22" s="1"/>
  <c r="I48" i="22" s="1"/>
  <c r="J48" i="22" s="1"/>
  <c r="K48" i="22" s="1"/>
  <c r="L48" i="22" s="1"/>
  <c r="M48" i="22" s="1"/>
  <c r="N48" i="22" s="1"/>
  <c r="O48" i="22" s="1"/>
  <c r="P48" i="22" s="1"/>
  <c r="Q48" i="22" s="1"/>
  <c r="R48" i="22" s="1"/>
  <c r="S48" i="22" s="1"/>
  <c r="T48" i="22" s="1"/>
  <c r="U48" i="22" s="1"/>
  <c r="V48" i="22" s="1"/>
  <c r="W48" i="22" s="1"/>
  <c r="X48" i="22" s="1"/>
  <c r="Y48" i="22" s="1"/>
  <c r="Z48" i="22" s="1"/>
  <c r="AA48" i="22" s="1"/>
  <c r="AB48" i="22" s="1"/>
  <c r="AC48" i="22" s="1"/>
  <c r="AD48" i="22" s="1"/>
  <c r="D43" i="22"/>
  <c r="E43" i="22" s="1"/>
  <c r="F43" i="22" s="1"/>
  <c r="G43" i="22" s="1"/>
  <c r="H43" i="22" s="1"/>
  <c r="I43" i="22" s="1"/>
  <c r="J43" i="22" s="1"/>
  <c r="K43" i="22" s="1"/>
  <c r="L43" i="22" s="1"/>
  <c r="M43" i="22" s="1"/>
  <c r="N43" i="22" s="1"/>
  <c r="O43" i="22" s="1"/>
  <c r="P43" i="22" s="1"/>
  <c r="Q43" i="22" s="1"/>
  <c r="R43" i="22" s="1"/>
  <c r="S43" i="22" s="1"/>
  <c r="T43" i="22" s="1"/>
  <c r="U43" i="22" s="1"/>
  <c r="V43" i="22" s="1"/>
  <c r="W43" i="22" s="1"/>
  <c r="X43" i="22" s="1"/>
  <c r="Y43" i="22" s="1"/>
  <c r="Z43" i="22" s="1"/>
  <c r="AA43" i="22" s="1"/>
  <c r="AB43" i="22" s="1"/>
  <c r="AC43" i="22" s="1"/>
  <c r="AD43" i="22" s="1"/>
  <c r="AD39" i="22"/>
  <c r="AF5" i="4" s="1"/>
  <c r="K39" i="22"/>
  <c r="N5" i="4" s="1"/>
  <c r="L39" i="22"/>
  <c r="O5" i="4" s="1"/>
  <c r="M39" i="22"/>
  <c r="P5" i="4" s="1"/>
  <c r="N39" i="22"/>
  <c r="Q5" i="4" s="1"/>
  <c r="O39" i="22"/>
  <c r="R5" i="4" s="1"/>
  <c r="P39" i="22"/>
  <c r="S5" i="4" s="1"/>
  <c r="Q39" i="22"/>
  <c r="T5" i="4" s="1"/>
  <c r="R39" i="22"/>
  <c r="U5" i="4" s="1"/>
  <c r="S39" i="22"/>
  <c r="V5" i="4" s="1"/>
  <c r="T39" i="22"/>
  <c r="W5" i="4" s="1"/>
  <c r="U39" i="22"/>
  <c r="X5" i="4" s="1"/>
  <c r="V39" i="22"/>
  <c r="Y5" i="4" s="1"/>
  <c r="W39" i="22"/>
  <c r="Z5" i="4" s="1"/>
  <c r="X39" i="22"/>
  <c r="AA5" i="4" s="1"/>
  <c r="Y39" i="22"/>
  <c r="AB5" i="4" s="1"/>
  <c r="Z39" i="22"/>
  <c r="AC5" i="4" s="1"/>
  <c r="AA39" i="22"/>
  <c r="AD5" i="4" s="1"/>
  <c r="AB39" i="22"/>
  <c r="AE5" i="4" s="1"/>
  <c r="AC39" i="22"/>
  <c r="J39" i="22"/>
  <c r="M5" i="4" s="1"/>
  <c r="I39" i="22"/>
  <c r="L5" i="4" s="1"/>
  <c r="F39" i="22"/>
  <c r="I5" i="4" s="1"/>
  <c r="G39" i="22"/>
  <c r="J5" i="4" s="1"/>
  <c r="D38" i="22"/>
  <c r="E38" i="22" s="1"/>
  <c r="C67" i="16"/>
  <c r="D67" i="16"/>
  <c r="E67" i="16"/>
  <c r="F67" i="16"/>
  <c r="G67" i="16"/>
  <c r="H67" i="16"/>
  <c r="I67" i="16"/>
  <c r="J67" i="16"/>
  <c r="K67" i="16"/>
  <c r="L67" i="16"/>
  <c r="M67" i="16"/>
  <c r="C68" i="16"/>
  <c r="D68" i="16"/>
  <c r="E68" i="16"/>
  <c r="F68" i="16"/>
  <c r="G68" i="16"/>
  <c r="H68" i="16"/>
  <c r="I68" i="16"/>
  <c r="J68" i="16"/>
  <c r="K68" i="16"/>
  <c r="L68" i="16"/>
  <c r="M68" i="16"/>
  <c r="I69" i="16"/>
  <c r="J69" i="16"/>
  <c r="K69" i="16"/>
  <c r="L69" i="16"/>
  <c r="M69" i="16"/>
  <c r="J70" i="16"/>
  <c r="K70" i="16"/>
  <c r="L70" i="16"/>
  <c r="M70" i="16"/>
  <c r="C71" i="16"/>
  <c r="D71" i="16"/>
  <c r="E71" i="16"/>
  <c r="F71" i="16"/>
  <c r="G71" i="16"/>
  <c r="H71" i="16"/>
  <c r="I71" i="16"/>
  <c r="J71" i="16"/>
  <c r="K71" i="16"/>
  <c r="L71" i="16"/>
  <c r="M71" i="16"/>
  <c r="C72" i="16"/>
  <c r="D72" i="16"/>
  <c r="E72" i="16"/>
  <c r="F72" i="16"/>
  <c r="G72" i="16"/>
  <c r="H72" i="16"/>
  <c r="I72" i="16"/>
  <c r="J72" i="16"/>
  <c r="K72" i="16"/>
  <c r="L72" i="16"/>
  <c r="M72" i="16"/>
  <c r="C73" i="16"/>
  <c r="D73" i="16"/>
  <c r="E73" i="16"/>
  <c r="F73" i="16"/>
  <c r="G73" i="16"/>
  <c r="H73" i="16"/>
  <c r="I73" i="16"/>
  <c r="J73" i="16"/>
  <c r="K73" i="16"/>
  <c r="L73" i="16"/>
  <c r="M73" i="16"/>
  <c r="C74" i="16"/>
  <c r="D74" i="16"/>
  <c r="E74" i="16"/>
  <c r="F74" i="16"/>
  <c r="G74" i="16"/>
  <c r="H74" i="16"/>
  <c r="I74" i="16"/>
  <c r="J74" i="16"/>
  <c r="K74" i="16"/>
  <c r="L74" i="16"/>
  <c r="M74" i="16"/>
  <c r="B75" i="16"/>
  <c r="B74" i="16"/>
  <c r="B73" i="16"/>
  <c r="B72" i="16"/>
  <c r="B71" i="16"/>
  <c r="B70" i="16"/>
  <c r="B69" i="16"/>
  <c r="B68" i="16"/>
  <c r="B67" i="16"/>
  <c r="C62" i="16"/>
  <c r="D62" i="16"/>
  <c r="E62" i="16"/>
  <c r="F62" i="16"/>
  <c r="G62" i="16"/>
  <c r="H62" i="16"/>
  <c r="I62" i="16"/>
  <c r="J62" i="16"/>
  <c r="K62" i="16"/>
  <c r="L62" i="16"/>
  <c r="M62" i="16"/>
  <c r="B62" i="16"/>
  <c r="C48" i="16"/>
  <c r="D48" i="16"/>
  <c r="E48" i="16"/>
  <c r="F48" i="16"/>
  <c r="G48" i="16"/>
  <c r="H48" i="16"/>
  <c r="I48" i="16"/>
  <c r="J48" i="16"/>
  <c r="K48" i="16"/>
  <c r="C49" i="16"/>
  <c r="D49" i="16"/>
  <c r="E49" i="16"/>
  <c r="F49" i="16"/>
  <c r="G49" i="16"/>
  <c r="H49" i="16"/>
  <c r="I49" i="16"/>
  <c r="J49" i="16"/>
  <c r="K49" i="16"/>
  <c r="C50" i="16"/>
  <c r="D50" i="16"/>
  <c r="E50" i="16"/>
  <c r="F50" i="16"/>
  <c r="G50" i="16"/>
  <c r="H50" i="16"/>
  <c r="I50" i="16"/>
  <c r="J50" i="16"/>
  <c r="K50" i="16"/>
  <c r="C53" i="16"/>
  <c r="D53" i="16"/>
  <c r="E53" i="16"/>
  <c r="F53" i="16"/>
  <c r="G53" i="16"/>
  <c r="H53" i="16"/>
  <c r="I53" i="16"/>
  <c r="J53" i="16"/>
  <c r="K53" i="16"/>
  <c r="C54" i="16"/>
  <c r="D54" i="16"/>
  <c r="E54" i="16"/>
  <c r="F54" i="16"/>
  <c r="G54" i="16"/>
  <c r="H54" i="16"/>
  <c r="I54" i="16"/>
  <c r="J54" i="16"/>
  <c r="K54" i="16"/>
  <c r="C56" i="16"/>
  <c r="D56" i="16"/>
  <c r="E56" i="16"/>
  <c r="F56" i="16"/>
  <c r="G56" i="16"/>
  <c r="H56" i="16"/>
  <c r="I56" i="16"/>
  <c r="J56" i="16"/>
  <c r="K56" i="16"/>
  <c r="B56" i="16"/>
  <c r="B53" i="16"/>
  <c r="B52" i="16"/>
  <c r="B49" i="16"/>
  <c r="B48" i="16"/>
  <c r="C44" i="16"/>
  <c r="D44" i="16"/>
  <c r="E44" i="16"/>
  <c r="F44" i="16"/>
  <c r="G44" i="16"/>
  <c r="H44" i="16"/>
  <c r="I44" i="16"/>
  <c r="J44" i="16"/>
  <c r="K44" i="16"/>
  <c r="B44" i="16"/>
  <c r="C41" i="16"/>
  <c r="D41" i="16"/>
  <c r="E41" i="16"/>
  <c r="F41" i="16"/>
  <c r="G41" i="16"/>
  <c r="H41" i="16"/>
  <c r="I41" i="16"/>
  <c r="J41" i="16"/>
  <c r="K41" i="16"/>
  <c r="B41" i="16"/>
  <c r="C40" i="16"/>
  <c r="H40" i="16"/>
  <c r="J40" i="16"/>
  <c r="K40" i="16"/>
  <c r="B40" i="16"/>
  <c r="J33" i="16"/>
  <c r="K33" i="16"/>
  <c r="L33" i="16"/>
  <c r="M33" i="16"/>
  <c r="B33" i="16"/>
  <c r="I32" i="16"/>
  <c r="J32" i="16"/>
  <c r="K32" i="16"/>
  <c r="L32" i="16"/>
  <c r="M32" i="16"/>
  <c r="B32" i="16"/>
  <c r="C28" i="16"/>
  <c r="D28" i="16"/>
  <c r="E28" i="16"/>
  <c r="F28" i="16"/>
  <c r="G28" i="16"/>
  <c r="H28" i="16"/>
  <c r="I28" i="16"/>
  <c r="J28" i="16"/>
  <c r="K28" i="16"/>
  <c r="L28" i="16"/>
  <c r="M28" i="16"/>
  <c r="B28" i="16"/>
  <c r="C27" i="16"/>
  <c r="D27" i="16"/>
  <c r="E27" i="16"/>
  <c r="F27" i="16"/>
  <c r="G27" i="16"/>
  <c r="H27" i="16"/>
  <c r="I27" i="16"/>
  <c r="J27" i="16"/>
  <c r="K27" i="16"/>
  <c r="L27" i="16"/>
  <c r="M27" i="16"/>
  <c r="B27" i="16"/>
  <c r="C23" i="16"/>
  <c r="D23" i="16"/>
  <c r="E23" i="16"/>
  <c r="F23" i="16"/>
  <c r="H23" i="16"/>
  <c r="I23" i="16"/>
  <c r="J23" i="16"/>
  <c r="K23" i="16"/>
  <c r="B23" i="16"/>
  <c r="C21" i="16"/>
  <c r="D21" i="16"/>
  <c r="E21" i="16"/>
  <c r="F21" i="16"/>
  <c r="G21" i="16"/>
  <c r="H21" i="16"/>
  <c r="I21" i="16"/>
  <c r="J21" i="16"/>
  <c r="K21" i="16"/>
  <c r="C17" i="16"/>
  <c r="D17" i="16"/>
  <c r="E17" i="16"/>
  <c r="F17" i="16"/>
  <c r="G17" i="16"/>
  <c r="H17" i="16"/>
  <c r="I17" i="16"/>
  <c r="J17" i="16"/>
  <c r="K17" i="16"/>
  <c r="L17" i="16"/>
  <c r="M17" i="16"/>
  <c r="C15" i="16"/>
  <c r="D15" i="16"/>
  <c r="E15" i="16"/>
  <c r="F15" i="16"/>
  <c r="G15" i="16"/>
  <c r="H15" i="16"/>
  <c r="J15" i="16"/>
  <c r="K15" i="16"/>
  <c r="C14" i="16"/>
  <c r="D14" i="16"/>
  <c r="E14" i="16"/>
  <c r="G14" i="16"/>
  <c r="I14" i="16"/>
  <c r="J14" i="16"/>
  <c r="K14" i="16"/>
  <c r="C11" i="16"/>
  <c r="D11" i="16"/>
  <c r="E11" i="16"/>
  <c r="F11" i="16"/>
  <c r="G11" i="16"/>
  <c r="J11" i="16"/>
  <c r="K11" i="16"/>
  <c r="C7" i="16"/>
  <c r="D7" i="16"/>
  <c r="E7" i="16"/>
  <c r="F7" i="16"/>
  <c r="H7" i="16"/>
  <c r="I7" i="16"/>
  <c r="J7" i="16"/>
  <c r="K7" i="16"/>
  <c r="D5" i="16"/>
  <c r="E5" i="16"/>
  <c r="F5" i="16"/>
  <c r="G5" i="16"/>
  <c r="H5" i="16"/>
  <c r="I5" i="16"/>
  <c r="K5" i="16"/>
  <c r="C5" i="16"/>
  <c r="B21" i="16"/>
  <c r="B17" i="16"/>
  <c r="B14" i="16"/>
  <c r="C60" i="10" s="1"/>
  <c r="B11" i="16"/>
  <c r="B7" i="16"/>
  <c r="B5" i="16"/>
  <c r="DA1035" i="22"/>
  <c r="L20" i="22" l="1"/>
  <c r="G20" i="22"/>
  <c r="E20" i="22"/>
  <c r="D20" i="22"/>
  <c r="H6" i="4"/>
  <c r="I6" i="4" s="1"/>
  <c r="J20" i="22"/>
  <c r="P29" i="22"/>
  <c r="K20" i="22"/>
  <c r="F20" i="22"/>
  <c r="I20" i="22"/>
  <c r="C20" i="22"/>
  <c r="F149" i="22"/>
  <c r="H149" i="22"/>
  <c r="J149" i="22"/>
  <c r="D149" i="22"/>
  <c r="M149" i="22"/>
  <c r="K149" i="22"/>
  <c r="O179" i="22"/>
  <c r="P180" i="22"/>
  <c r="Q180" i="22" s="1"/>
  <c r="R180" i="22" s="1"/>
  <c r="S180" i="22" s="1"/>
  <c r="T180" i="22" s="1"/>
  <c r="U180" i="22" s="1"/>
  <c r="V180" i="22" s="1"/>
  <c r="W180" i="22" s="1"/>
  <c r="X180" i="22" s="1"/>
  <c r="Y180" i="22" s="1"/>
  <c r="Z180" i="22" s="1"/>
  <c r="AA180" i="22" s="1"/>
  <c r="AB180" i="22" s="1"/>
  <c r="AC180" i="22" s="1"/>
  <c r="AD180" i="22" s="1"/>
  <c r="AE180" i="22" s="1"/>
  <c r="AF180" i="22" s="1"/>
  <c r="AG180" i="22" s="1"/>
  <c r="AH180" i="22" s="1"/>
  <c r="AI180" i="22" s="1"/>
  <c r="AJ180" i="22" s="1"/>
  <c r="AK180" i="22" s="1"/>
  <c r="AL180" i="22" s="1"/>
  <c r="AM180" i="22" s="1"/>
  <c r="AN180" i="22" s="1"/>
  <c r="P178" i="22"/>
  <c r="Q178" i="22" s="1"/>
  <c r="R178" i="22" s="1"/>
  <c r="S178" i="22" s="1"/>
  <c r="T178" i="22" s="1"/>
  <c r="U178" i="22" s="1"/>
  <c r="V178" i="22" s="1"/>
  <c r="W178" i="22" s="1"/>
  <c r="X178" i="22" s="1"/>
  <c r="Y178" i="22" s="1"/>
  <c r="Z178" i="22" s="1"/>
  <c r="AA178" i="22" s="1"/>
  <c r="AB178" i="22" s="1"/>
  <c r="AC178" i="22" s="1"/>
  <c r="AD178" i="22" s="1"/>
  <c r="AE178" i="22" s="1"/>
  <c r="AF178" i="22" s="1"/>
  <c r="AG178" i="22" s="1"/>
  <c r="AH178" i="22" s="1"/>
  <c r="AI178" i="22" s="1"/>
  <c r="AJ178" i="22" s="1"/>
  <c r="AK178" i="22" s="1"/>
  <c r="AL178" i="22" s="1"/>
  <c r="AM178" i="22" s="1"/>
  <c r="AN178" i="22" s="1"/>
  <c r="O177" i="22"/>
  <c r="G149" i="22"/>
  <c r="E149" i="22"/>
  <c r="N149" i="22"/>
  <c r="L149" i="22"/>
  <c r="I149" i="22"/>
  <c r="L161" i="22"/>
  <c r="C147" i="22"/>
  <c r="M161" i="22"/>
  <c r="M162" i="22"/>
  <c r="C153" i="22"/>
  <c r="C146" i="22"/>
  <c r="N161" i="22"/>
  <c r="N162" i="22"/>
  <c r="L162" i="22"/>
  <c r="C145" i="22"/>
  <c r="C152" i="22"/>
  <c r="F38" i="22"/>
  <c r="G38" i="22" s="1"/>
  <c r="H38" i="22" s="1"/>
  <c r="I38" i="22" s="1"/>
  <c r="J38" i="22" s="1"/>
  <c r="K38" i="22" s="1"/>
  <c r="L38" i="22" s="1"/>
  <c r="M38" i="22" s="1"/>
  <c r="N38" i="22" s="1"/>
  <c r="O38" i="22" s="1"/>
  <c r="P38" i="22" s="1"/>
  <c r="Q38" i="22" s="1"/>
  <c r="R38" i="22" s="1"/>
  <c r="S38" i="22" s="1"/>
  <c r="T38" i="22" s="1"/>
  <c r="U38" i="22" s="1"/>
  <c r="V38" i="22" s="1"/>
  <c r="W38" i="22" s="1"/>
  <c r="X38" i="22" s="1"/>
  <c r="Y38" i="22" s="1"/>
  <c r="Z38" i="22" s="1"/>
  <c r="AA38" i="22" s="1"/>
  <c r="AB38" i="22" s="1"/>
  <c r="AC38" i="22" s="1"/>
  <c r="AD38" i="22" s="1"/>
  <c r="P28" i="22"/>
  <c r="J6" i="4" l="1"/>
  <c r="I23" i="4"/>
  <c r="P177" i="22"/>
  <c r="S179" i="22"/>
  <c r="L163" i="22"/>
  <c r="AN177" i="22"/>
  <c r="Q177" i="22"/>
  <c r="R177" i="22"/>
  <c r="M163" i="22"/>
  <c r="P179" i="22"/>
  <c r="Q179" i="22"/>
  <c r="S177" i="22"/>
  <c r="N163" i="22"/>
  <c r="AN179" i="22"/>
  <c r="R179" i="22"/>
  <c r="T179" i="22"/>
  <c r="T177" i="22"/>
  <c r="K6" i="4" l="1"/>
  <c r="J23" i="4"/>
  <c r="U179" i="22"/>
  <c r="U177" i="22"/>
  <c r="L6" i="4" l="1"/>
  <c r="K23" i="4"/>
  <c r="V179" i="22"/>
  <c r="V177" i="22"/>
  <c r="M6" i="4" l="1"/>
  <c r="L23" i="4"/>
  <c r="W179" i="22"/>
  <c r="W177" i="22"/>
  <c r="N6" i="4" l="1"/>
  <c r="O6" i="4" s="1"/>
  <c r="M23" i="4"/>
  <c r="X179" i="22"/>
  <c r="X177" i="22"/>
  <c r="P6" i="4" l="1"/>
  <c r="O23" i="4"/>
  <c r="Y179" i="22"/>
  <c r="Y177" i="22"/>
  <c r="Q6" i="4" l="1"/>
  <c r="P23" i="4"/>
  <c r="Z179" i="22"/>
  <c r="Z177" i="22"/>
  <c r="R6" i="4" l="1"/>
  <c r="Q23" i="4"/>
  <c r="AA179" i="22"/>
  <c r="AA177" i="22"/>
  <c r="S6" i="4" l="1"/>
  <c r="R23" i="4"/>
  <c r="AB179" i="22"/>
  <c r="AB177" i="22"/>
  <c r="T6" i="4" l="1"/>
  <c r="S23" i="4"/>
  <c r="AC179" i="22"/>
  <c r="AC177" i="22"/>
  <c r="U6" i="4" l="1"/>
  <c r="T23" i="4"/>
  <c r="AD179" i="22"/>
  <c r="AD177" i="22"/>
  <c r="V6" i="4" l="1"/>
  <c r="U23" i="4"/>
  <c r="AE179" i="22"/>
  <c r="AE177" i="22"/>
  <c r="W6" i="4" l="1"/>
  <c r="V23" i="4"/>
  <c r="AF179" i="22"/>
  <c r="AF177" i="22"/>
  <c r="X6" i="4" l="1"/>
  <c r="W23" i="4"/>
  <c r="AG179" i="22"/>
  <c r="AG177" i="22"/>
  <c r="Y6" i="4" l="1"/>
  <c r="X23" i="4"/>
  <c r="AH179" i="22"/>
  <c r="AH177" i="22"/>
  <c r="Z6" i="4" l="1"/>
  <c r="Y23" i="4"/>
  <c r="AI179" i="22"/>
  <c r="AI177" i="22"/>
  <c r="AA6" i="4" l="1"/>
  <c r="Z23" i="4"/>
  <c r="AJ179" i="22"/>
  <c r="AJ177" i="22"/>
  <c r="AB6" i="4" l="1"/>
  <c r="AA23" i="4"/>
  <c r="AK179" i="22"/>
  <c r="AK177" i="22"/>
  <c r="AC6" i="4" l="1"/>
  <c r="AB23" i="4"/>
  <c r="AL179" i="22"/>
  <c r="AL177" i="22"/>
  <c r="AC23" i="4" l="1"/>
  <c r="AD6" i="4"/>
  <c r="AM177" i="22"/>
  <c r="AM179" i="22"/>
  <c r="AE6" i="4" l="1"/>
  <c r="AD23" i="4"/>
  <c r="C39" i="16"/>
  <c r="D39" i="16"/>
  <c r="E39" i="16"/>
  <c r="F39" i="16"/>
  <c r="G39" i="16"/>
  <c r="H39" i="16"/>
  <c r="I39" i="16"/>
  <c r="J39" i="16"/>
  <c r="K39" i="16"/>
  <c r="B39" i="16"/>
  <c r="L9" i="17"/>
  <c r="L15" i="16" s="1"/>
  <c r="L8" i="17"/>
  <c r="L11" i="16" s="1"/>
  <c r="D25" i="22"/>
  <c r="E25" i="22"/>
  <c r="F25" i="22"/>
  <c r="G25" i="22"/>
  <c r="H25" i="22"/>
  <c r="I25" i="22"/>
  <c r="J25" i="22"/>
  <c r="K25" i="22"/>
  <c r="L25" i="22"/>
  <c r="M25" i="22"/>
  <c r="C25" i="22"/>
  <c r="AF6" i="4" l="1"/>
  <c r="AE23" i="4"/>
  <c r="AD40" i="22"/>
  <c r="AF7" i="4" s="1"/>
  <c r="M40" i="22"/>
  <c r="P7" i="4" s="1"/>
  <c r="N40" i="22"/>
  <c r="Q7" i="4" s="1"/>
  <c r="O40" i="22"/>
  <c r="R7" i="4" s="1"/>
  <c r="P40" i="22"/>
  <c r="S7" i="4" s="1"/>
  <c r="Q40" i="22"/>
  <c r="T7" i="4" s="1"/>
  <c r="R40" i="22"/>
  <c r="U7" i="4" s="1"/>
  <c r="S40" i="22"/>
  <c r="V7" i="4" s="1"/>
  <c r="T40" i="22"/>
  <c r="W7" i="4" s="1"/>
  <c r="U40" i="22"/>
  <c r="X7" i="4" s="1"/>
  <c r="V40" i="22"/>
  <c r="Y7" i="4" s="1"/>
  <c r="W40" i="22"/>
  <c r="Z7" i="4" s="1"/>
  <c r="X40" i="22"/>
  <c r="AA7" i="4" s="1"/>
  <c r="Y40" i="22"/>
  <c r="AB7" i="4" s="1"/>
  <c r="Z40" i="22"/>
  <c r="AC7" i="4" s="1"/>
  <c r="AA40" i="22"/>
  <c r="AD7" i="4" s="1"/>
  <c r="AB40" i="22"/>
  <c r="AE7" i="4" s="1"/>
  <c r="AC40" i="22"/>
  <c r="E47" i="22"/>
  <c r="F47" i="22" s="1"/>
  <c r="G47" i="22" s="1"/>
  <c r="H47" i="22" s="1"/>
  <c r="I47" i="22" s="1"/>
  <c r="J47" i="22" s="1"/>
  <c r="K47" i="22" s="1"/>
  <c r="L47" i="22" s="1"/>
  <c r="M47" i="22" s="1"/>
  <c r="N47" i="22" s="1"/>
  <c r="O47" i="22" s="1"/>
  <c r="P47" i="22" s="1"/>
  <c r="Q47" i="22" s="1"/>
  <c r="R47" i="22" s="1"/>
  <c r="S47" i="22" s="1"/>
  <c r="T47" i="22" s="1"/>
  <c r="U47" i="22" s="1"/>
  <c r="V47" i="22" s="1"/>
  <c r="W47" i="22" s="1"/>
  <c r="X47" i="22" s="1"/>
  <c r="Y47" i="22" s="1"/>
  <c r="Z47" i="22" s="1"/>
  <c r="AA47" i="22" s="1"/>
  <c r="AB47" i="22" s="1"/>
  <c r="AC47" i="22" s="1"/>
  <c r="AD47" i="22" s="1"/>
  <c r="E42" i="22"/>
  <c r="F42" i="22" s="1"/>
  <c r="G42" i="22" s="1"/>
  <c r="H42" i="22" s="1"/>
  <c r="I42" i="22" s="1"/>
  <c r="J42" i="22" s="1"/>
  <c r="K42" i="22" s="1"/>
  <c r="L42" i="22" s="1"/>
  <c r="M42" i="22" s="1"/>
  <c r="N42" i="22" s="1"/>
  <c r="O42" i="22" s="1"/>
  <c r="P42" i="22" s="1"/>
  <c r="Q42" i="22" s="1"/>
  <c r="R42" i="22" s="1"/>
  <c r="S42" i="22" s="1"/>
  <c r="T42" i="22" s="1"/>
  <c r="U42" i="22" s="1"/>
  <c r="V42" i="22" s="1"/>
  <c r="W42" i="22" s="1"/>
  <c r="X42" i="22" s="1"/>
  <c r="Y42" i="22" s="1"/>
  <c r="Z42" i="22" s="1"/>
  <c r="AA42" i="22" s="1"/>
  <c r="AB42" i="22" s="1"/>
  <c r="AC42" i="22" s="1"/>
  <c r="AD42" i="22" s="1"/>
  <c r="E37" i="22"/>
  <c r="F37" i="22" s="1"/>
  <c r="G37" i="22" s="1"/>
  <c r="H37" i="22" s="1"/>
  <c r="I37" i="22" s="1"/>
  <c r="J37" i="22" s="1"/>
  <c r="K37" i="22" s="1"/>
  <c r="L37" i="22" s="1"/>
  <c r="M37" i="22" s="1"/>
  <c r="N37" i="22" s="1"/>
  <c r="O37" i="22" s="1"/>
  <c r="P37" i="22" s="1"/>
  <c r="Q37" i="22" s="1"/>
  <c r="R37" i="22" s="1"/>
  <c r="S37" i="22" s="1"/>
  <c r="T37" i="22" s="1"/>
  <c r="U37" i="22" s="1"/>
  <c r="V37" i="22" s="1"/>
  <c r="W37" i="22" s="1"/>
  <c r="X37" i="22" s="1"/>
  <c r="Y37" i="22" s="1"/>
  <c r="Z37" i="22" s="1"/>
  <c r="AA37" i="22" s="1"/>
  <c r="AB37" i="22" s="1"/>
  <c r="AC37" i="22" s="1"/>
  <c r="AD37" i="22" s="1"/>
  <c r="AH18" i="22"/>
  <c r="AB19" i="22"/>
  <c r="E40" i="4" s="1"/>
  <c r="AC19" i="22"/>
  <c r="D40" i="4" s="1"/>
  <c r="AD19" i="22"/>
  <c r="AE19" i="22"/>
  <c r="AF19" i="22"/>
  <c r="AG19" i="22"/>
  <c r="AH19" i="22"/>
  <c r="AI19" i="22"/>
  <c r="AJ19" i="22"/>
  <c r="AK19" i="22"/>
  <c r="AA19" i="22"/>
  <c r="F40" i="4" s="1"/>
  <c r="G9" i="4" s="1"/>
  <c r="C5" i="17"/>
  <c r="AK18" i="22"/>
  <c r="AJ18" i="22"/>
  <c r="AI18" i="22"/>
  <c r="AG18" i="22"/>
  <c r="AF18" i="22"/>
  <c r="AE18" i="22"/>
  <c r="AD18" i="22"/>
  <c r="AC18" i="22"/>
  <c r="D30" i="22"/>
  <c r="E30" i="22"/>
  <c r="F30" i="22"/>
  <c r="G30" i="22"/>
  <c r="H30" i="22"/>
  <c r="I30" i="22"/>
  <c r="J30" i="22"/>
  <c r="L30" i="22"/>
  <c r="C30" i="22"/>
  <c r="D22" i="22"/>
  <c r="E22" i="22"/>
  <c r="F22" i="22"/>
  <c r="G22" i="22"/>
  <c r="H22" i="22"/>
  <c r="I22" i="22"/>
  <c r="J22" i="22"/>
  <c r="K22" i="22"/>
  <c r="L22" i="22"/>
  <c r="C22" i="22"/>
  <c r="C98" i="22"/>
  <c r="L98" i="22"/>
  <c r="K98" i="22"/>
  <c r="J98" i="22"/>
  <c r="I98" i="22"/>
  <c r="H98" i="22"/>
  <c r="G98" i="22"/>
  <c r="F98" i="22"/>
  <c r="E98" i="22"/>
  <c r="D98" i="22"/>
  <c r="L97" i="22"/>
  <c r="K97" i="22"/>
  <c r="J97" i="22"/>
  <c r="I97" i="22"/>
  <c r="H97" i="22"/>
  <c r="G97" i="22"/>
  <c r="F97" i="22"/>
  <c r="E97" i="22"/>
  <c r="D97" i="22"/>
  <c r="C97" i="22"/>
  <c r="AC17" i="22" l="1"/>
  <c r="E18" i="22"/>
  <c r="AD17" i="22"/>
  <c r="F18" i="22"/>
  <c r="AE17" i="22"/>
  <c r="G18" i="22"/>
  <c r="AF17" i="22"/>
  <c r="H18" i="22"/>
  <c r="AG17" i="22"/>
  <c r="I18" i="22"/>
  <c r="AI17" i="22"/>
  <c r="K18" i="22"/>
  <c r="AJ17" i="22"/>
  <c r="L18" i="22"/>
  <c r="AK17" i="22"/>
  <c r="M18" i="22"/>
  <c r="AH17" i="22"/>
  <c r="J18" i="22"/>
  <c r="AB18" i="22"/>
  <c r="AA18" i="22"/>
  <c r="AB17" i="22" l="1"/>
  <c r="D18" i="22"/>
  <c r="AA17" i="22"/>
  <c r="C18" i="22"/>
  <c r="Q25" i="22"/>
  <c r="P25" i="22"/>
  <c r="O25" i="22"/>
  <c r="D19" i="22" l="1"/>
  <c r="E19" i="22"/>
  <c r="F19" i="22"/>
  <c r="G19" i="22"/>
  <c r="H19" i="22"/>
  <c r="I19" i="22"/>
  <c r="J19" i="22"/>
  <c r="L19" i="22"/>
  <c r="C19" i="22"/>
  <c r="E105" i="22"/>
  <c r="F105" i="22"/>
  <c r="G105" i="22"/>
  <c r="H105" i="22"/>
  <c r="I105" i="22"/>
  <c r="J105" i="22"/>
  <c r="K105" i="22"/>
  <c r="L105" i="22"/>
  <c r="M105" i="22"/>
  <c r="N105" i="22"/>
  <c r="O105" i="22"/>
  <c r="P105" i="22"/>
  <c r="D105" i="22"/>
  <c r="E101" i="22"/>
  <c r="F101" i="22" s="1"/>
  <c r="G101" i="22" s="1"/>
  <c r="H101" i="22" s="1"/>
  <c r="I101" i="22" s="1"/>
  <c r="J101" i="22" s="1"/>
  <c r="K101" i="22" s="1"/>
  <c r="L101" i="22" s="1"/>
  <c r="M101" i="22" s="1"/>
  <c r="N101" i="22" s="1"/>
  <c r="O101" i="22" s="1"/>
  <c r="P101" i="22" s="1"/>
  <c r="O41" i="3"/>
  <c r="N41" i="3"/>
  <c r="M41" i="3"/>
  <c r="L41" i="3"/>
  <c r="K41" i="3"/>
  <c r="O40" i="3"/>
  <c r="N40" i="3"/>
  <c r="M40" i="3"/>
  <c r="L40" i="3"/>
  <c r="K40" i="3"/>
  <c r="L39" i="3"/>
  <c r="M39" i="3" s="1"/>
  <c r="N39" i="3" s="1"/>
  <c r="O39" i="3" s="1"/>
  <c r="P39" i="3" s="1"/>
  <c r="E39" i="3"/>
  <c r="F39" i="3" s="1"/>
  <c r="G39" i="3" s="1"/>
  <c r="H39" i="3" s="1"/>
  <c r="I39" i="3" s="1"/>
  <c r="L29" i="3"/>
  <c r="I35" i="3"/>
  <c r="H35" i="3"/>
  <c r="G35" i="3"/>
  <c r="F35" i="3"/>
  <c r="E35" i="3"/>
  <c r="D35" i="3"/>
  <c r="O34" i="3"/>
  <c r="N34" i="3"/>
  <c r="M34" i="3"/>
  <c r="L34" i="3"/>
  <c r="K34" i="3"/>
  <c r="O33" i="3"/>
  <c r="N33" i="3"/>
  <c r="M33" i="3"/>
  <c r="L33" i="3"/>
  <c r="K33" i="3"/>
  <c r="O32" i="3"/>
  <c r="N32" i="3"/>
  <c r="M32" i="3"/>
  <c r="L32" i="3"/>
  <c r="K32" i="3"/>
  <c r="O31" i="3"/>
  <c r="N31" i="3"/>
  <c r="M31" i="3"/>
  <c r="L31" i="3"/>
  <c r="K31" i="3"/>
  <c r="O30" i="3"/>
  <c r="N30" i="3"/>
  <c r="M30" i="3"/>
  <c r="L30" i="3"/>
  <c r="K30" i="3"/>
  <c r="O29" i="3"/>
  <c r="N29" i="3"/>
  <c r="M29" i="3"/>
  <c r="K29" i="3"/>
  <c r="L28" i="3"/>
  <c r="M28" i="3" s="1"/>
  <c r="N28" i="3" s="1"/>
  <c r="O28" i="3" s="1"/>
  <c r="P28" i="3" s="1"/>
  <c r="E28" i="3"/>
  <c r="F28" i="3" s="1"/>
  <c r="G28" i="3" s="1"/>
  <c r="H28" i="3" s="1"/>
  <c r="I28" i="3" s="1"/>
  <c r="M20" i="1"/>
  <c r="M70" i="17"/>
  <c r="L70" i="17"/>
  <c r="N62" i="17"/>
  <c r="M62" i="17"/>
  <c r="L62" i="17"/>
  <c r="C66" i="17"/>
  <c r="C65" i="17"/>
  <c r="D66" i="17"/>
  <c r="D65" i="17"/>
  <c r="E66" i="17"/>
  <c r="E65" i="17"/>
  <c r="H65" i="17"/>
  <c r="F66" i="17"/>
  <c r="F65" i="17"/>
  <c r="G65" i="17"/>
  <c r="G66" i="17"/>
  <c r="H66" i="17"/>
  <c r="I66" i="17"/>
  <c r="M9" i="17"/>
  <c r="F10" i="17"/>
  <c r="F14" i="16" s="1"/>
  <c r="H10" i="17"/>
  <c r="H14" i="16" s="1"/>
  <c r="M10" i="17"/>
  <c r="M14" i="16" s="1"/>
  <c r="B92" i="17"/>
  <c r="C92" i="17"/>
  <c r="D92" i="17"/>
  <c r="E92" i="17"/>
  <c r="F92" i="17"/>
  <c r="G92" i="17"/>
  <c r="H92" i="17"/>
  <c r="I92" i="17"/>
  <c r="K92" i="17"/>
  <c r="AB15" i="22"/>
  <c r="AC15" i="22" s="1"/>
  <c r="AD15" i="22" s="1"/>
  <c r="AE15" i="22" s="1"/>
  <c r="AF15" i="22" s="1"/>
  <c r="AG15" i="22" s="1"/>
  <c r="AH15" i="22" s="1"/>
  <c r="AI15" i="22" s="1"/>
  <c r="AJ15" i="22" s="1"/>
  <c r="AK15" i="22" s="1"/>
  <c r="M35" i="3" l="1"/>
  <c r="D70" i="16"/>
  <c r="D33" i="16"/>
  <c r="E27" i="22"/>
  <c r="F69" i="16"/>
  <c r="F32" i="16"/>
  <c r="C33" i="16"/>
  <c r="D27" i="22"/>
  <c r="C70" i="16"/>
  <c r="H70" i="16"/>
  <c r="H33" i="16"/>
  <c r="I27" i="22"/>
  <c r="G70" i="16"/>
  <c r="G33" i="16"/>
  <c r="H27" i="22"/>
  <c r="G69" i="16"/>
  <c r="G32" i="16"/>
  <c r="F70" i="16"/>
  <c r="F33" i="16"/>
  <c r="G27" i="22"/>
  <c r="H69" i="16"/>
  <c r="H32" i="16"/>
  <c r="M13" i="17"/>
  <c r="M15" i="16"/>
  <c r="E69" i="16"/>
  <c r="E32" i="16"/>
  <c r="I70" i="16"/>
  <c r="I33" i="16"/>
  <c r="J27" i="22"/>
  <c r="E70" i="16"/>
  <c r="E33" i="16"/>
  <c r="F27" i="22"/>
  <c r="C69" i="16"/>
  <c r="C32" i="16"/>
  <c r="D69" i="16"/>
  <c r="D32" i="16"/>
  <c r="N35" i="3"/>
  <c r="L35" i="3"/>
  <c r="O35" i="3"/>
  <c r="F92" i="22"/>
  <c r="F91" i="22"/>
  <c r="F90" i="22"/>
  <c r="K35" i="3"/>
  <c r="F29" i="1"/>
  <c r="F31" i="1"/>
  <c r="N10" i="17"/>
  <c r="L10" i="17"/>
  <c r="L14" i="16" s="1"/>
  <c r="N11" i="17"/>
  <c r="L11" i="17"/>
  <c r="L21" i="16" s="1"/>
  <c r="M11" i="17"/>
  <c r="M21" i="16" s="1"/>
  <c r="N12" i="17"/>
  <c r="M12" i="17"/>
  <c r="M23" i="16" s="1"/>
  <c r="L12" i="17"/>
  <c r="N8" i="17"/>
  <c r="M8" i="17"/>
  <c r="M11" i="16" s="1"/>
  <c r="N7" i="17"/>
  <c r="M7" i="17"/>
  <c r="L7" i="17"/>
  <c r="L7" i="16" s="1"/>
  <c r="N6" i="17"/>
  <c r="M6" i="17"/>
  <c r="L6" i="17"/>
  <c r="M24" i="22" s="1"/>
  <c r="N38" i="17"/>
  <c r="M38" i="17"/>
  <c r="M44" i="16" s="1"/>
  <c r="N33" i="17"/>
  <c r="M33" i="17"/>
  <c r="M42" i="16" s="1"/>
  <c r="N27" i="17"/>
  <c r="M27" i="17"/>
  <c r="N30" i="17"/>
  <c r="N29" i="17"/>
  <c r="N28" i="17"/>
  <c r="M30" i="17"/>
  <c r="M41" i="16" s="1"/>
  <c r="M29" i="17"/>
  <c r="M40" i="16" s="1"/>
  <c r="M28" i="17"/>
  <c r="M39" i="16" s="1"/>
  <c r="N51" i="17"/>
  <c r="M51" i="17"/>
  <c r="M56" i="16" s="1"/>
  <c r="N49" i="17"/>
  <c r="M49" i="17"/>
  <c r="M54" i="16" s="1"/>
  <c r="L49" i="17"/>
  <c r="L54" i="16" s="1"/>
  <c r="L48" i="17"/>
  <c r="L53" i="16" s="1"/>
  <c r="N48" i="17"/>
  <c r="M48" i="17"/>
  <c r="M53" i="16" s="1"/>
  <c r="N42" i="17"/>
  <c r="N45" i="17"/>
  <c r="N44" i="17"/>
  <c r="N43" i="17"/>
  <c r="M45" i="17"/>
  <c r="M50" i="16" s="1"/>
  <c r="M44" i="17"/>
  <c r="M49" i="16" s="1"/>
  <c r="M43" i="17"/>
  <c r="L45" i="17"/>
  <c r="L50" i="16" s="1"/>
  <c r="L44" i="17"/>
  <c r="L49" i="16" s="1"/>
  <c r="L43" i="17"/>
  <c r="L42" i="17"/>
  <c r="L48" i="16" s="1"/>
  <c r="M42" i="17"/>
  <c r="M48" i="16" s="1"/>
  <c r="L35" i="17"/>
  <c r="N35" i="17"/>
  <c r="M35" i="17"/>
  <c r="N34" i="17"/>
  <c r="M34" i="17"/>
  <c r="L34" i="17"/>
  <c r="L33" i="17"/>
  <c r="L38" i="17"/>
  <c r="L44" i="16" s="1"/>
  <c r="B27" i="17"/>
  <c r="B32" i="17" s="1"/>
  <c r="C27" i="17"/>
  <c r="C32" i="17" s="1"/>
  <c r="D27" i="17"/>
  <c r="D32" i="17" s="1"/>
  <c r="E27" i="17"/>
  <c r="E32" i="17" s="1"/>
  <c r="F27" i="17"/>
  <c r="F32" i="17" s="1"/>
  <c r="G27" i="17"/>
  <c r="G32" i="17" s="1"/>
  <c r="H27" i="17"/>
  <c r="H32" i="17" s="1"/>
  <c r="I27" i="17"/>
  <c r="I23" i="17" s="1"/>
  <c r="J27" i="17"/>
  <c r="J32" i="17" s="1"/>
  <c r="K27" i="17"/>
  <c r="K32" i="17" s="1"/>
  <c r="L27" i="17"/>
  <c r="L30" i="17"/>
  <c r="L41" i="16" s="1"/>
  <c r="L29" i="17"/>
  <c r="L40" i="16" s="1"/>
  <c r="L28" i="17"/>
  <c r="J43" i="17"/>
  <c r="I43" i="17"/>
  <c r="G43" i="17"/>
  <c r="F34" i="17"/>
  <c r="E34" i="17"/>
  <c r="K33" i="17"/>
  <c r="J33" i="17"/>
  <c r="I33" i="17"/>
  <c r="H33" i="17"/>
  <c r="G33" i="17"/>
  <c r="F33" i="17"/>
  <c r="E33" i="17"/>
  <c r="D33" i="17"/>
  <c r="C33" i="17"/>
  <c r="B33" i="17"/>
  <c r="I29" i="17"/>
  <c r="I40" i="16" s="1"/>
  <c r="D29" i="17"/>
  <c r="D40" i="16" s="1"/>
  <c r="E29" i="17"/>
  <c r="E40" i="16" s="1"/>
  <c r="F29" i="17"/>
  <c r="F40" i="16" s="1"/>
  <c r="G29" i="17"/>
  <c r="G40" i="16" s="1"/>
  <c r="G12" i="17"/>
  <c r="E17" i="17"/>
  <c r="F16" i="17"/>
  <c r="F17" i="17"/>
  <c r="G17" i="17"/>
  <c r="J6" i="17"/>
  <c r="G7" i="17"/>
  <c r="G7" i="16" s="1"/>
  <c r="I8" i="17"/>
  <c r="I11" i="16" s="1"/>
  <c r="H8" i="17"/>
  <c r="H11" i="16" s="1"/>
  <c r="I9" i="17"/>
  <c r="I15" i="16" s="1"/>
  <c r="J108" i="1"/>
  <c r="B82" i="17"/>
  <c r="M82" i="1"/>
  <c r="D4" i="1" a="1"/>
  <c r="D4" i="1" s="1"/>
  <c r="D8" i="10"/>
  <c r="E8" i="10"/>
  <c r="F8" i="10"/>
  <c r="H75" i="17"/>
  <c r="I75" i="17"/>
  <c r="D67" i="17"/>
  <c r="D25" i="4" s="1"/>
  <c r="E67" i="17"/>
  <c r="B49" i="17"/>
  <c r="B54" i="16" s="1"/>
  <c r="B45" i="17"/>
  <c r="B50" i="16" s="1"/>
  <c r="B9" i="17"/>
  <c r="B15" i="16" s="1"/>
  <c r="B31" i="17" l="1"/>
  <c r="B23" i="17"/>
  <c r="I32" i="17"/>
  <c r="C42" i="16"/>
  <c r="D23" i="22"/>
  <c r="B42" i="16"/>
  <c r="C23" i="22"/>
  <c r="C133" i="22"/>
  <c r="M7" i="16"/>
  <c r="M23" i="17"/>
  <c r="K27" i="22"/>
  <c r="J5" i="16"/>
  <c r="J24" i="22"/>
  <c r="K24" i="22"/>
  <c r="K30" i="22"/>
  <c r="J92" i="17"/>
  <c r="K19" i="22"/>
  <c r="M28" i="22"/>
  <c r="M29" i="22"/>
  <c r="L23" i="16"/>
  <c r="M20" i="22" s="1"/>
  <c r="L42" i="16"/>
  <c r="M23" i="22"/>
  <c r="H28" i="22"/>
  <c r="O28" i="22" s="1"/>
  <c r="G23" i="16"/>
  <c r="H20" i="22" s="1"/>
  <c r="H29" i="22"/>
  <c r="O29" i="22" s="1"/>
  <c r="H42" i="16"/>
  <c r="I23" i="22"/>
  <c r="L51" i="17"/>
  <c r="L56" i="16" s="1"/>
  <c r="F42" i="16"/>
  <c r="G23" i="22"/>
  <c r="E42" i="16"/>
  <c r="F23" i="22"/>
  <c r="L39" i="16"/>
  <c r="M22" i="22"/>
  <c r="G42" i="16"/>
  <c r="H23" i="22"/>
  <c r="J42" i="16"/>
  <c r="K23" i="22"/>
  <c r="D42" i="16"/>
  <c r="E23" i="22"/>
  <c r="K42" i="16"/>
  <c r="L23" i="22"/>
  <c r="L24" i="22"/>
  <c r="L5" i="16"/>
  <c r="M27" i="22"/>
  <c r="M30" i="22"/>
  <c r="L92" i="17"/>
  <c r="M19" i="22"/>
  <c r="I42" i="16"/>
  <c r="J23" i="22"/>
  <c r="M5" i="16"/>
  <c r="M92" i="17"/>
  <c r="C134" i="22"/>
  <c r="N92" i="17"/>
  <c r="B36" i="17"/>
  <c r="B75" i="17"/>
  <c r="F31" i="4" s="1"/>
  <c r="C75" i="17"/>
  <c r="E31" i="4" s="1"/>
  <c r="B67" i="17"/>
  <c r="F25" i="4" s="1"/>
  <c r="C67" i="17"/>
  <c r="E25" i="4" s="1"/>
  <c r="B60" i="17"/>
  <c r="B63" i="17" s="1"/>
  <c r="B56" i="17"/>
  <c r="B64" i="16" s="1"/>
  <c r="C56" i="17"/>
  <c r="C64" i="16" s="1"/>
  <c r="B50" i="17"/>
  <c r="B55" i="16" s="1"/>
  <c r="B46" i="17"/>
  <c r="B51" i="16" s="1"/>
  <c r="C46" i="17"/>
  <c r="C51" i="16" s="1"/>
  <c r="C31" i="17"/>
  <c r="B13" i="17"/>
  <c r="B14" i="17" s="1"/>
  <c r="C13" i="17"/>
  <c r="C47" i="17"/>
  <c r="K31" i="17"/>
  <c r="J31" i="17"/>
  <c r="I19" i="1"/>
  <c r="M108" i="1"/>
  <c r="K108" i="1"/>
  <c r="L108" i="1"/>
  <c r="I108" i="1"/>
  <c r="C50" i="17" l="1"/>
  <c r="C55" i="16" s="1"/>
  <c r="C52" i="16"/>
  <c r="C135" i="22"/>
  <c r="B37" i="17"/>
  <c r="B43" i="16" s="1"/>
  <c r="P18" i="22" l="1"/>
  <c r="Q18" i="22"/>
  <c r="P19" i="22"/>
  <c r="Q19" i="22"/>
  <c r="P22" i="22"/>
  <c r="Q22" i="22"/>
  <c r="P24" i="22"/>
  <c r="Q24" i="22"/>
  <c r="P30" i="22"/>
  <c r="Q30" i="22"/>
  <c r="Q17" i="22"/>
  <c r="P17" i="22"/>
  <c r="O16" i="22"/>
  <c r="P16" i="22"/>
  <c r="Q16" i="22"/>
  <c r="O19" i="22"/>
  <c r="O22" i="22"/>
  <c r="O24" i="22"/>
  <c r="O30" i="22"/>
  <c r="O18" i="22"/>
  <c r="O17" i="22"/>
  <c r="H26" i="22"/>
  <c r="I26" i="22"/>
  <c r="J26" i="22"/>
  <c r="K26" i="22"/>
  <c r="L26" i="22"/>
  <c r="M26" i="22"/>
  <c r="H9" i="22"/>
  <c r="I9" i="22"/>
  <c r="J9" i="22"/>
  <c r="K9" i="22"/>
  <c r="L9" i="22"/>
  <c r="M9" i="22"/>
  <c r="H10" i="22"/>
  <c r="I10" i="22"/>
  <c r="J10" i="22"/>
  <c r="K10" i="22"/>
  <c r="L10" i="22"/>
  <c r="M10" i="22"/>
  <c r="D66" i="3"/>
  <c r="D26" i="22"/>
  <c r="E26" i="22"/>
  <c r="F26" i="22"/>
  <c r="G26" i="22"/>
  <c r="C26" i="22"/>
  <c r="F54" i="4"/>
  <c r="F55" i="4"/>
  <c r="F56" i="4"/>
  <c r="F57" i="4"/>
  <c r="F58" i="4"/>
  <c r="F59" i="4"/>
  <c r="F60" i="4"/>
  <c r="F61" i="4"/>
  <c r="F62" i="4"/>
  <c r="F63" i="4"/>
  <c r="F64" i="4"/>
  <c r="F65" i="4"/>
  <c r="F66" i="4"/>
  <c r="F53" i="4"/>
  <c r="D56" i="4"/>
  <c r="E56" i="4"/>
  <c r="E57" i="4"/>
  <c r="D58" i="4"/>
  <c r="E58" i="4"/>
  <c r="D59" i="4"/>
  <c r="E59" i="4"/>
  <c r="D61" i="4"/>
  <c r="E61" i="4"/>
  <c r="E63" i="4"/>
  <c r="E64" i="4"/>
  <c r="I27" i="4"/>
  <c r="AF27" i="4"/>
  <c r="D67" i="4"/>
  <c r="D18" i="10"/>
  <c r="E18" i="10"/>
  <c r="F18" i="10"/>
  <c r="G18" i="10"/>
  <c r="H18" i="10"/>
  <c r="C87" i="17"/>
  <c r="O27" i="22" l="1"/>
  <c r="O26" i="22"/>
  <c r="O23" i="22"/>
  <c r="AA27" i="4"/>
  <c r="Y27" i="4"/>
  <c r="X27" i="4"/>
  <c r="W27" i="4"/>
  <c r="Z27" i="4"/>
  <c r="V27" i="4"/>
  <c r="P27" i="22"/>
  <c r="G27" i="4"/>
  <c r="Q27" i="22"/>
  <c r="Q23" i="22"/>
  <c r="P23" i="22"/>
  <c r="Q26" i="22"/>
  <c r="P26" i="22"/>
  <c r="T27" i="4"/>
  <c r="R27" i="4"/>
  <c r="H27" i="4"/>
  <c r="K27" i="4"/>
  <c r="Q27" i="4"/>
  <c r="J27" i="4"/>
  <c r="S27" i="4"/>
  <c r="P27" i="4"/>
  <c r="AD27" i="4"/>
  <c r="N27" i="4"/>
  <c r="L27" i="4"/>
  <c r="AC27" i="4"/>
  <c r="M27" i="4"/>
  <c r="U27" i="4"/>
  <c r="AE27" i="4"/>
  <c r="O27" i="4"/>
  <c r="AB27" i="4"/>
  <c r="I48" i="10"/>
  <c r="O6" i="3"/>
  <c r="O7" i="3"/>
  <c r="O8" i="3"/>
  <c r="O9" i="3"/>
  <c r="N6" i="3"/>
  <c r="N7" i="3"/>
  <c r="N8" i="3"/>
  <c r="N9" i="3"/>
  <c r="M6" i="3"/>
  <c r="M7" i="3"/>
  <c r="M8" i="3"/>
  <c r="M9" i="3"/>
  <c r="L6" i="3"/>
  <c r="L7" i="3"/>
  <c r="L8" i="3"/>
  <c r="L9" i="3"/>
  <c r="K6" i="3"/>
  <c r="K7" i="3"/>
  <c r="K8" i="3"/>
  <c r="K9" i="3"/>
  <c r="G24" i="4" l="1"/>
  <c r="G40" i="4"/>
  <c r="C16" i="22"/>
  <c r="H8" i="10"/>
  <c r="G8" i="10"/>
  <c r="D60" i="17"/>
  <c r="E60" i="17"/>
  <c r="F60" i="17"/>
  <c r="G60" i="17"/>
  <c r="H60" i="17"/>
  <c r="H63" i="17" s="1"/>
  <c r="I60" i="17"/>
  <c r="J60" i="17"/>
  <c r="K60" i="17"/>
  <c r="L60" i="17"/>
  <c r="M60" i="17"/>
  <c r="N60" i="17"/>
  <c r="C60" i="17"/>
  <c r="C63" i="17" s="1"/>
  <c r="G67" i="17"/>
  <c r="H67" i="17"/>
  <c r="I67" i="17"/>
  <c r="J67" i="17"/>
  <c r="K67" i="17"/>
  <c r="L67" i="17"/>
  <c r="M67" i="17"/>
  <c r="N67" i="17"/>
  <c r="F47" i="17"/>
  <c r="F52" i="16" s="1"/>
  <c r="G47" i="17"/>
  <c r="G52" i="16" s="1"/>
  <c r="H47" i="17"/>
  <c r="H52" i="16" s="1"/>
  <c r="I47" i="17"/>
  <c r="I52" i="16" s="1"/>
  <c r="J47" i="17"/>
  <c r="J52" i="16" s="1"/>
  <c r="K47" i="17"/>
  <c r="K52" i="16" s="1"/>
  <c r="M47" i="17"/>
  <c r="M52" i="16" s="1"/>
  <c r="N47" i="17"/>
  <c r="E47" i="17"/>
  <c r="E52" i="16" s="1"/>
  <c r="L32" i="17"/>
  <c r="M32" i="17"/>
  <c r="N32" i="17"/>
  <c r="F24" i="1"/>
  <c r="C14" i="17" l="1"/>
  <c r="C77" i="17"/>
  <c r="C75" i="16" s="1"/>
  <c r="C36" i="17"/>
  <c r="C37" i="17" s="1"/>
  <c r="C43" i="16" s="1"/>
  <c r="C23" i="17"/>
  <c r="B22" i="17" s="1"/>
  <c r="B18" i="16" s="1"/>
  <c r="G36" i="10" l="1"/>
  <c r="G37" i="10"/>
  <c r="E37" i="10"/>
  <c r="E36" i="10"/>
  <c r="D36" i="10"/>
  <c r="D37" i="10"/>
  <c r="F36" i="10"/>
  <c r="F37" i="10"/>
  <c r="H36" i="10"/>
  <c r="H37" i="10"/>
  <c r="H52" i="10" l="1"/>
  <c r="G52" i="10"/>
  <c r="F52" i="10"/>
  <c r="E52" i="10"/>
  <c r="D52" i="10"/>
  <c r="E10" i="22"/>
  <c r="F10" i="22"/>
  <c r="G10" i="22"/>
  <c r="G9" i="22"/>
  <c r="F9" i="22"/>
  <c r="E9" i="22"/>
  <c r="D10" i="22"/>
  <c r="D9" i="22"/>
  <c r="C10" i="22"/>
  <c r="C9" i="22"/>
  <c r="P10" i="22" l="1"/>
  <c r="Q10" i="22"/>
  <c r="O10" i="22"/>
  <c r="O9" i="22"/>
  <c r="Q9" i="22"/>
  <c r="P9" i="22"/>
  <c r="D8" i="22"/>
  <c r="C49" i="10"/>
  <c r="I49" i="10" l="1"/>
  <c r="J49" i="10" s="1"/>
  <c r="E8" i="22"/>
  <c r="D16" i="22"/>
  <c r="O19" i="3"/>
  <c r="N19" i="3"/>
  <c r="M19" i="3"/>
  <c r="L19" i="3"/>
  <c r="K19" i="3"/>
  <c r="Q4" i="19"/>
  <c r="P4" i="19"/>
  <c r="O4" i="19"/>
  <c r="N4" i="19"/>
  <c r="M4" i="19"/>
  <c r="J40" i="1" l="1"/>
  <c r="G45" i="4"/>
  <c r="F8" i="22"/>
  <c r="E16" i="22"/>
  <c r="I44" i="10"/>
  <c r="J44" i="10" s="1"/>
  <c r="J46" i="10"/>
  <c r="E2" i="1"/>
  <c r="C8" i="10" s="1"/>
  <c r="H22" i="10"/>
  <c r="G22" i="10"/>
  <c r="F22" i="10"/>
  <c r="E22" i="10"/>
  <c r="D22" i="10"/>
  <c r="D77" i="17"/>
  <c r="E77" i="17"/>
  <c r="F77" i="17"/>
  <c r="G77" i="17"/>
  <c r="H77" i="17"/>
  <c r="I77" i="17"/>
  <c r="J77" i="17"/>
  <c r="K77" i="17"/>
  <c r="L77" i="17"/>
  <c r="L75" i="16" s="1"/>
  <c r="M77" i="17"/>
  <c r="M75" i="16" s="1"/>
  <c r="N77" i="17"/>
  <c r="F55" i="1"/>
  <c r="F47" i="1" l="1"/>
  <c r="K75" i="16"/>
  <c r="F51" i="1"/>
  <c r="G75" i="16"/>
  <c r="F48" i="1"/>
  <c r="J75" i="16"/>
  <c r="F52" i="1"/>
  <c r="F75" i="16"/>
  <c r="F53" i="1"/>
  <c r="E75" i="16"/>
  <c r="F49" i="1"/>
  <c r="I75" i="16"/>
  <c r="F50" i="1"/>
  <c r="H75" i="16"/>
  <c r="F54" i="1"/>
  <c r="D75" i="16"/>
  <c r="M22" i="1" a="1"/>
  <c r="M22" i="1" s="1"/>
  <c r="G108" i="1"/>
  <c r="B15" i="1" a="1"/>
  <c r="B15" i="1" s="1"/>
  <c r="L2" i="1" a="1"/>
  <c r="L2" i="1" s="1"/>
  <c r="G8" i="22"/>
  <c r="F16" i="22"/>
  <c r="C21" i="1" a="1"/>
  <c r="C21" i="1" s="1"/>
  <c r="C20" i="1" a="1"/>
  <c r="C20" i="1" s="1"/>
  <c r="G16" i="22" l="1"/>
  <c r="H8" i="22"/>
  <c r="L4" i="19"/>
  <c r="C10" i="10" a="1"/>
  <c r="C10" i="10" s="1"/>
  <c r="E28" i="10"/>
  <c r="L6" i="19"/>
  <c r="P9" i="19"/>
  <c r="P8" i="19"/>
  <c r="P7" i="19"/>
  <c r="P6" i="19"/>
  <c r="D23" i="17"/>
  <c r="C22" i="17" s="1"/>
  <c r="C18" i="16" s="1"/>
  <c r="E23" i="17"/>
  <c r="F23" i="17"/>
  <c r="G23" i="17"/>
  <c r="H23" i="17"/>
  <c r="J23" i="17"/>
  <c r="K23" i="17"/>
  <c r="L23" i="17"/>
  <c r="N23" i="17"/>
  <c r="D24" i="4"/>
  <c r="I8" i="22" l="1"/>
  <c r="H16" i="22"/>
  <c r="J8" i="22" l="1"/>
  <c r="I16" i="22"/>
  <c r="L75" i="17"/>
  <c r="M75" i="17"/>
  <c r="N75" i="17"/>
  <c r="K75" i="17"/>
  <c r="F67" i="17"/>
  <c r="N63" i="17"/>
  <c r="F63" i="17"/>
  <c r="G63" i="17"/>
  <c r="I63" i="17"/>
  <c r="J63" i="17"/>
  <c r="K63" i="17"/>
  <c r="F27" i="1"/>
  <c r="F21" i="1"/>
  <c r="K8" i="22" l="1"/>
  <c r="J16" i="22"/>
  <c r="D73" i="4"/>
  <c r="L8" i="22" l="1"/>
  <c r="K16" i="22"/>
  <c r="G10" i="4"/>
  <c r="F75" i="17"/>
  <c r="G75" i="17"/>
  <c r="J75" i="17"/>
  <c r="F36" i="17"/>
  <c r="G46" i="17"/>
  <c r="G51" i="16" s="1"/>
  <c r="E75" i="17"/>
  <c r="D75" i="17"/>
  <c r="D31" i="4" s="1"/>
  <c r="G31" i="4" s="1"/>
  <c r="E63" i="17"/>
  <c r="J22" i="17"/>
  <c r="J18" i="16" s="1"/>
  <c r="L22" i="17"/>
  <c r="L18" i="16" s="1"/>
  <c r="C8" i="19"/>
  <c r="M6" i="19"/>
  <c r="N6" i="19"/>
  <c r="O6" i="19"/>
  <c r="Q6" i="19"/>
  <c r="M7" i="19"/>
  <c r="N7" i="19"/>
  <c r="O7" i="19"/>
  <c r="Q7" i="19"/>
  <c r="M8" i="19"/>
  <c r="N8" i="19"/>
  <c r="O8" i="19"/>
  <c r="Q8" i="19"/>
  <c r="M9" i="19"/>
  <c r="N9" i="19"/>
  <c r="O9" i="19"/>
  <c r="Q9" i="19"/>
  <c r="L7" i="19"/>
  <c r="L8" i="19"/>
  <c r="L9" i="19"/>
  <c r="L18" i="3"/>
  <c r="M18" i="3"/>
  <c r="N18" i="3"/>
  <c r="O18" i="3"/>
  <c r="L20" i="3"/>
  <c r="M20" i="3"/>
  <c r="N20" i="3"/>
  <c r="O20" i="3"/>
  <c r="L21" i="3"/>
  <c r="M21" i="3"/>
  <c r="N21" i="3"/>
  <c r="O21" i="3"/>
  <c r="L22" i="3"/>
  <c r="M22" i="3"/>
  <c r="N22" i="3"/>
  <c r="O22" i="3"/>
  <c r="L23" i="3"/>
  <c r="M23" i="3"/>
  <c r="N23" i="3"/>
  <c r="O23" i="3"/>
  <c r="K20" i="3"/>
  <c r="K21" i="3"/>
  <c r="K22" i="3"/>
  <c r="K23" i="3"/>
  <c r="K18" i="3"/>
  <c r="O10" i="3"/>
  <c r="O5" i="3"/>
  <c r="N10" i="3"/>
  <c r="N5" i="3"/>
  <c r="M10" i="3"/>
  <c r="M5" i="3"/>
  <c r="L10" i="3"/>
  <c r="L5" i="3"/>
  <c r="K10" i="3"/>
  <c r="K5" i="3"/>
  <c r="E22" i="4"/>
  <c r="F22" i="4"/>
  <c r="D63" i="17"/>
  <c r="M8" i="22" l="1"/>
  <c r="M16" i="22" s="1"/>
  <c r="L16" i="22"/>
  <c r="G39" i="4"/>
  <c r="G38" i="4"/>
  <c r="R8" i="19"/>
  <c r="R7" i="19"/>
  <c r="R6" i="19"/>
  <c r="R9" i="19"/>
  <c r="C6" i="19"/>
  <c r="D24" i="3"/>
  <c r="H4" i="4"/>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D47" i="10"/>
  <c r="E47" i="10"/>
  <c r="F47" i="10"/>
  <c r="G47" i="10"/>
  <c r="H47" i="10"/>
  <c r="G28" i="10"/>
  <c r="D11" i="10"/>
  <c r="D50" i="10" s="1"/>
  <c r="E11" i="10"/>
  <c r="E50" i="10" s="1"/>
  <c r="F11" i="10"/>
  <c r="F50" i="10" s="1"/>
  <c r="G11" i="10"/>
  <c r="G50" i="10" s="1"/>
  <c r="H11" i="10"/>
  <c r="H50" i="10" s="1"/>
  <c r="D13" i="10"/>
  <c r="E13" i="10"/>
  <c r="F13" i="10"/>
  <c r="G13" i="10"/>
  <c r="H13" i="10"/>
  <c r="D14" i="10"/>
  <c r="E14" i="10"/>
  <c r="F14" i="10"/>
  <c r="G14" i="10"/>
  <c r="H14" i="10"/>
  <c r="D15" i="10"/>
  <c r="E15" i="10"/>
  <c r="F15" i="10"/>
  <c r="G15" i="10"/>
  <c r="H15" i="10"/>
  <c r="D16" i="10"/>
  <c r="E16" i="10"/>
  <c r="F16" i="10"/>
  <c r="G16" i="10"/>
  <c r="H16" i="10"/>
  <c r="D17" i="10"/>
  <c r="E17" i="10"/>
  <c r="F17" i="10"/>
  <c r="G17" i="10"/>
  <c r="H17" i="10"/>
  <c r="D20" i="10"/>
  <c r="E20" i="10"/>
  <c r="F20" i="10"/>
  <c r="G20" i="10"/>
  <c r="H20" i="10"/>
  <c r="D21" i="10"/>
  <c r="E21" i="10"/>
  <c r="F21" i="10"/>
  <c r="G21" i="10"/>
  <c r="H21" i="10"/>
  <c r="D24" i="10"/>
  <c r="E24" i="10"/>
  <c r="F24" i="10"/>
  <c r="G24" i="10"/>
  <c r="H24" i="10"/>
  <c r="D25" i="10"/>
  <c r="E25" i="10"/>
  <c r="F25" i="10"/>
  <c r="G25" i="10"/>
  <c r="H25" i="10"/>
  <c r="D27" i="10"/>
  <c r="E27" i="10"/>
  <c r="F27" i="10"/>
  <c r="G27" i="10"/>
  <c r="H27" i="10"/>
  <c r="D28" i="10"/>
  <c r="F28" i="10"/>
  <c r="H28" i="10"/>
  <c r="D29" i="10"/>
  <c r="E29" i="10"/>
  <c r="F29" i="10"/>
  <c r="G29" i="10"/>
  <c r="H29" i="10"/>
  <c r="D30" i="10"/>
  <c r="E30" i="10"/>
  <c r="F30" i="10"/>
  <c r="G30" i="10"/>
  <c r="H30" i="10"/>
  <c r="D31" i="10"/>
  <c r="E31" i="10"/>
  <c r="F31" i="10"/>
  <c r="G31" i="10"/>
  <c r="H31" i="10"/>
  <c r="D33" i="10"/>
  <c r="E33" i="10"/>
  <c r="F33" i="10"/>
  <c r="G33" i="10"/>
  <c r="H33" i="10"/>
  <c r="D34" i="10"/>
  <c r="E34" i="10"/>
  <c r="F34" i="10"/>
  <c r="G34" i="10"/>
  <c r="H34" i="10"/>
  <c r="D35" i="10"/>
  <c r="E35" i="10"/>
  <c r="F35" i="10"/>
  <c r="G35" i="10"/>
  <c r="H35" i="10"/>
  <c r="C40" i="10"/>
  <c r="C39" i="10"/>
  <c r="C52" i="10"/>
  <c r="I9" i="10"/>
  <c r="I38" i="10"/>
  <c r="C72" i="10"/>
  <c r="C71" i="10"/>
  <c r="C68" i="10"/>
  <c r="B15" i="3"/>
  <c r="E24" i="3"/>
  <c r="F24" i="3"/>
  <c r="G24" i="3"/>
  <c r="H24" i="3"/>
  <c r="I24" i="3"/>
  <c r="E13" i="3"/>
  <c r="F13" i="3"/>
  <c r="G13" i="3"/>
  <c r="H13" i="3"/>
  <c r="I13" i="3"/>
  <c r="L17" i="3"/>
  <c r="M17" i="3" s="1"/>
  <c r="N17" i="3" s="1"/>
  <c r="O17" i="3" s="1"/>
  <c r="P17" i="3" s="1"/>
  <c r="L4" i="3"/>
  <c r="M4" i="3" s="1"/>
  <c r="N4" i="3" s="1"/>
  <c r="O4" i="3" s="1"/>
  <c r="P4" i="3" s="1"/>
  <c r="E17" i="3"/>
  <c r="F17" i="3" s="1"/>
  <c r="G17" i="3" s="1"/>
  <c r="H17" i="3" s="1"/>
  <c r="I17" i="3" s="1"/>
  <c r="E4" i="3"/>
  <c r="F4" i="3" s="1"/>
  <c r="G4" i="3" s="1"/>
  <c r="H4" i="3" s="1"/>
  <c r="I4" i="3" s="1"/>
  <c r="M84" i="16"/>
  <c r="L84" i="16"/>
  <c r="K84" i="16"/>
  <c r="J84" i="16"/>
  <c r="I84" i="16"/>
  <c r="H84" i="16"/>
  <c r="G84" i="16"/>
  <c r="F84" i="16"/>
  <c r="E84" i="16"/>
  <c r="D84" i="16"/>
  <c r="C84" i="16"/>
  <c r="B84"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C70" i="10"/>
  <c r="C69" i="10"/>
  <c r="M26" i="16"/>
  <c r="D43" i="4"/>
  <c r="C65" i="10"/>
  <c r="F23" i="4"/>
  <c r="D17" i="4"/>
  <c r="E17" i="4"/>
  <c r="D14" i="4"/>
  <c r="E14" i="4"/>
  <c r="F14" i="4"/>
  <c r="D13" i="4"/>
  <c r="E13" i="4"/>
  <c r="D8" i="4"/>
  <c r="N13" i="17"/>
  <c r="L13" i="17"/>
  <c r="K13" i="17"/>
  <c r="J13" i="17"/>
  <c r="I13" i="17"/>
  <c r="H13" i="17"/>
  <c r="H14" i="17" s="1"/>
  <c r="G13" i="17"/>
  <c r="F13" i="17"/>
  <c r="D36" i="17"/>
  <c r="D31" i="17"/>
  <c r="E31" i="17"/>
  <c r="F31" i="17"/>
  <c r="G31" i="17"/>
  <c r="H31" i="17"/>
  <c r="I31" i="17"/>
  <c r="L31" i="17"/>
  <c r="M31" i="17"/>
  <c r="N31" i="17"/>
  <c r="E50" i="17"/>
  <c r="E55" i="16" s="1"/>
  <c r="F50" i="17"/>
  <c r="F55" i="16" s="1"/>
  <c r="G50" i="17"/>
  <c r="G55" i="16" s="1"/>
  <c r="H50" i="17"/>
  <c r="H55" i="16" s="1"/>
  <c r="I50" i="17"/>
  <c r="I55" i="16" s="1"/>
  <c r="J50" i="17"/>
  <c r="J55" i="16" s="1"/>
  <c r="K50" i="17"/>
  <c r="K55" i="16" s="1"/>
  <c r="M50" i="17"/>
  <c r="M55" i="16" s="1"/>
  <c r="N50" i="17"/>
  <c r="D46" i="17"/>
  <c r="D51" i="16" s="1"/>
  <c r="E46" i="17"/>
  <c r="E51" i="16" s="1"/>
  <c r="F46" i="17"/>
  <c r="F51" i="16" s="1"/>
  <c r="H46" i="17"/>
  <c r="H51" i="16" s="1"/>
  <c r="I46" i="17"/>
  <c r="I51" i="16" s="1"/>
  <c r="J46" i="17"/>
  <c r="J51" i="16" s="1"/>
  <c r="K46" i="17"/>
  <c r="K51" i="16" s="1"/>
  <c r="L46" i="17"/>
  <c r="L51" i="16" s="1"/>
  <c r="M46" i="17"/>
  <c r="M51" i="16" s="1"/>
  <c r="N46" i="17"/>
  <c r="AC38" i="17"/>
  <c r="H14" i="4" l="1"/>
  <c r="I14" i="4" s="1"/>
  <c r="J14" i="4" s="1"/>
  <c r="K14" i="4" s="1"/>
  <c r="G19" i="16"/>
  <c r="B58" i="16"/>
  <c r="B21" i="3"/>
  <c r="B19" i="3"/>
  <c r="H29" i="1" s="1"/>
  <c r="B22" i="3"/>
  <c r="B20" i="3"/>
  <c r="H31" i="1" s="1"/>
  <c r="B23" i="3"/>
  <c r="E16" i="4"/>
  <c r="D16" i="4"/>
  <c r="D7" i="4"/>
  <c r="D12" i="4"/>
  <c r="E8" i="4"/>
  <c r="E7" i="4" s="1"/>
  <c r="C62" i="10"/>
  <c r="B18" i="3"/>
  <c r="H27" i="1" s="1"/>
  <c r="D37" i="17"/>
  <c r="D43" i="16" s="1"/>
  <c r="I43" i="10"/>
  <c r="J43" i="10" s="1"/>
  <c r="D29" i="4"/>
  <c r="D30" i="4"/>
  <c r="E30" i="4"/>
  <c r="E29" i="4"/>
  <c r="F30" i="4"/>
  <c r="C61" i="10"/>
  <c r="F16" i="4"/>
  <c r="F29" i="4"/>
  <c r="H10" i="4"/>
  <c r="G46" i="4"/>
  <c r="F45" i="4"/>
  <c r="F46" i="4"/>
  <c r="F47" i="4"/>
  <c r="H16" i="16"/>
  <c r="L58" i="16"/>
  <c r="M58" i="16"/>
  <c r="I58" i="16"/>
  <c r="J58" i="16"/>
  <c r="K58" i="16"/>
  <c r="E23" i="4"/>
  <c r="E24" i="4"/>
  <c r="F24" i="4"/>
  <c r="C66" i="10"/>
  <c r="C25" i="10" s="1"/>
  <c r="C67" i="10"/>
  <c r="K47" i="4"/>
  <c r="O47" i="4"/>
  <c r="S47" i="4"/>
  <c r="W47" i="4"/>
  <c r="AA47" i="4"/>
  <c r="AE47" i="4"/>
  <c r="J46" i="4"/>
  <c r="N46" i="4"/>
  <c r="R46" i="4"/>
  <c r="V46" i="4"/>
  <c r="Z46" i="4"/>
  <c r="AD46" i="4"/>
  <c r="G47" i="4"/>
  <c r="K45" i="4"/>
  <c r="O45" i="4"/>
  <c r="S45" i="4"/>
  <c r="W45" i="4"/>
  <c r="AA45" i="4"/>
  <c r="AE45" i="4"/>
  <c r="M47" i="4"/>
  <c r="Y47" i="4"/>
  <c r="H46" i="4"/>
  <c r="P46" i="4"/>
  <c r="X46" i="4"/>
  <c r="AF46" i="4"/>
  <c r="M45" i="4"/>
  <c r="U45" i="4"/>
  <c r="AC45" i="4"/>
  <c r="J47" i="4"/>
  <c r="R47" i="4"/>
  <c r="Z47" i="4"/>
  <c r="AD47" i="4"/>
  <c r="M46" i="4"/>
  <c r="U46" i="4"/>
  <c r="AC46" i="4"/>
  <c r="J45" i="4"/>
  <c r="R45" i="4"/>
  <c r="Z45" i="4"/>
  <c r="H47" i="4"/>
  <c r="L47" i="4"/>
  <c r="P47" i="4"/>
  <c r="T47" i="4"/>
  <c r="X47" i="4"/>
  <c r="AB47" i="4"/>
  <c r="AF47" i="4"/>
  <c r="K46" i="4"/>
  <c r="O46" i="4"/>
  <c r="S46" i="4"/>
  <c r="W46" i="4"/>
  <c r="AA46" i="4"/>
  <c r="AE46" i="4"/>
  <c r="H45" i="4"/>
  <c r="L45" i="4"/>
  <c r="P45" i="4"/>
  <c r="T45" i="4"/>
  <c r="X45" i="4"/>
  <c r="AB45" i="4"/>
  <c r="AF45" i="4"/>
  <c r="I47" i="4"/>
  <c r="Q47" i="4"/>
  <c r="U47" i="4"/>
  <c r="AC47" i="4"/>
  <c r="L46" i="4"/>
  <c r="T46" i="4"/>
  <c r="AB46" i="4"/>
  <c r="I45" i="4"/>
  <c r="Q45" i="4"/>
  <c r="Y45" i="4"/>
  <c r="N47" i="4"/>
  <c r="V47" i="4"/>
  <c r="I46" i="4"/>
  <c r="Q46" i="4"/>
  <c r="Y46" i="4"/>
  <c r="N45" i="4"/>
  <c r="V45" i="4"/>
  <c r="AD45" i="4"/>
  <c r="H12" i="16"/>
  <c r="C56" i="10"/>
  <c r="D23" i="4"/>
  <c r="C54" i="10"/>
  <c r="C55" i="10"/>
  <c r="D58" i="16"/>
  <c r="D15" i="4"/>
  <c r="C58" i="16"/>
  <c r="G58" i="16"/>
  <c r="F58" i="16"/>
  <c r="E58" i="16"/>
  <c r="F13" i="4"/>
  <c r="C59" i="10"/>
  <c r="F8" i="4"/>
  <c r="M13" i="3"/>
  <c r="L13" i="3"/>
  <c r="O24" i="3"/>
  <c r="N24" i="3"/>
  <c r="M24" i="3"/>
  <c r="L24" i="3"/>
  <c r="K24" i="3"/>
  <c r="N13" i="3"/>
  <c r="O13" i="3"/>
  <c r="C24" i="10"/>
  <c r="E13" i="17"/>
  <c r="E14" i="17" s="1"/>
  <c r="D13" i="17"/>
  <c r="D14" i="17" s="1"/>
  <c r="F17" i="4"/>
  <c r="E5" i="4"/>
  <c r="C24" i="1"/>
  <c r="H58" i="16"/>
  <c r="C57" i="10"/>
  <c r="E8" i="16"/>
  <c r="G8" i="16"/>
  <c r="M24" i="16"/>
  <c r="M25" i="16" s="1"/>
  <c r="I16" i="16"/>
  <c r="L22" i="16"/>
  <c r="K16" i="16"/>
  <c r="C16" i="16"/>
  <c r="E16" i="16"/>
  <c r="M16" i="16"/>
  <c r="F24" i="16"/>
  <c r="B8" i="16"/>
  <c r="J24" i="16"/>
  <c r="G24" i="16"/>
  <c r="M8" i="16"/>
  <c r="G22" i="16"/>
  <c r="C24" i="16"/>
  <c r="K24" i="16"/>
  <c r="L8" i="16"/>
  <c r="D8" i="16"/>
  <c r="I8" i="16"/>
  <c r="K8" i="16"/>
  <c r="C8" i="16"/>
  <c r="F8" i="16"/>
  <c r="G16" i="16"/>
  <c r="E22" i="16"/>
  <c r="E24" i="16"/>
  <c r="B16" i="16"/>
  <c r="J16" i="16"/>
  <c r="I12" i="16"/>
  <c r="B24" i="16"/>
  <c r="J8" i="16"/>
  <c r="F12" i="16"/>
  <c r="B19" i="16"/>
  <c r="C22" i="16"/>
  <c r="K22" i="16"/>
  <c r="D22" i="16"/>
  <c r="L24" i="16"/>
  <c r="L16" i="16"/>
  <c r="D12" i="16"/>
  <c r="H8" i="16"/>
  <c r="G12" i="16"/>
  <c r="D16" i="16"/>
  <c r="F22" i="16"/>
  <c r="D24" i="16"/>
  <c r="J12" i="16"/>
  <c r="F16" i="16"/>
  <c r="I22" i="16"/>
  <c r="H22" i="16"/>
  <c r="K12" i="16"/>
  <c r="C12" i="16"/>
  <c r="L12" i="16"/>
  <c r="B22" i="16"/>
  <c r="J22" i="16"/>
  <c r="M12" i="16"/>
  <c r="M13" i="16" s="1"/>
  <c r="M22" i="16"/>
  <c r="E12" i="16"/>
  <c r="H24" i="16"/>
  <c r="I24" i="16"/>
  <c r="B12" i="16"/>
  <c r="B2" i="3"/>
  <c r="D5" i="17"/>
  <c r="B4" i="16"/>
  <c r="L47" i="1"/>
  <c r="M47" i="1" s="1"/>
  <c r="B54" i="1"/>
  <c r="B53" i="1" s="1"/>
  <c r="B52" i="1" s="1"/>
  <c r="B51" i="1" s="1"/>
  <c r="I26" i="10"/>
  <c r="C12" i="19"/>
  <c r="C13" i="19"/>
  <c r="C14" i="19"/>
  <c r="C15" i="19"/>
  <c r="C16" i="19"/>
  <c r="C17" i="19"/>
  <c r="C18" i="19"/>
  <c r="C19" i="19"/>
  <c r="C20" i="19"/>
  <c r="C21" i="19"/>
  <c r="C22" i="19"/>
  <c r="C7" i="19"/>
  <c r="C9" i="19"/>
  <c r="C10" i="19"/>
  <c r="I12" i="10"/>
  <c r="I40" i="10"/>
  <c r="J40" i="10" s="1"/>
  <c r="AE53" i="17"/>
  <c r="AD53" i="17"/>
  <c r="AE52" i="17"/>
  <c r="AD52" i="17"/>
  <c r="AH49" i="17"/>
  <c r="AH52" i="17" s="1"/>
  <c r="AG49" i="17"/>
  <c r="AF49" i="17"/>
  <c r="AC49" i="17"/>
  <c r="AC52" i="17" s="1"/>
  <c r="AB49" i="17"/>
  <c r="AB52" i="17" s="1"/>
  <c r="AA49" i="17"/>
  <c r="AA52" i="17" s="1"/>
  <c r="F56" i="17"/>
  <c r="F64" i="16" s="1"/>
  <c r="AE48" i="17"/>
  <c r="AD48" i="17"/>
  <c r="AC48" i="17"/>
  <c r="AB48" i="17"/>
  <c r="AA48" i="17"/>
  <c r="AH44" i="17"/>
  <c r="AH48" i="17" s="1"/>
  <c r="AG44" i="17"/>
  <c r="AG48" i="17" s="1"/>
  <c r="AF44" i="17"/>
  <c r="AF48" i="17" s="1"/>
  <c r="AH39" i="17"/>
  <c r="AG39" i="17"/>
  <c r="AF39" i="17"/>
  <c r="AE39" i="17"/>
  <c r="AD39" i="17"/>
  <c r="AC31" i="17"/>
  <c r="AC39" i="17" s="1"/>
  <c r="AB31" i="17"/>
  <c r="AB39" i="17" s="1"/>
  <c r="AA31" i="17"/>
  <c r="AA39" i="17" s="1"/>
  <c r="N14" i="17"/>
  <c r="M14" i="17"/>
  <c r="L14" i="17"/>
  <c r="K14" i="17"/>
  <c r="J14" i="17"/>
  <c r="I14" i="17"/>
  <c r="G14" i="17"/>
  <c r="F14" i="17"/>
  <c r="AB25" i="17"/>
  <c r="P74" i="17"/>
  <c r="AF12" i="17"/>
  <c r="AH11" i="17"/>
  <c r="AG11" i="17"/>
  <c r="AF11" i="17"/>
  <c r="AE11" i="17"/>
  <c r="M22" i="17"/>
  <c r="M18" i="16" s="1"/>
  <c r="I22" i="17"/>
  <c r="I18" i="16" s="1"/>
  <c r="E22" i="17"/>
  <c r="E18" i="16" s="1"/>
  <c r="K22" i="17"/>
  <c r="K18" i="16" s="1"/>
  <c r="H22" i="17"/>
  <c r="H18" i="16" s="1"/>
  <c r="G22" i="17"/>
  <c r="G18" i="16" s="1"/>
  <c r="F22" i="17"/>
  <c r="F18" i="16" s="1"/>
  <c r="D22" i="17"/>
  <c r="D18" i="16" s="1"/>
  <c r="AH9" i="17"/>
  <c r="AG9" i="17"/>
  <c r="AE9" i="17"/>
  <c r="AD9" i="17"/>
  <c r="AC9" i="17"/>
  <c r="AB9" i="17"/>
  <c r="AA9" i="17"/>
  <c r="AH10" i="17"/>
  <c r="AG10" i="17"/>
  <c r="AF10" i="17"/>
  <c r="AE10" i="17"/>
  <c r="AD10" i="17"/>
  <c r="AC10" i="17"/>
  <c r="AB10" i="17"/>
  <c r="AA10" i="17"/>
  <c r="AH7" i="17"/>
  <c r="AH8" i="17" s="1"/>
  <c r="AG7" i="17"/>
  <c r="AG8" i="17" s="1"/>
  <c r="AF7" i="17"/>
  <c r="AF8" i="17" s="1"/>
  <c r="AE7" i="17"/>
  <c r="AE8" i="17" s="1"/>
  <c r="AD7" i="17"/>
  <c r="AD8" i="17" s="1"/>
  <c r="AC7" i="17"/>
  <c r="AC8" i="17" s="1"/>
  <c r="AB7" i="17"/>
  <c r="AB8" i="17" s="1"/>
  <c r="AA7" i="17"/>
  <c r="AA8" i="17" s="1"/>
  <c r="P7" i="17"/>
  <c r="A2" i="16"/>
  <c r="A1" i="16"/>
  <c r="C22" i="1"/>
  <c r="D13" i="3"/>
  <c r="AJ23" i="22" l="1"/>
  <c r="L21" i="22" s="1"/>
  <c r="AH23" i="22"/>
  <c r="J21" i="22" s="1"/>
  <c r="AD23" i="22"/>
  <c r="F21" i="22" s="1"/>
  <c r="AE23" i="22"/>
  <c r="G21" i="22" s="1"/>
  <c r="AK23" i="22"/>
  <c r="M21" i="22" s="1"/>
  <c r="AF23" i="22"/>
  <c r="H21" i="22" s="1"/>
  <c r="AB23" i="22"/>
  <c r="D21" i="22" s="1"/>
  <c r="AG23" i="22"/>
  <c r="I21" i="22" s="1"/>
  <c r="AC23" i="22"/>
  <c r="E21" i="22" s="1"/>
  <c r="AI23" i="22"/>
  <c r="K21" i="22" s="1"/>
  <c r="AA23" i="22"/>
  <c r="C21" i="22" s="1"/>
  <c r="O20" i="22"/>
  <c r="C14" i="10"/>
  <c r="Q20" i="22"/>
  <c r="K31" i="1"/>
  <c r="E23" i="1"/>
  <c r="E29" i="1"/>
  <c r="E28" i="1"/>
  <c r="E24" i="1"/>
  <c r="C31" i="22"/>
  <c r="P20" i="22"/>
  <c r="AA13" i="17"/>
  <c r="AA14" i="17" s="1"/>
  <c r="B6" i="3"/>
  <c r="H24" i="1" s="1"/>
  <c r="B10" i="3"/>
  <c r="B7" i="3"/>
  <c r="B8" i="3"/>
  <c r="B9" i="3"/>
  <c r="E5" i="17"/>
  <c r="E87" i="17" s="1"/>
  <c r="D87" i="17"/>
  <c r="E15" i="4"/>
  <c r="E12" i="4"/>
  <c r="C23" i="1"/>
  <c r="C25" i="1" s="1"/>
  <c r="C58" i="10"/>
  <c r="C22" i="10" s="1"/>
  <c r="C33" i="10"/>
  <c r="I25" i="10"/>
  <c r="J25" i="10" s="1"/>
  <c r="C47" i="10"/>
  <c r="I45" i="10"/>
  <c r="J45" i="10" s="1"/>
  <c r="E32" i="4"/>
  <c r="C31" i="10"/>
  <c r="C11" i="10"/>
  <c r="C50" i="10" s="1"/>
  <c r="B24" i="3"/>
  <c r="D32" i="4"/>
  <c r="D22" i="4"/>
  <c r="F35" i="4"/>
  <c r="D35" i="4"/>
  <c r="F32" i="4"/>
  <c r="C15" i="10"/>
  <c r="C13" i="10"/>
  <c r="E35" i="4"/>
  <c r="F7" i="4"/>
  <c r="C30" i="10"/>
  <c r="B59" i="16"/>
  <c r="E26" i="1" s="1"/>
  <c r="C28" i="10"/>
  <c r="I28" i="10" s="1"/>
  <c r="C34" i="10"/>
  <c r="C16" i="10"/>
  <c r="D44" i="4"/>
  <c r="E44" i="4"/>
  <c r="F44" i="4"/>
  <c r="C84" i="22" s="1"/>
  <c r="G44" i="4" s="1"/>
  <c r="F26" i="4"/>
  <c r="F34" i="4" s="1"/>
  <c r="H13" i="16"/>
  <c r="G13" i="16"/>
  <c r="B60" i="16"/>
  <c r="D26" i="4"/>
  <c r="F12" i="4"/>
  <c r="F15" i="4"/>
  <c r="B5" i="3"/>
  <c r="K13" i="3"/>
  <c r="F5" i="4"/>
  <c r="C29" i="10"/>
  <c r="I29" i="10" s="1"/>
  <c r="C27" i="10"/>
  <c r="B11" i="3"/>
  <c r="B12" i="3"/>
  <c r="M48" i="1"/>
  <c r="M56" i="1"/>
  <c r="M49" i="1"/>
  <c r="L51" i="1"/>
  <c r="L52" i="1"/>
  <c r="M51" i="1"/>
  <c r="L55" i="1"/>
  <c r="M52" i="1"/>
  <c r="L56" i="1"/>
  <c r="M53" i="1"/>
  <c r="M54" i="1"/>
  <c r="M55" i="1"/>
  <c r="L48" i="1"/>
  <c r="L54" i="1"/>
  <c r="L53" i="1"/>
  <c r="L49" i="1"/>
  <c r="K22" i="1"/>
  <c r="K24" i="1"/>
  <c r="K30" i="1"/>
  <c r="K25" i="1"/>
  <c r="K23" i="1"/>
  <c r="B20" i="16"/>
  <c r="E22" i="1"/>
  <c r="E20" i="1"/>
  <c r="E21" i="1"/>
  <c r="L25" i="16"/>
  <c r="E25" i="16"/>
  <c r="I25" i="16"/>
  <c r="G25" i="16"/>
  <c r="D25" i="16"/>
  <c r="C13" i="16"/>
  <c r="B25" i="16"/>
  <c r="F25" i="16"/>
  <c r="E13" i="16"/>
  <c r="J25" i="16"/>
  <c r="B80" i="16"/>
  <c r="E25" i="1"/>
  <c r="K25" i="16"/>
  <c r="B82" i="16"/>
  <c r="B81" i="16"/>
  <c r="K13" i="16"/>
  <c r="F13" i="16"/>
  <c r="B13" i="16"/>
  <c r="J13" i="16"/>
  <c r="C25" i="16"/>
  <c r="H25" i="16"/>
  <c r="I13" i="16"/>
  <c r="L13" i="16"/>
  <c r="D13" i="16"/>
  <c r="AE13" i="17"/>
  <c r="AE14" i="17" s="1"/>
  <c r="AC53" i="17"/>
  <c r="AH53" i="17"/>
  <c r="AA53" i="17"/>
  <c r="AB13" i="17"/>
  <c r="AB14" i="17" s="1"/>
  <c r="AD13" i="17"/>
  <c r="AD14" i="17" s="1"/>
  <c r="AH13" i="17"/>
  <c r="AH14" i="17" s="1"/>
  <c r="AB53" i="17"/>
  <c r="AC13" i="17"/>
  <c r="AC14" i="17" s="1"/>
  <c r="AF13" i="17"/>
  <c r="AF14" i="17" s="1"/>
  <c r="AF53" i="17"/>
  <c r="AG13" i="17"/>
  <c r="AG14" i="17" s="1"/>
  <c r="AG53" i="17"/>
  <c r="AG52" i="17"/>
  <c r="AF52" i="17"/>
  <c r="C4" i="16"/>
  <c r="D4" i="16" s="1"/>
  <c r="E4" i="16" s="1"/>
  <c r="F4" i="16" s="1"/>
  <c r="I39" i="10"/>
  <c r="J39" i="10" s="1"/>
  <c r="B50" i="1"/>
  <c r="D84" i="22" l="1"/>
  <c r="H44" i="4" s="1"/>
  <c r="O21" i="22"/>
  <c r="Q21" i="22"/>
  <c r="P21" i="22"/>
  <c r="L14" i="4"/>
  <c r="M14" i="4" s="1"/>
  <c r="I83" i="16"/>
  <c r="F79" i="16"/>
  <c r="F78" i="16"/>
  <c r="H83" i="16"/>
  <c r="E79" i="16"/>
  <c r="E78" i="16"/>
  <c r="K83" i="16"/>
  <c r="G83" i="16"/>
  <c r="D79" i="16"/>
  <c r="D78" i="16"/>
  <c r="H78" i="16"/>
  <c r="F83" i="16"/>
  <c r="C79" i="16"/>
  <c r="C78" i="16"/>
  <c r="E83" i="16"/>
  <c r="B79" i="16"/>
  <c r="B78" i="16"/>
  <c r="D83" i="16"/>
  <c r="M79" i="16"/>
  <c r="M78" i="16"/>
  <c r="L83" i="16"/>
  <c r="C83" i="16"/>
  <c r="L79" i="16"/>
  <c r="L78" i="16"/>
  <c r="H79" i="16"/>
  <c r="B83" i="16"/>
  <c r="K79" i="16"/>
  <c r="K78" i="16"/>
  <c r="M83" i="16"/>
  <c r="J79" i="16"/>
  <c r="J78" i="16"/>
  <c r="I79" i="16"/>
  <c r="J83" i="16"/>
  <c r="G79" i="16"/>
  <c r="G78" i="16"/>
  <c r="I78" i="16"/>
  <c r="M24" i="1"/>
  <c r="K27" i="1"/>
  <c r="F5" i="17"/>
  <c r="G5" i="17" s="1"/>
  <c r="I50" i="10"/>
  <c r="J50" i="10" s="1"/>
  <c r="F36" i="4"/>
  <c r="C74" i="10"/>
  <c r="I27" i="10"/>
  <c r="J27" i="10" s="1"/>
  <c r="I30" i="10"/>
  <c r="J30" i="10" s="1"/>
  <c r="I15" i="10"/>
  <c r="J15" i="10" s="1"/>
  <c r="I11" i="10"/>
  <c r="J11" i="10" s="1"/>
  <c r="J29" i="10"/>
  <c r="I31" i="10"/>
  <c r="J31" i="10" s="1"/>
  <c r="I47" i="10"/>
  <c r="J47" i="10" s="1"/>
  <c r="H21" i="1"/>
  <c r="D34" i="4"/>
  <c r="D36" i="4" s="1"/>
  <c r="M32" i="1"/>
  <c r="C41" i="10" s="1"/>
  <c r="B13" i="3"/>
  <c r="K26" i="1"/>
  <c r="I33" i="10"/>
  <c r="J33" i="10" s="1"/>
  <c r="C73" i="10"/>
  <c r="B34" i="16"/>
  <c r="M27" i="1"/>
  <c r="I24" i="10"/>
  <c r="J24" i="10" s="1"/>
  <c r="I16" i="10"/>
  <c r="J16" i="10" s="1"/>
  <c r="B35" i="16"/>
  <c r="I14" i="10"/>
  <c r="J14" i="10" s="1"/>
  <c r="G4" i="16"/>
  <c r="B49" i="1"/>
  <c r="E84" i="22" l="1"/>
  <c r="I44" i="4" s="1"/>
  <c r="N14" i="4"/>
  <c r="C35" i="10"/>
  <c r="I35" i="10" s="1"/>
  <c r="J35" i="10" s="1"/>
  <c r="C17" i="10"/>
  <c r="I17" i="10" s="1"/>
  <c r="J17" i="10" s="1"/>
  <c r="C18" i="10"/>
  <c r="K28" i="1" s="1"/>
  <c r="C37" i="10"/>
  <c r="C36" i="10"/>
  <c r="I41" i="10"/>
  <c r="J41" i="10" s="1"/>
  <c r="G41" i="4"/>
  <c r="C21" i="10"/>
  <c r="C20" i="10"/>
  <c r="I19" i="10"/>
  <c r="B36" i="16"/>
  <c r="I10" i="10"/>
  <c r="J10" i="10" s="1"/>
  <c r="I22" i="10"/>
  <c r="J22" i="10" s="1"/>
  <c r="H5" i="17"/>
  <c r="H4" i="16"/>
  <c r="B48" i="1"/>
  <c r="F84" i="22" l="1"/>
  <c r="J44" i="4" s="1"/>
  <c r="O14" i="4"/>
  <c r="P14" i="4" s="1"/>
  <c r="I36" i="10"/>
  <c r="J36" i="10" s="1"/>
  <c r="I18" i="10"/>
  <c r="J18" i="10" s="1"/>
  <c r="I37" i="10"/>
  <c r="J37" i="10" s="1"/>
  <c r="I20" i="10"/>
  <c r="J20" i="10" s="1"/>
  <c r="I21" i="10"/>
  <c r="J21" i="10" s="1"/>
  <c r="I5" i="17"/>
  <c r="I4" i="16"/>
  <c r="J4" i="16" s="1"/>
  <c r="B47" i="1"/>
  <c r="D47" i="1" s="1" a="1"/>
  <c r="G84" i="22" l="1"/>
  <c r="K44" i="4" s="1"/>
  <c r="Q14" i="4"/>
  <c r="D47" i="1"/>
  <c r="D59" i="1"/>
  <c r="H9" i="4"/>
  <c r="H47" i="1" a="1"/>
  <c r="H47" i="1" s="1"/>
  <c r="C47" i="1" a="1"/>
  <c r="J5" i="17"/>
  <c r="H84" i="22" l="1"/>
  <c r="L44" i="4" s="1"/>
  <c r="R14" i="4"/>
  <c r="S14" i="4" s="1"/>
  <c r="T14" i="4" s="1"/>
  <c r="H41" i="4"/>
  <c r="C47" i="1"/>
  <c r="C56" i="1" s="1"/>
  <c r="K5" i="17"/>
  <c r="K4" i="16"/>
  <c r="I84" i="22" l="1"/>
  <c r="M44" i="4" s="1"/>
  <c r="U14" i="4"/>
  <c r="V14" i="4" s="1"/>
  <c r="L5" i="17"/>
  <c r="L4" i="16"/>
  <c r="J84" i="22" l="1"/>
  <c r="N44" i="4" s="1"/>
  <c r="W14" i="4"/>
  <c r="X14" i="4" s="1"/>
  <c r="Y14" i="4" s="1"/>
  <c r="M5" i="17"/>
  <c r="M4" i="16"/>
  <c r="K84" i="22" l="1"/>
  <c r="O44" i="4" s="1"/>
  <c r="Z14" i="4"/>
  <c r="AA14" i="4" s="1"/>
  <c r="AB14" i="4" s="1"/>
  <c r="N5" i="17"/>
  <c r="B91" i="16" s="1"/>
  <c r="D91" i="16"/>
  <c r="E91" i="16"/>
  <c r="L84" i="22" l="1"/>
  <c r="P44" i="4" s="1"/>
  <c r="AC14" i="4"/>
  <c r="M6" i="16"/>
  <c r="D34" i="16"/>
  <c r="K35" i="16"/>
  <c r="K36" i="16" s="1"/>
  <c r="I34" i="16"/>
  <c r="G9" i="16"/>
  <c r="G10" i="16" s="1"/>
  <c r="K19" i="16"/>
  <c r="I19" i="16"/>
  <c r="K9" i="16"/>
  <c r="K10" i="16" s="1"/>
  <c r="I9" i="16"/>
  <c r="I10" i="16" s="1"/>
  <c r="M26" i="1"/>
  <c r="J28" i="10"/>
  <c r="C34" i="16"/>
  <c r="H59" i="1"/>
  <c r="E34" i="16"/>
  <c r="C91" i="16"/>
  <c r="F26" i="16"/>
  <c r="I6" i="16"/>
  <c r="K26" i="16"/>
  <c r="K29" i="16" s="1"/>
  <c r="J26" i="16"/>
  <c r="I35" i="16"/>
  <c r="I36" i="16" s="1"/>
  <c r="K34" i="16"/>
  <c r="M84" i="22" l="1"/>
  <c r="Q44" i="4" s="1"/>
  <c r="AD14" i="4"/>
  <c r="AE14" i="4" s="1"/>
  <c r="K20" i="16"/>
  <c r="L31" i="22"/>
  <c r="I20" i="16"/>
  <c r="J31" i="22"/>
  <c r="D60" i="16"/>
  <c r="K60" i="16"/>
  <c r="I60" i="16"/>
  <c r="L34" i="16"/>
  <c r="M34" i="16"/>
  <c r="M19" i="16"/>
  <c r="L6" i="16"/>
  <c r="M9" i="16"/>
  <c r="M10" i="16" s="1"/>
  <c r="M29" i="16"/>
  <c r="M30" i="16" s="1"/>
  <c r="M31" i="16" s="1"/>
  <c r="E26" i="16"/>
  <c r="E29" i="16" s="1"/>
  <c r="M35" i="16"/>
  <c r="M36" i="16" s="1"/>
  <c r="L26" i="16"/>
  <c r="L29" i="16" s="1"/>
  <c r="H56" i="1"/>
  <c r="R50" i="1"/>
  <c r="C35" i="16"/>
  <c r="C36" i="16" s="1"/>
  <c r="L35" i="16"/>
  <c r="L36" i="16" s="1"/>
  <c r="D26" i="16"/>
  <c r="D29" i="16" s="1"/>
  <c r="J35" i="16"/>
  <c r="J36" i="16" s="1"/>
  <c r="H34" i="16"/>
  <c r="C60" i="16"/>
  <c r="J34" i="16"/>
  <c r="H31" i="22"/>
  <c r="F35" i="16"/>
  <c r="F36" i="16" s="1"/>
  <c r="F29" i="16"/>
  <c r="G35" i="16"/>
  <c r="G36" i="16" s="1"/>
  <c r="J29" i="16"/>
  <c r="I26" i="16"/>
  <c r="I29" i="16" s="1"/>
  <c r="E9" i="16"/>
  <c r="E10" i="16" s="1"/>
  <c r="D6" i="16"/>
  <c r="D5" i="4" s="1"/>
  <c r="B6" i="16"/>
  <c r="C6" i="16"/>
  <c r="R55" i="1"/>
  <c r="R52" i="1"/>
  <c r="R51" i="1"/>
  <c r="J19" i="16"/>
  <c r="E35" i="16"/>
  <c r="E36" i="16" s="1"/>
  <c r="C26" i="16"/>
  <c r="C29" i="16" s="1"/>
  <c r="B26" i="16"/>
  <c r="B29" i="16" s="1"/>
  <c r="O51" i="1"/>
  <c r="F19" i="16"/>
  <c r="O50" i="1"/>
  <c r="H19" i="16"/>
  <c r="C9" i="16"/>
  <c r="C10" i="16" s="1"/>
  <c r="C19" i="16"/>
  <c r="E19" i="16"/>
  <c r="D35" i="16"/>
  <c r="D36" i="16" s="1"/>
  <c r="G6" i="16"/>
  <c r="H9" i="16"/>
  <c r="H10" i="16" s="1"/>
  <c r="H6" i="16"/>
  <c r="J9" i="16"/>
  <c r="J10" i="16" s="1"/>
  <c r="J6" i="16"/>
  <c r="D19" i="16"/>
  <c r="H58" i="1"/>
  <c r="K6" i="16"/>
  <c r="L9" i="16"/>
  <c r="L10" i="16" s="1"/>
  <c r="G34" i="16"/>
  <c r="L19" i="16"/>
  <c r="D9" i="16"/>
  <c r="D10" i="16" s="1"/>
  <c r="G26" i="16"/>
  <c r="G29" i="16" s="1"/>
  <c r="H26" i="16"/>
  <c r="H29" i="16" s="1"/>
  <c r="E6" i="16"/>
  <c r="F9" i="16"/>
  <c r="F10" i="16" s="1"/>
  <c r="N51" i="1"/>
  <c r="F6" i="16"/>
  <c r="R49" i="1"/>
  <c r="H35" i="16"/>
  <c r="F34" i="16"/>
  <c r="N84" i="22" l="1"/>
  <c r="R44" i="4" s="1"/>
  <c r="AF14" i="4"/>
  <c r="M20" i="16"/>
  <c r="G31" i="22"/>
  <c r="F31" i="22"/>
  <c r="E31" i="22"/>
  <c r="D31" i="22"/>
  <c r="E31" i="1"/>
  <c r="J20" i="16"/>
  <c r="K31" i="22"/>
  <c r="L20" i="16"/>
  <c r="M31" i="22"/>
  <c r="H20" i="16"/>
  <c r="I31" i="22"/>
  <c r="E47" i="1" a="1"/>
  <c r="E47" i="1" s="1"/>
  <c r="G20" i="16"/>
  <c r="F20" i="16"/>
  <c r="E20" i="16"/>
  <c r="D20" i="16"/>
  <c r="I47" i="1" a="1"/>
  <c r="S52" i="1" s="1"/>
  <c r="B30" i="16"/>
  <c r="B31" i="16" s="1"/>
  <c r="I32" i="10" s="1"/>
  <c r="H36" i="16"/>
  <c r="K29" i="1"/>
  <c r="N56" i="1"/>
  <c r="C20" i="16"/>
  <c r="J60" i="16"/>
  <c r="M60" i="16"/>
  <c r="G60" i="16"/>
  <c r="F60" i="16"/>
  <c r="E60" i="16"/>
  <c r="L60" i="16"/>
  <c r="H60" i="16"/>
  <c r="C59" i="16"/>
  <c r="K30" i="16"/>
  <c r="K31" i="16" s="1"/>
  <c r="L30" i="16"/>
  <c r="L31" i="16" s="1"/>
  <c r="O48" i="1"/>
  <c r="O49" i="1"/>
  <c r="J30" i="16"/>
  <c r="J31" i="16" s="1"/>
  <c r="D30" i="16"/>
  <c r="D31" i="16" s="1"/>
  <c r="N48" i="1"/>
  <c r="N52" i="1"/>
  <c r="E30" i="16"/>
  <c r="E31" i="16" s="1"/>
  <c r="I30" i="16"/>
  <c r="I31" i="16" s="1"/>
  <c r="H30" i="16"/>
  <c r="H31" i="16" s="1"/>
  <c r="N50" i="1"/>
  <c r="N49" i="1"/>
  <c r="G30" i="16"/>
  <c r="G31" i="16" s="1"/>
  <c r="C30" i="16"/>
  <c r="C31" i="16" s="1"/>
  <c r="C58" i="1"/>
  <c r="F30" i="16"/>
  <c r="F31" i="16" s="1"/>
  <c r="O52" i="1"/>
  <c r="R54" i="1"/>
  <c r="R53" i="1"/>
  <c r="N53" i="1"/>
  <c r="O53" i="1"/>
  <c r="O54" i="1"/>
  <c r="C59" i="1"/>
  <c r="N55" i="1"/>
  <c r="N54" i="1"/>
  <c r="O84" i="22" l="1"/>
  <c r="S44" i="4" s="1"/>
  <c r="P31" i="22"/>
  <c r="Q31" i="22"/>
  <c r="O31" i="22"/>
  <c r="E27" i="1"/>
  <c r="M31" i="1"/>
  <c r="M58" i="1"/>
  <c r="S51" i="1"/>
  <c r="S50" i="1"/>
  <c r="I47" i="1"/>
  <c r="S55" i="1"/>
  <c r="S54" i="1"/>
  <c r="S53" i="1"/>
  <c r="L58" i="1"/>
  <c r="S49" i="1"/>
  <c r="Q51" i="1"/>
  <c r="Q52" i="1"/>
  <c r="Q53" i="1"/>
  <c r="Q49" i="1"/>
  <c r="M29" i="1"/>
  <c r="C57" i="1"/>
  <c r="F58" i="1"/>
  <c r="F56" i="1"/>
  <c r="F59" i="1"/>
  <c r="Q54" i="1"/>
  <c r="Q50" i="1"/>
  <c r="Q55" i="1"/>
  <c r="P84" i="22" l="1"/>
  <c r="T44" i="4" s="1"/>
  <c r="H57" i="1"/>
  <c r="F57" i="1"/>
  <c r="M25" i="1"/>
  <c r="Q84" i="22" l="1"/>
  <c r="U44" i="4" s="1"/>
  <c r="D56" i="1"/>
  <c r="O56" i="1" s="1"/>
  <c r="B9" i="16"/>
  <c r="B10" i="16" s="1"/>
  <c r="R84" i="22" l="1"/>
  <c r="V44" i="4" s="1"/>
  <c r="L59" i="1"/>
  <c r="I34" i="10"/>
  <c r="J34" i="10" s="1"/>
  <c r="D58" i="1"/>
  <c r="M28" i="1"/>
  <c r="O55" i="1"/>
  <c r="D57" i="1" s="1"/>
  <c r="S84" i="22" l="1"/>
  <c r="W44" i="4" s="1"/>
  <c r="M59" i="1"/>
  <c r="I13" i="10"/>
  <c r="J13" i="10" s="1"/>
  <c r="T84" i="22" l="1"/>
  <c r="X44" i="4" s="1"/>
  <c r="G36" i="17"/>
  <c r="G37" i="17" s="1"/>
  <c r="G43" i="16" s="1"/>
  <c r="K56" i="17"/>
  <c r="K64" i="16" s="1"/>
  <c r="K36" i="17"/>
  <c r="K37" i="17" s="1"/>
  <c r="K43" i="16" s="1"/>
  <c r="M59" i="16"/>
  <c r="N36" i="17"/>
  <c r="N37" i="17" s="1"/>
  <c r="I59" i="16"/>
  <c r="J36" i="17"/>
  <c r="J37" i="17" s="1"/>
  <c r="J43" i="16" s="1"/>
  <c r="E59" i="16"/>
  <c r="F37" i="17"/>
  <c r="F43" i="16" s="1"/>
  <c r="H36" i="17"/>
  <c r="H37" i="17" s="1"/>
  <c r="H43" i="16" s="1"/>
  <c r="L36" i="17"/>
  <c r="L37" i="17" s="1"/>
  <c r="L43" i="16" s="1"/>
  <c r="I56" i="17"/>
  <c r="I64" i="16" s="1"/>
  <c r="I36" i="17"/>
  <c r="I37" i="17" s="1"/>
  <c r="I43" i="16" s="1"/>
  <c r="L59" i="16"/>
  <c r="M36" i="17"/>
  <c r="M37" i="17" s="1"/>
  <c r="M43" i="16" s="1"/>
  <c r="U84" i="22" l="1"/>
  <c r="Y44" i="4" s="1"/>
  <c r="H56" i="17"/>
  <c r="H64" i="16" s="1"/>
  <c r="J59" i="16"/>
  <c r="N56" i="17"/>
  <c r="G56" i="17"/>
  <c r="G64" i="16" s="1"/>
  <c r="K59" i="16"/>
  <c r="F59" i="16"/>
  <c r="G59" i="16"/>
  <c r="H59" i="16"/>
  <c r="M56" i="17"/>
  <c r="M64" i="16" s="1"/>
  <c r="J56" i="17"/>
  <c r="J64" i="16" s="1"/>
  <c r="V84" i="22" l="1"/>
  <c r="Z44" i="4" s="1"/>
  <c r="E36" i="17"/>
  <c r="E37" i="17" s="1"/>
  <c r="E43" i="16" s="1"/>
  <c r="E56" i="17"/>
  <c r="E64" i="16" s="1"/>
  <c r="D56" i="17"/>
  <c r="D64" i="16" s="1"/>
  <c r="D47" i="17"/>
  <c r="D50" i="17" l="1"/>
  <c r="D55" i="16" s="1"/>
  <c r="D52" i="16"/>
  <c r="W84" i="22"/>
  <c r="AA44" i="4" s="1"/>
  <c r="D59" i="16"/>
  <c r="G47" i="1" s="1" a="1"/>
  <c r="G47" i="1" s="1"/>
  <c r="L50" i="1"/>
  <c r="L57" i="1" s="1"/>
  <c r="M50" i="1"/>
  <c r="M57" i="1" s="1"/>
  <c r="E26" i="4"/>
  <c r="E34" i="4" s="1"/>
  <c r="X84" i="22" l="1"/>
  <c r="AB44" i="4" s="1"/>
  <c r="E36" i="4"/>
  <c r="E43" i="4" s="1"/>
  <c r="F43" i="4" s="1"/>
  <c r="Y84" i="22" l="1"/>
  <c r="AC44" i="4" s="1"/>
  <c r="G13" i="4"/>
  <c r="H38" i="4"/>
  <c r="H39" i="4"/>
  <c r="Z84" i="22" l="1"/>
  <c r="AD44" i="4" s="1"/>
  <c r="I10" i="4"/>
  <c r="I39" i="4" s="1"/>
  <c r="AA84" i="22" l="1"/>
  <c r="AE44" i="4" s="1"/>
  <c r="I38" i="4"/>
  <c r="J10" i="4" s="1"/>
  <c r="AB84" i="22" l="1"/>
  <c r="AF44" i="4" s="1"/>
  <c r="J39" i="4"/>
  <c r="J38" i="4"/>
  <c r="K10" i="4" s="1"/>
  <c r="K38" i="4" l="1"/>
  <c r="L10" i="4" s="1"/>
  <c r="K39" i="4"/>
  <c r="L39" i="4" l="1"/>
  <c r="L38" i="4"/>
  <c r="M10" i="4" s="1"/>
  <c r="M39" i="4" l="1"/>
  <c r="M38" i="4"/>
  <c r="N10" i="4" s="1"/>
  <c r="N38" i="4" l="1"/>
  <c r="O10" i="4" s="1"/>
  <c r="N39" i="4"/>
  <c r="O39" i="4" l="1"/>
  <c r="O38" i="4"/>
  <c r="P10" i="4" s="1"/>
  <c r="P38" i="4" l="1"/>
  <c r="Q10" i="4" s="1"/>
  <c r="P39" i="4"/>
  <c r="Q38" i="4" l="1"/>
  <c r="R10" i="4" s="1"/>
  <c r="Q39" i="4"/>
  <c r="R39" i="4" l="1"/>
  <c r="R38" i="4"/>
  <c r="S10" i="4" s="1"/>
  <c r="S39" i="4" l="1"/>
  <c r="S38" i="4"/>
  <c r="T10" i="4" s="1"/>
  <c r="T38" i="4" l="1"/>
  <c r="U10" i="4" s="1"/>
  <c r="T39" i="4" l="1"/>
  <c r="U39" i="4" l="1"/>
  <c r="U38" i="4"/>
  <c r="V10" i="4" s="1"/>
  <c r="V39" i="4" l="1"/>
  <c r="V38" i="4"/>
  <c r="W10" i="4" s="1"/>
  <c r="W38" i="4" l="1"/>
  <c r="X10" i="4" s="1"/>
  <c r="W39" i="4"/>
  <c r="X39" i="4" l="1"/>
  <c r="X38" i="4"/>
  <c r="Y10" i="4" s="1"/>
  <c r="Y38" i="4" l="1"/>
  <c r="Z10" i="4" s="1"/>
  <c r="Y39" i="4"/>
  <c r="Z39" i="4" l="1"/>
  <c r="Z38" i="4"/>
  <c r="AA10" i="4" s="1"/>
  <c r="AA39" i="4" l="1"/>
  <c r="AA38" i="4"/>
  <c r="AB10" i="4" s="1"/>
  <c r="AB38" i="4" l="1"/>
  <c r="AC10" i="4" s="1"/>
  <c r="AB39" i="4" l="1"/>
  <c r="AC39" i="4" l="1"/>
  <c r="AC38" i="4"/>
  <c r="AD10" i="4" s="1"/>
  <c r="AD39" i="4" l="1"/>
  <c r="AD38" i="4"/>
  <c r="AE10" i="4" s="1"/>
  <c r="AE38" i="4" l="1"/>
  <c r="AF10" i="4" s="1"/>
  <c r="AE39" i="4"/>
  <c r="AF39" i="4" l="1"/>
  <c r="AG39" i="4" s="1"/>
  <c r="AF38" i="4"/>
  <c r="AG38" i="4" s="1"/>
  <c r="L63" i="17" l="1"/>
  <c r="M63" i="17"/>
  <c r="BX9854" i="4" l="1"/>
  <c r="G8" i="4"/>
  <c r="G12" i="4" s="1"/>
  <c r="G11" i="4"/>
  <c r="G20" i="4" s="1"/>
  <c r="G25" i="4"/>
  <c r="G26" i="4" s="1"/>
  <c r="G15" i="4" l="1"/>
  <c r="G16" i="4" s="1"/>
  <c r="G17" i="4" l="1"/>
  <c r="G29" i="4" s="1"/>
  <c r="G19" i="4" l="1"/>
  <c r="G22" i="4" s="1"/>
  <c r="G30" i="4"/>
  <c r="G35" i="4" s="1"/>
  <c r="G28" i="4" l="1"/>
  <c r="G34" i="4" s="1"/>
  <c r="G36" i="4" s="1"/>
  <c r="G43" i="4" s="1"/>
  <c r="BY9854" i="4"/>
  <c r="H11" i="4"/>
  <c r="H20" i="4" s="1"/>
  <c r="H24" i="4"/>
  <c r="H21" i="4"/>
  <c r="H8" i="4"/>
  <c r="H23" i="4"/>
  <c r="G32" i="4" l="1"/>
  <c r="H13" i="4"/>
  <c r="H15" i="4" s="1"/>
  <c r="BZ9854" i="4"/>
  <c r="H40" i="4"/>
  <c r="I11" i="4"/>
  <c r="I20" i="4" s="1"/>
  <c r="I24" i="4"/>
  <c r="I21" i="4"/>
  <c r="I8" i="4"/>
  <c r="H25" i="4"/>
  <c r="H26" i="4" s="1"/>
  <c r="H31" i="4"/>
  <c r="H12" i="4"/>
  <c r="CA9854" i="4" l="1"/>
  <c r="H16" i="4"/>
  <c r="H17" i="4" s="1"/>
  <c r="H30" i="4" s="1"/>
  <c r="I40" i="4"/>
  <c r="I25" i="4"/>
  <c r="I26" i="4" s="1"/>
  <c r="I31" i="4"/>
  <c r="J11" i="4"/>
  <c r="J20" i="4" s="1"/>
  <c r="J8" i="4"/>
  <c r="J24" i="4"/>
  <c r="J21" i="4"/>
  <c r="K21" i="4"/>
  <c r="I9" i="4"/>
  <c r="H19" i="4" l="1"/>
  <c r="H22" i="4" s="1"/>
  <c r="H29" i="4"/>
  <c r="H35" i="4" s="1"/>
  <c r="I12" i="4"/>
  <c r="J40" i="4"/>
  <c r="K9" i="4" s="1"/>
  <c r="K24" i="4"/>
  <c r="K11" i="4"/>
  <c r="K20" i="4" s="1"/>
  <c r="K8" i="4"/>
  <c r="L21" i="4"/>
  <c r="J9" i="4"/>
  <c r="J31" i="4"/>
  <c r="J25" i="4"/>
  <c r="J26" i="4" s="1"/>
  <c r="I41" i="4"/>
  <c r="H28" i="4" l="1"/>
  <c r="H34" i="4" s="1"/>
  <c r="H36" i="4" s="1"/>
  <c r="K40" i="4"/>
  <c r="L9" i="4" s="1"/>
  <c r="L24" i="4"/>
  <c r="K31" i="4"/>
  <c r="K25" i="4"/>
  <c r="K26" i="4" s="1"/>
  <c r="K12" i="4"/>
  <c r="J12" i="4"/>
  <c r="M21" i="4"/>
  <c r="L11" i="4"/>
  <c r="L20" i="4" s="1"/>
  <c r="L8" i="4"/>
  <c r="J41" i="4"/>
  <c r="K41" i="4" s="1"/>
  <c r="H32" i="4" l="1"/>
  <c r="H43" i="4"/>
  <c r="L40" i="4"/>
  <c r="M9" i="4" s="1"/>
  <c r="M24" i="4"/>
  <c r="N21" i="4"/>
  <c r="L41" i="4"/>
  <c r="M11" i="4"/>
  <c r="M20" i="4" s="1"/>
  <c r="M8" i="4"/>
  <c r="L31" i="4"/>
  <c r="L25" i="4"/>
  <c r="L26" i="4" s="1"/>
  <c r="I13" i="4" l="1"/>
  <c r="I15" i="4" s="1"/>
  <c r="I16" i="4" s="1"/>
  <c r="I17" i="4" s="1"/>
  <c r="I30" i="4" s="1"/>
  <c r="M40" i="4"/>
  <c r="N9" i="4" s="1"/>
  <c r="N23" i="4"/>
  <c r="N24" i="4"/>
  <c r="M41" i="4"/>
  <c r="M25" i="4"/>
  <c r="M26" i="4" s="1"/>
  <c r="M31" i="4"/>
  <c r="L12" i="4"/>
  <c r="O21" i="4"/>
  <c r="N11" i="4"/>
  <c r="N20" i="4" s="1"/>
  <c r="N8" i="4"/>
  <c r="I19" i="4" l="1"/>
  <c r="I22" i="4" s="1"/>
  <c r="I29" i="4"/>
  <c r="I35" i="4" s="1"/>
  <c r="I28" i="4"/>
  <c r="N40" i="4"/>
  <c r="O9" i="4" s="1"/>
  <c r="O24" i="4"/>
  <c r="M12" i="4"/>
  <c r="O11" i="4"/>
  <c r="O20" i="4" s="1"/>
  <c r="O8" i="4"/>
  <c r="N41" i="4"/>
  <c r="N25" i="4"/>
  <c r="N26" i="4" s="1"/>
  <c r="N31" i="4"/>
  <c r="P21" i="4"/>
  <c r="I34" i="4" l="1"/>
  <c r="I36" i="4" s="1"/>
  <c r="I43" i="4" s="1"/>
  <c r="I32" i="4"/>
  <c r="O40" i="4"/>
  <c r="P9" i="4" s="1"/>
  <c r="P24" i="4"/>
  <c r="N12" i="4"/>
  <c r="Q21" i="4"/>
  <c r="O25" i="4"/>
  <c r="O26" i="4" s="1"/>
  <c r="O31" i="4"/>
  <c r="O41" i="4"/>
  <c r="P11" i="4"/>
  <c r="P20" i="4" s="1"/>
  <c r="P8" i="4"/>
  <c r="J13" i="4" l="1"/>
  <c r="J15" i="4" s="1"/>
  <c r="J16" i="4" s="1"/>
  <c r="J17" i="4" s="1"/>
  <c r="J30" i="4" s="1"/>
  <c r="P40" i="4"/>
  <c r="Q9" i="4" s="1"/>
  <c r="Q24" i="4"/>
  <c r="O12" i="4"/>
  <c r="Q11" i="4"/>
  <c r="Q20" i="4" s="1"/>
  <c r="Q8" i="4"/>
  <c r="R21" i="4"/>
  <c r="P41" i="4"/>
  <c r="P25" i="4"/>
  <c r="P26" i="4" s="1"/>
  <c r="P31" i="4"/>
  <c r="J29" i="4" l="1"/>
  <c r="J35" i="4" s="1"/>
  <c r="J19" i="4"/>
  <c r="J22" i="4" s="1"/>
  <c r="J28" i="4"/>
  <c r="Q40" i="4"/>
  <c r="R9" i="4" s="1"/>
  <c r="R24" i="4"/>
  <c r="Q31" i="4"/>
  <c r="Q25" i="4"/>
  <c r="Q26" i="4" s="1"/>
  <c r="R11" i="4"/>
  <c r="R20" i="4" s="1"/>
  <c r="R8" i="4"/>
  <c r="P12" i="4"/>
  <c r="Q12" i="4"/>
  <c r="S21" i="4"/>
  <c r="J32" i="4" l="1"/>
  <c r="J34" i="4"/>
  <c r="J36" i="4" s="1"/>
  <c r="J43" i="4" s="1"/>
  <c r="R40" i="4"/>
  <c r="S9" i="4" s="1"/>
  <c r="S24" i="4"/>
  <c r="Q41" i="4"/>
  <c r="R12" i="4"/>
  <c r="T21" i="4"/>
  <c r="S8" i="4"/>
  <c r="S11" i="4"/>
  <c r="S20" i="4" s="1"/>
  <c r="R31" i="4"/>
  <c r="R25" i="4"/>
  <c r="R26" i="4" s="1"/>
  <c r="K13" i="4" l="1"/>
  <c r="K15" i="4" s="1"/>
  <c r="K16" i="4" s="1"/>
  <c r="K17" i="4" s="1"/>
  <c r="K30" i="4" s="1"/>
  <c r="S40" i="4"/>
  <c r="T9" i="4" s="1"/>
  <c r="T24" i="4"/>
  <c r="S12" i="4"/>
  <c r="S25" i="4"/>
  <c r="S26" i="4" s="1"/>
  <c r="S31" i="4"/>
  <c r="U21" i="4"/>
  <c r="T11" i="4"/>
  <c r="T20" i="4" s="1"/>
  <c r="T8" i="4"/>
  <c r="R41" i="4"/>
  <c r="K19" i="4" l="1"/>
  <c r="K22" i="4" s="1"/>
  <c r="K29" i="4"/>
  <c r="K35" i="4" s="1"/>
  <c r="K28" i="4"/>
  <c r="T40" i="4"/>
  <c r="U9" i="4" s="1"/>
  <c r="U24" i="4"/>
  <c r="U11" i="4"/>
  <c r="U20" i="4" s="1"/>
  <c r="U8" i="4"/>
  <c r="S41" i="4"/>
  <c r="T31" i="4"/>
  <c r="T25" i="4"/>
  <c r="T26" i="4" s="1"/>
  <c r="V21" i="4"/>
  <c r="T12" i="4"/>
  <c r="K32" i="4" l="1"/>
  <c r="K34" i="4"/>
  <c r="K36" i="4" s="1"/>
  <c r="K43" i="4" s="1"/>
  <c r="U40" i="4"/>
  <c r="V9" i="4" s="1"/>
  <c r="V24" i="4"/>
  <c r="T41" i="4"/>
  <c r="W21" i="4"/>
  <c r="V11" i="4"/>
  <c r="V20" i="4" s="1"/>
  <c r="V8" i="4"/>
  <c r="U25" i="4"/>
  <c r="U26" i="4" s="1"/>
  <c r="U31" i="4"/>
  <c r="U12" i="4"/>
  <c r="L13" i="4" l="1"/>
  <c r="L15" i="4" s="1"/>
  <c r="L16" i="4" s="1"/>
  <c r="L17" i="4" s="1"/>
  <c r="L30" i="4" s="1"/>
  <c r="V40" i="4"/>
  <c r="W9" i="4" s="1"/>
  <c r="W24" i="4"/>
  <c r="U41" i="4"/>
  <c r="W8" i="4"/>
  <c r="W11" i="4"/>
  <c r="W20" i="4" s="1"/>
  <c r="X21" i="4"/>
  <c r="V31" i="4"/>
  <c r="V25" i="4"/>
  <c r="V26" i="4" s="1"/>
  <c r="V12" i="4"/>
  <c r="L19" i="4" l="1"/>
  <c r="L22" i="4" s="1"/>
  <c r="L29" i="4"/>
  <c r="L35" i="4" s="1"/>
  <c r="L28" i="4"/>
  <c r="W40" i="4"/>
  <c r="X9" i="4" s="1"/>
  <c r="X24" i="4"/>
  <c r="V41" i="4"/>
  <c r="X11" i="4"/>
  <c r="X20" i="4" s="1"/>
  <c r="X8" i="4"/>
  <c r="Y21" i="4"/>
  <c r="W12" i="4"/>
  <c r="W31" i="4"/>
  <c r="W25" i="4"/>
  <c r="W26" i="4" s="1"/>
  <c r="L34" i="4" l="1"/>
  <c r="L36" i="4" s="1"/>
  <c r="L43" i="4" s="1"/>
  <c r="L32" i="4"/>
  <c r="X40" i="4"/>
  <c r="Y9" i="4" s="1"/>
  <c r="Y24" i="4"/>
  <c r="X12" i="4"/>
  <c r="X25" i="4"/>
  <c r="X26" i="4" s="1"/>
  <c r="X31" i="4"/>
  <c r="Y11" i="4"/>
  <c r="Y20" i="4" s="1"/>
  <c r="Y8" i="4"/>
  <c r="Z21" i="4"/>
  <c r="W41" i="4"/>
  <c r="M13" i="4" l="1"/>
  <c r="M15" i="4" s="1"/>
  <c r="M16" i="4" s="1"/>
  <c r="M17" i="4" s="1"/>
  <c r="M30" i="4" s="1"/>
  <c r="Y40" i="4"/>
  <c r="Z9" i="4" s="1"/>
  <c r="Z24" i="4"/>
  <c r="X41" i="4"/>
  <c r="Y41" i="4" s="1"/>
  <c r="AA21" i="4"/>
  <c r="Z8" i="4"/>
  <c r="Z11" i="4"/>
  <c r="Z20" i="4" s="1"/>
  <c r="Y31" i="4"/>
  <c r="Y25" i="4"/>
  <c r="Y26" i="4" s="1"/>
  <c r="M29" i="4" l="1"/>
  <c r="M19" i="4"/>
  <c r="M22" i="4" s="1"/>
  <c r="Z40" i="4"/>
  <c r="AA9" i="4" s="1"/>
  <c r="AA24" i="4"/>
  <c r="Y12" i="4"/>
  <c r="Z25" i="4"/>
  <c r="Z26" i="4" s="1"/>
  <c r="Z31" i="4"/>
  <c r="AB21" i="4"/>
  <c r="AA8" i="4"/>
  <c r="AA11" i="4"/>
  <c r="AA20" i="4" s="1"/>
  <c r="Z41" i="4"/>
  <c r="M28" i="4" l="1"/>
  <c r="M34" i="4" s="1"/>
  <c r="M35" i="4"/>
  <c r="AA40" i="4"/>
  <c r="AB9" i="4" s="1"/>
  <c r="AB24" i="4"/>
  <c r="Z12" i="4"/>
  <c r="AC21" i="4"/>
  <c r="AA12" i="4"/>
  <c r="AA25" i="4"/>
  <c r="AA26" i="4" s="1"/>
  <c r="AA31" i="4"/>
  <c r="AB11" i="4"/>
  <c r="AB20" i="4" s="1"/>
  <c r="AB8" i="4"/>
  <c r="M32" i="4" l="1"/>
  <c r="M36" i="4"/>
  <c r="M43" i="4" s="1"/>
  <c r="AB40" i="4"/>
  <c r="AC9" i="4" s="1"/>
  <c r="AC24" i="4"/>
  <c r="AB12" i="4"/>
  <c r="AB31" i="4"/>
  <c r="AB25" i="4"/>
  <c r="AB26" i="4" s="1"/>
  <c r="AA41" i="4"/>
  <c r="AD21" i="4"/>
  <c r="AC8" i="4"/>
  <c r="AC11" i="4"/>
  <c r="AC20" i="4" s="1"/>
  <c r="N13" i="4" l="1"/>
  <c r="N15" i="4" s="1"/>
  <c r="N16" i="4" s="1"/>
  <c r="N17" i="4" s="1"/>
  <c r="N30" i="4" s="1"/>
  <c r="AC40" i="4"/>
  <c r="AD9" i="4" s="1"/>
  <c r="AD24" i="4"/>
  <c r="AD11" i="4"/>
  <c r="AD20" i="4" s="1"/>
  <c r="AD8" i="4"/>
  <c r="AB41" i="4"/>
  <c r="AE21" i="4"/>
  <c r="AC12" i="4"/>
  <c r="AC25" i="4"/>
  <c r="AC26" i="4" s="1"/>
  <c r="AC31" i="4"/>
  <c r="N19" i="4" l="1"/>
  <c r="N22" i="4" s="1"/>
  <c r="N29" i="4"/>
  <c r="N35" i="4" s="1"/>
  <c r="N28" i="4"/>
  <c r="AD40" i="4"/>
  <c r="AE9" i="4" s="1"/>
  <c r="AE24" i="4"/>
  <c r="AF21" i="4"/>
  <c r="AE8" i="4"/>
  <c r="AE11" i="4"/>
  <c r="AE20" i="4" s="1"/>
  <c r="AC41" i="4"/>
  <c r="AD12" i="4"/>
  <c r="AD25" i="4"/>
  <c r="AD26" i="4" s="1"/>
  <c r="AD31" i="4"/>
  <c r="N32" i="4" l="1"/>
  <c r="N34" i="4"/>
  <c r="N36" i="4" s="1"/>
  <c r="N43" i="4" s="1"/>
  <c r="AE40" i="4"/>
  <c r="AF9" i="4" s="1"/>
  <c r="AG9" i="4" s="1"/>
  <c r="AF8" i="4"/>
  <c r="AF11" i="4"/>
  <c r="AF20" i="4" s="1"/>
  <c r="AF24" i="4"/>
  <c r="AF23" i="4"/>
  <c r="AD41" i="4"/>
  <c r="AE31" i="4"/>
  <c r="AE25" i="4"/>
  <c r="AE26" i="4" s="1"/>
  <c r="O13" i="4" l="1"/>
  <c r="O15" i="4" s="1"/>
  <c r="O16" i="4" s="1"/>
  <c r="O17" i="4" s="1"/>
  <c r="O30" i="4" s="1"/>
  <c r="AG23" i="4"/>
  <c r="AF40" i="4"/>
  <c r="AG40" i="4" s="1"/>
  <c r="AF31" i="4"/>
  <c r="AE41" i="4"/>
  <c r="AF25" i="4"/>
  <c r="AF26" i="4" s="1"/>
  <c r="AE12" i="4"/>
  <c r="O19" i="4" l="1"/>
  <c r="O22" i="4" s="1"/>
  <c r="O29" i="4"/>
  <c r="O35" i="4" s="1"/>
  <c r="O28" i="4"/>
  <c r="AH24" i="4"/>
  <c r="AF12" i="4"/>
  <c r="AF41" i="4"/>
  <c r="AG41" i="4" s="1"/>
  <c r="O32" i="4" l="1"/>
  <c r="O34" i="4"/>
  <c r="O36" i="4" s="1"/>
  <c r="O43" i="4" s="1"/>
  <c r="P13" i="4" l="1"/>
  <c r="P15" i="4" s="1"/>
  <c r="P16" i="4" s="1"/>
  <c r="P17" i="4" s="1"/>
  <c r="P30" i="4" s="1"/>
  <c r="P19" i="4" l="1"/>
  <c r="P22" i="4" s="1"/>
  <c r="P29" i="4"/>
  <c r="P35" i="4" s="1"/>
  <c r="P28" i="4"/>
  <c r="P34" i="4" l="1"/>
  <c r="P36" i="4" s="1"/>
  <c r="P43" i="4" s="1"/>
  <c r="P32" i="4"/>
  <c r="Q13" i="4" l="1"/>
  <c r="Q15" i="4" s="1"/>
  <c r="Q16" i="4" s="1"/>
  <c r="Q17" i="4" s="1"/>
  <c r="Q30" i="4" s="1"/>
  <c r="Q29" i="4" l="1"/>
  <c r="Q35" i="4" s="1"/>
  <c r="Q19" i="4"/>
  <c r="Q22" i="4" s="1"/>
  <c r="Q28" i="4" l="1"/>
  <c r="Q32" i="4" s="1"/>
  <c r="Q34" i="4" l="1"/>
  <c r="Q36" i="4" s="1"/>
  <c r="Q43" i="4" s="1"/>
  <c r="R13" i="4" l="1"/>
  <c r="R15" i="4" s="1"/>
  <c r="R16" i="4" s="1"/>
  <c r="R17" i="4" s="1"/>
  <c r="R30" i="4" s="1"/>
  <c r="R19" i="4" l="1"/>
  <c r="R22" i="4" s="1"/>
  <c r="R29" i="4"/>
  <c r="R35" i="4" s="1"/>
  <c r="R28" i="4" l="1"/>
  <c r="R32" i="4" s="1"/>
  <c r="R34" i="4" l="1"/>
  <c r="R36" i="4" s="1"/>
  <c r="R43" i="4" s="1"/>
  <c r="S13" i="4" l="1"/>
  <c r="S15" i="4" s="1"/>
  <c r="S16" i="4" s="1"/>
  <c r="S17" i="4" s="1"/>
  <c r="S30" i="4" s="1"/>
  <c r="S19" i="4" l="1"/>
  <c r="S22" i="4" s="1"/>
  <c r="S29" i="4"/>
  <c r="S35" i="4" l="1"/>
  <c r="S28" i="4"/>
  <c r="S32" i="4" s="1"/>
  <c r="S34" i="4" l="1"/>
  <c r="S36" i="4" s="1"/>
  <c r="S43" i="4" s="1"/>
  <c r="T13" i="4" l="1"/>
  <c r="T15" i="4" s="1"/>
  <c r="T16" i="4" s="1"/>
  <c r="T17" i="4" s="1"/>
  <c r="T30" i="4" s="1"/>
  <c r="T19" i="4" l="1"/>
  <c r="T22" i="4" s="1"/>
  <c r="T29" i="4"/>
  <c r="T35" i="4" l="1"/>
  <c r="T28" i="4"/>
  <c r="T32" i="4" s="1"/>
  <c r="T34" i="4" l="1"/>
  <c r="T36" i="4" s="1"/>
  <c r="T43" i="4" s="1"/>
  <c r="U13" i="4" l="1"/>
  <c r="U15" i="4" s="1"/>
  <c r="U16" i="4" s="1"/>
  <c r="U17" i="4" s="1"/>
  <c r="U30" i="4" s="1"/>
  <c r="U19" i="4" l="1"/>
  <c r="U22" i="4" s="1"/>
  <c r="U29" i="4"/>
  <c r="U35" i="4" l="1"/>
  <c r="U28" i="4"/>
  <c r="U32" i="4" s="1"/>
  <c r="U34" i="4" l="1"/>
  <c r="U36" i="4" s="1"/>
  <c r="U43" i="4" s="1"/>
  <c r="V13" i="4" l="1"/>
  <c r="V15" i="4" s="1"/>
  <c r="V16" i="4" s="1"/>
  <c r="V17" i="4" s="1"/>
  <c r="V30" i="4" s="1"/>
  <c r="V29" i="4" l="1"/>
  <c r="V19" i="4"/>
  <c r="V22" i="4" s="1"/>
  <c r="V28" i="4" l="1"/>
  <c r="V32" i="4" s="1"/>
  <c r="V35" i="4"/>
  <c r="V34" i="4" l="1"/>
  <c r="V36" i="4" s="1"/>
  <c r="V43" i="4" s="1"/>
  <c r="W13" i="4" l="1"/>
  <c r="W15" i="4" s="1"/>
  <c r="W16" i="4" s="1"/>
  <c r="W17" i="4" s="1"/>
  <c r="W30" i="4" s="1"/>
  <c r="W29" i="4" l="1"/>
  <c r="W19" i="4"/>
  <c r="W22" i="4" s="1"/>
  <c r="W35" i="4" l="1"/>
  <c r="W28" i="4"/>
  <c r="W32" i="4" s="1"/>
  <c r="W34" i="4" l="1"/>
  <c r="W36" i="4" s="1"/>
  <c r="W43" i="4" s="1"/>
  <c r="X13" i="4" l="1"/>
  <c r="X15" i="4" s="1"/>
  <c r="X16" i="4" s="1"/>
  <c r="X17" i="4" s="1"/>
  <c r="X30" i="4" s="1"/>
  <c r="X19" i="4" l="1"/>
  <c r="X22" i="4" s="1"/>
  <c r="X29" i="4"/>
  <c r="X35" i="4" l="1"/>
  <c r="X28" i="4"/>
  <c r="X32" i="4" s="1"/>
  <c r="X34" i="4" l="1"/>
  <c r="X36" i="4" s="1"/>
  <c r="X43" i="4" s="1"/>
  <c r="Y13" i="4" l="1"/>
  <c r="Y15" i="4" s="1"/>
  <c r="Y16" i="4" s="1"/>
  <c r="Y17" i="4" s="1"/>
  <c r="Y30" i="4" s="1"/>
  <c r="Y29" i="4" l="1"/>
  <c r="Y19" i="4"/>
  <c r="Y22" i="4" s="1"/>
  <c r="Y35" i="4" l="1"/>
  <c r="Y28" i="4"/>
  <c r="Y32" i="4" s="1"/>
  <c r="Y34" i="4" l="1"/>
  <c r="Y36" i="4" s="1"/>
  <c r="Y43" i="4" s="1"/>
  <c r="Z13" i="4" l="1"/>
  <c r="Z15" i="4" s="1"/>
  <c r="Z16" i="4" s="1"/>
  <c r="Z17" i="4" s="1"/>
  <c r="Z30" i="4" s="1"/>
  <c r="Z29" i="4" l="1"/>
  <c r="Z19" i="4"/>
  <c r="Z22" i="4" s="1"/>
  <c r="Z35" i="4" l="1"/>
  <c r="Z28" i="4"/>
  <c r="Z32" i="4" s="1"/>
  <c r="Z34" i="4" l="1"/>
  <c r="Z36" i="4" s="1"/>
  <c r="Z43" i="4" s="1"/>
  <c r="AA13" i="4" l="1"/>
  <c r="AA15" i="4" s="1"/>
  <c r="AA16" i="4" s="1"/>
  <c r="AA17" i="4" s="1"/>
  <c r="AA30" i="4" s="1"/>
  <c r="AA29" i="4" l="1"/>
  <c r="AA19" i="4"/>
  <c r="AA22" i="4" s="1"/>
  <c r="AA35" i="4" l="1"/>
  <c r="AA28" i="4"/>
  <c r="AA32" i="4" s="1"/>
  <c r="AA34" i="4" l="1"/>
  <c r="AA36" i="4" s="1"/>
  <c r="AA43" i="4" s="1"/>
  <c r="AB13" i="4" l="1"/>
  <c r="AB15" i="4" s="1"/>
  <c r="AB16" i="4" s="1"/>
  <c r="AB17" i="4" s="1"/>
  <c r="AB30" i="4" s="1"/>
  <c r="AB19" i="4" l="1"/>
  <c r="AB22" i="4" s="1"/>
  <c r="AB29" i="4"/>
  <c r="AB35" i="4" l="1"/>
  <c r="AB28" i="4"/>
  <c r="AB32" i="4" s="1"/>
  <c r="AB34" i="4" l="1"/>
  <c r="AB36" i="4" s="1"/>
  <c r="AB43" i="4" s="1"/>
  <c r="AC13" i="4" l="1"/>
  <c r="AC15" i="4" s="1"/>
  <c r="AC16" i="4" s="1"/>
  <c r="AC17" i="4" s="1"/>
  <c r="AC30" i="4" s="1"/>
  <c r="AC19" i="4" l="1"/>
  <c r="AC22" i="4" s="1"/>
  <c r="AC29" i="4"/>
  <c r="AC35" i="4" l="1"/>
  <c r="AC28" i="4"/>
  <c r="AC32" i="4" s="1"/>
  <c r="L56" i="17"/>
  <c r="L64" i="16" s="1"/>
  <c r="L47" i="17"/>
  <c r="L52" i="16" s="1"/>
  <c r="AC34" i="4" l="1"/>
  <c r="AC36" i="4" s="1"/>
  <c r="AC43" i="4" s="1"/>
  <c r="L50" i="17"/>
  <c r="L55" i="16" s="1"/>
  <c r="AD13" i="4" l="1"/>
  <c r="AD15" i="4" s="1"/>
  <c r="AD16" i="4" s="1"/>
  <c r="AD17" i="4" s="1"/>
  <c r="AD30" i="4" s="1"/>
  <c r="AD19" i="4" l="1"/>
  <c r="AD22" i="4" s="1"/>
  <c r="AD29" i="4"/>
  <c r="AD35" i="4" l="1"/>
  <c r="AD28" i="4"/>
  <c r="AD32" i="4" s="1"/>
  <c r="AD34" i="4" l="1"/>
  <c r="AD36" i="4" s="1"/>
  <c r="AD43" i="4" s="1"/>
  <c r="AE13" i="4" l="1"/>
  <c r="AE15" i="4" s="1"/>
  <c r="AE16" i="4" s="1"/>
  <c r="AE17" i="4" s="1"/>
  <c r="AE30" i="4" s="1"/>
  <c r="AE19" i="4" l="1"/>
  <c r="AE22" i="4" s="1"/>
  <c r="AE29" i="4"/>
  <c r="AE35" i="4" l="1"/>
  <c r="AE28" i="4"/>
  <c r="AE32" i="4" s="1"/>
  <c r="AE34" i="4" l="1"/>
  <c r="AE36" i="4" s="1"/>
  <c r="AE43" i="4" s="1"/>
  <c r="AF13" i="4" l="1"/>
  <c r="AF15" i="4" s="1"/>
  <c r="AF16" i="4" s="1"/>
  <c r="AF17" i="4" s="1"/>
  <c r="AF30" i="4" s="1"/>
  <c r="AF19" i="4" l="1"/>
  <c r="AF22" i="4" s="1"/>
  <c r="AF29" i="4"/>
  <c r="AF35" i="4" l="1"/>
  <c r="AF28" i="4"/>
  <c r="AF32" i="4" s="1"/>
  <c r="AF34" i="4" l="1"/>
  <c r="D71" i="4" l="1"/>
  <c r="AF36" i="4"/>
  <c r="AF43" i="4" s="1"/>
  <c r="AO136" i="17" l="1"/>
  <c r="D70" i="4"/>
  <c r="D78" i="4"/>
  <c r="D77" i="4"/>
  <c r="D72" i="4" l="1"/>
  <c r="E70" i="4" s="1"/>
  <c r="D75" i="4" l="1"/>
  <c r="E71" i="4"/>
  <c r="H40" i="1" l="1"/>
  <c r="D80" i="4"/>
  <c r="D74" i="4"/>
  <c r="J42" i="1" s="1"/>
  <c r="E77" i="4"/>
  <c r="E7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Mariana Raquel dos Santos Carvalho</author>
    <author>Eduardo Ferreira</author>
  </authors>
  <commentList>
    <comment ref="B2" authorId="0" shapeId="0" xr:uid="{B8360AB7-5DB1-45D3-ABF9-3AFEF51621D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Date of last update of the report</t>
      </text>
    </comment>
    <comment ref="D2" authorId="1" shapeId="0" xr:uid="{D17B5162-9C54-4F03-8882-3A424C1A2E6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Insert the date when the company will issue their next quarter/annual report</t>
      </text>
    </comment>
    <comment ref="L2" authorId="2" shapeId="0" xr:uid="{74106D0B-4568-4C95-B1A7-D780E3BD20D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In what exchange the company is listed in (Input the main exchange)</t>
      </text>
    </comment>
    <comment ref="H5" authorId="3" shapeId="0" xr:uid="{DE3623F1-B6F4-423E-AFDE-AE94590EEDFD}">
      <text>
        <r>
          <rPr>
            <sz val="10"/>
            <rFont val="Arial"/>
            <family val="2"/>
          </rPr>
          <t xml:space="preserve">Mariana Raquel dos Santos Carvalho:
Bill joined Constellation in 2015 as EVP, chief growth officer. In 2016, his role expanded to include leadership of the Wine + Spirits Division. In 2017 he became the company’s chief operating officer and in 2018 his role expanded to include president.
==»» Constellation Brands
                                       </t>
        </r>
      </text>
    </comment>
    <comment ref="H6" authorId="3" shapeId="0" xr:uid="{707CD43D-2FEF-486A-967E-62B1A8BE26F5}">
      <text>
        <r>
          <rPr>
            <sz val="10"/>
            <rFont val="Arial"/>
            <family val="2"/>
          </rPr>
          <t xml:space="preserve">Mariana Raquel dos Santos Carvalho:
==»» Jim joined Constellation Brands in 2014 as Senior Vice President, General Counsel Corporate Development,
where he was involved in a number of activities related to the formation, financing, and expansion of business
operations; mergers and acquisitions; and venture financing.
Prior to joining Constellation Brands, Jim was an attorney at the law firm of Nixon Peabody LLP for 14 years.
==»» Constellation Brands
</t>
        </r>
      </text>
    </comment>
    <comment ref="H7" authorId="3" shapeId="0" xr:uid="{CDB68664-DD96-41D5-AD97-6760B5D25838}">
      <text>
        <r>
          <rPr>
            <sz val="10"/>
            <rFont val="Arial"/>
            <family val="2"/>
          </rPr>
          <t xml:space="preserve">Mariana Raquel dos Santos Carvalho:
==»Ms. Clark brings to the Board extensive leadership experience, as well as valuable insights into Canadian and international markets, fiscal management, and government relations.
==»» Constellation Brands
</t>
        </r>
      </text>
    </comment>
    <comment ref="H8" authorId="3" shapeId="0" xr:uid="{3C0F756B-1CDC-40F0-9F18-B44638037E3D}">
      <text>
        <r>
          <rPr>
            <sz val="10"/>
            <rFont val="Arial"/>
            <family val="2"/>
          </rPr>
          <t>Mariana Raquel dos Santos Carvalho:
==»» Ms. Daniels brings to the board extensive experience in consumer product goods, mergers and acquisitions, regulatory compliance and corporate governance.
==»» Constellation Brands</t>
        </r>
      </text>
    </comment>
    <comment ref="H9" authorId="3" shapeId="0" xr:uid="{D9CAEEB5-E3E5-4110-99A3-0828B728629E}">
      <text>
        <r>
          <rPr>
            <sz val="10"/>
            <rFont val="Arial"/>
            <family val="2"/>
          </rPr>
          <t>Mariana Raquel dos Santos Carvalho:
==»» Mr. Fink brings to the Board his extensive beverage alcohol, international business, and legal experience, and has a proven track record of leveraging consumer insights to meet consumer needs in fast moving, highly regulated markets.
==»» Constellation Brands</t>
        </r>
      </text>
    </comment>
    <comment ref="H11" authorId="3" shapeId="0" xr:uid="{CB90BB25-6ACE-496A-91E5-60AC5C19B41D}">
      <text>
        <r>
          <rPr>
            <sz val="10"/>
            <rFont val="Arial"/>
            <family val="2"/>
          </rPr>
          <t>Mariana Raquel dos Santos Carvalho:
==»» Mr. Sands brings to the Board deep experience with the Company’s management, strategic priorities, and history. He has been a dynamic leader for decades, bringing his diverse skill set to bear in both the board room and operations of the Company.
==»» Constellation Brands</t>
        </r>
      </text>
    </comment>
    <comment ref="H13" authorId="3" shapeId="0" xr:uid="{31349400-3517-4DCD-AA90-D81850BF180D}">
      <text>
        <r>
          <rPr>
            <sz val="10"/>
            <rFont val="Arial"/>
            <family val="2"/>
          </rPr>
          <t>Mariana Raquel dos Santos Carvalho:
==» As a current chief financial officer, Mr. Zaramella brings to the Board his expertise in global finance, information and technology solutions, mergers and acquisitions, and shared service functions.
==»» Constellation Brands</t>
        </r>
      </text>
    </comment>
    <comment ref="H14" authorId="3" shapeId="0" xr:uid="{6A7C53D8-D912-43A4-A8C2-197E89F69ABD}">
      <text>
        <r>
          <rPr>
            <sz val="10"/>
            <rFont val="Arial"/>
            <family val="2"/>
          </rPr>
          <t>Mariana Raquel dos Santos Carvalho:
==» Mr. Hernández brings to the Board his extensive leadership skills, insight, and perspective from his many years of service with a major manufacturing company as well as valuable insights regarding Mexican business operations.
==»» Constellation Brands</t>
        </r>
      </text>
    </comment>
    <comment ref="D46" authorId="4"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 ref="B64" authorId="3" shapeId="0" xr:uid="{8DD85532-B2A7-479F-B550-1ADCB3BF6C79}">
      <text>
        <r>
          <rPr>
            <sz val="10"/>
            <rFont val="Arial"/>
            <family val="2"/>
          </rPr>
          <t xml:space="preserve">Mariana Raquel dos Santos Carvalho:
=»» Diverse range of products
</t>
        </r>
      </text>
    </comment>
    <comment ref="E67" authorId="3" shapeId="0" xr:uid="{1B3D1475-CAA2-4DA0-AB4C-B7A057A97643}">
      <text>
        <r>
          <rPr>
            <sz val="10"/>
            <rFont val="Arial"/>
            <family val="2"/>
          </rPr>
          <t>Mariana Raquel dos Santos Carvalho:
==» The company has made significant acquisitions over the years and has, in some cases, prioritized dividends.
The consequences of this is explained in page 35 of the AR</t>
        </r>
      </text>
    </comment>
    <comment ref="B70" authorId="3" shapeId="0" xr:uid="{FB67FB35-059C-4A7B-A048-985686F9BB1A}">
      <text>
        <r>
          <rPr>
            <sz val="10"/>
            <rFont val="Arial"/>
            <family val="2"/>
          </rPr>
          <t>Mariana Raquel dos Santos Carvalho:
==»» They have launched a multi-year Digital
Business Acceleration initiative, which they believe will enable them to drive results by enhancing their technology capabilities in key areas.</t>
        </r>
      </text>
    </comment>
    <comment ref="E70" authorId="3" shapeId="0" xr:uid="{58F8C4C6-6FEF-4308-8DA4-ED0540F75A92}">
      <text>
        <r>
          <rPr>
            <sz val="10"/>
            <rFont val="Arial"/>
            <family val="2"/>
          </rPr>
          <t xml:space="preserve">Mariana Raquel dos Santos Carvalho:
==»» We are dependent on our current Mexican breweries to fulfill our Mexican beer brands’ production requirements, both now as well
as for the near-term.
Expansion, optimization, and/or construction activities have risks of completion delays, cost overruns, and asset impairments.
==»» Constellation Brands </t>
        </r>
      </text>
    </comment>
    <comment ref="E75" authorId="3" shapeId="0" xr:uid="{37AE4E6C-5912-4E90-B23A-801785BA2377}">
      <text>
        <r>
          <rPr>
            <sz val="10"/>
            <rFont val="Arial"/>
            <family val="2"/>
          </rPr>
          <t>Mariana Raquel dos Santos Carvalho:
==»» They operate in a highly competitive industry, and their sales and profitability could be negatively affected by their  inability to maintain or increase prices or develop new products</t>
        </r>
      </text>
    </comment>
    <comment ref="B78" authorId="3" shapeId="0" xr:uid="{40D0506F-CE76-49B3-82B1-182128E5DB51}">
      <text>
        <r>
          <rPr>
            <sz val="10"/>
            <rFont val="Arial"/>
            <family val="2"/>
          </rPr>
          <t>Mariana Raquel dos Santos Carvalho:
==» The alcohol-free beer market is projected to increase from $20.41 billion to $29.36 billion by 2026.</t>
        </r>
      </text>
    </comment>
    <comment ref="E78" authorId="3" shapeId="0" xr:uid="{CB8668D9-4253-4949-874C-FF1600697F6E}">
      <text>
        <r>
          <rPr>
            <sz val="10"/>
            <rFont val="Arial"/>
            <family val="2"/>
          </rPr>
          <t>Mariana Raquel dos Santos Carvalho:
==»» With the growing threats posed by climate change, this dependency could potentially lead to adverse outcomes.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Jorge Daniel Vieira Freitas</author>
    <author>Jorge</author>
  </authors>
  <commentList>
    <comment ref="D51" authorId="0" shapeId="0" xr:uid="{D94BED17-F9A5-4834-A329-23AB598D338E}">
      <text>
        <r>
          <rPr>
            <sz val="10"/>
            <rFont val="Arial"/>
            <family val="2"/>
          </rPr>
          <t>11/04/2024</t>
        </r>
      </text>
    </comment>
    <comment ref="B56" authorId="0" shapeId="0" xr:uid="{147BC8BF-AF27-4CBF-B296-CFC05DC806B4}">
      <text>
        <r>
          <rPr>
            <sz val="10"/>
            <rFont val="Arial"/>
            <family val="2"/>
          </rPr>
          <t>Revenue growth in the past years has been driven by strategic acquisitions, premiumization and strong performance in the U.S. beer market.</t>
        </r>
      </text>
    </comment>
    <comment ref="B63" authorId="1" shapeId="0" xr:uid="{DECF3395-F000-4D35-A7B2-93394F6C56B7}">
      <text>
        <r>
          <rPr>
            <sz val="9"/>
            <color indexed="81"/>
            <rFont val="Tahoma"/>
            <family val="2"/>
          </rPr>
          <t>One of the key drivers of the market is the increasing consumer demand for premium and craft beverages. For instance, the rise in popularity of craft beers and artisanal spirits, such as locally produced whiskey and gin, has contributed to market growth. Consumers are willing to pay a premium for unique flavors and high-quality ingredients, as seen in the growing success of brands like Tito’s Handmade Vodka and Sierra Nevada’s craft beers.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Utilizador</author>
    <author>Jorge</author>
  </authors>
  <commentList>
    <comment ref="D10" authorId="0" shapeId="0" xr:uid="{E3FD8B21-812F-4DAB-BC69-9CCF6F95C211}">
      <text>
        <r>
          <rPr>
            <b/>
            <sz val="9"/>
            <color indexed="81"/>
            <rFont val="Tahoma"/>
            <family val="2"/>
          </rPr>
          <t xml:space="preserve">Utilizador:
</t>
        </r>
        <r>
          <rPr>
            <sz val="9"/>
            <color indexed="81"/>
            <rFont val="Tahoma"/>
            <family val="2"/>
          </rPr>
          <t>as of 27/09/2024</t>
        </r>
      </text>
    </comment>
    <comment ref="E10" authorId="0" shapeId="0" xr:uid="{BF39AEDC-0CD2-465E-BC75-E3044CDCE393}">
      <text>
        <r>
          <rPr>
            <b/>
            <sz val="9"/>
            <color indexed="81"/>
            <rFont val="Tahoma"/>
            <family val="2"/>
          </rPr>
          <t>Utilizador:</t>
        </r>
        <r>
          <rPr>
            <sz val="9"/>
            <color indexed="81"/>
            <rFont val="Tahoma"/>
            <family val="2"/>
          </rPr>
          <t xml:space="preserve">
as of 27/09/2024</t>
        </r>
      </text>
    </comment>
    <comment ref="F10" authorId="0" shapeId="0" xr:uid="{7EF945A9-E92A-4ADE-8F02-F3256C493DF2}">
      <text>
        <r>
          <rPr>
            <b/>
            <sz val="9"/>
            <color indexed="81"/>
            <rFont val="Tahoma"/>
            <family val="2"/>
          </rPr>
          <t>Utilizador:</t>
        </r>
        <r>
          <rPr>
            <sz val="9"/>
            <color indexed="81"/>
            <rFont val="Tahoma"/>
            <family val="2"/>
          </rPr>
          <t xml:space="preserve">
as of 27/09/2024</t>
        </r>
      </text>
    </comment>
    <comment ref="G10" authorId="0" shapeId="0" xr:uid="{A5F30AE5-3538-4D5B-9A94-D76FA5465F28}">
      <text>
        <r>
          <rPr>
            <b/>
            <sz val="9"/>
            <color indexed="81"/>
            <rFont val="Tahoma"/>
            <family val="2"/>
          </rPr>
          <t>Utilizador:</t>
        </r>
        <r>
          <rPr>
            <sz val="9"/>
            <color indexed="81"/>
            <rFont val="Tahoma"/>
            <family val="2"/>
          </rPr>
          <t xml:space="preserve">
as of 27/09/2024</t>
        </r>
      </text>
    </comment>
    <comment ref="H10" authorId="0" shapeId="0" xr:uid="{69404FFC-BF19-42A7-BEA2-B4600B8FFA14}">
      <text>
        <r>
          <rPr>
            <b/>
            <sz val="9"/>
            <color indexed="81"/>
            <rFont val="Tahoma"/>
            <family val="2"/>
          </rPr>
          <t>Utilizador:</t>
        </r>
        <r>
          <rPr>
            <sz val="9"/>
            <color indexed="81"/>
            <rFont val="Tahoma"/>
            <family val="2"/>
          </rPr>
          <t xml:space="preserve">
as of 27/09/2024</t>
        </r>
      </text>
    </comment>
    <comment ref="C43" authorId="1" shapeId="0" xr:uid="{62819CAA-3527-44CD-AFA3-2581F4688352}">
      <text>
        <r>
          <rPr>
            <b/>
            <sz val="9"/>
            <color indexed="81"/>
            <rFont val="Tahoma"/>
            <family val="2"/>
          </rPr>
          <t>08/11/2023
        -
08/11/2024</t>
        </r>
      </text>
    </comment>
    <comment ref="D43" authorId="1" shapeId="0" xr:uid="{736523E8-AEFD-445E-BE67-6BF068873F2B}">
      <text>
        <r>
          <rPr>
            <b/>
            <sz val="9"/>
            <color indexed="81"/>
            <rFont val="Tahoma"/>
            <family val="2"/>
          </rPr>
          <t>08/11/2023
        -
08/11/2024</t>
        </r>
      </text>
    </comment>
    <comment ref="E43" authorId="1" shapeId="0" xr:uid="{73BDAE65-C4D3-478A-A629-E2122F74BEC2}">
      <text>
        <r>
          <rPr>
            <b/>
            <sz val="9"/>
            <color indexed="81"/>
            <rFont val="Tahoma"/>
            <family val="2"/>
          </rPr>
          <t>08/11/2023
        -
08/11/2024</t>
        </r>
      </text>
    </comment>
    <comment ref="F43" authorId="1" shapeId="0" xr:uid="{EA6EB7C4-00F6-4573-9AFD-69A05BEB4DDC}">
      <text>
        <r>
          <rPr>
            <b/>
            <sz val="9"/>
            <color indexed="81"/>
            <rFont val="Tahoma"/>
            <family val="2"/>
          </rPr>
          <t>08/11/2023
        -
08/11/2024</t>
        </r>
      </text>
    </comment>
    <comment ref="G43" authorId="1" shapeId="0" xr:uid="{6F87F5D2-F3CC-46D5-990F-629CA88A362D}">
      <text>
        <r>
          <rPr>
            <b/>
            <sz val="9"/>
            <color indexed="81"/>
            <rFont val="Tahoma"/>
            <family val="2"/>
          </rPr>
          <t>08/11/2023
        -
08/11/2024</t>
        </r>
      </text>
    </comment>
    <comment ref="H43" authorId="1" shapeId="0" xr:uid="{E35FD6E2-C7DB-4328-9433-A2EC5335F027}">
      <text>
        <r>
          <rPr>
            <b/>
            <sz val="9"/>
            <color indexed="81"/>
            <rFont val="Tahoma"/>
            <family val="2"/>
          </rPr>
          <t>08/11/2023
        -
08/11/2024</t>
        </r>
      </text>
    </comment>
    <comment ref="C44" authorId="1" shapeId="0" xr:uid="{D9D66189-1492-43F0-A4F8-46DD118C2F4A}">
      <text>
        <r>
          <rPr>
            <b/>
            <sz val="9"/>
            <color indexed="81"/>
            <rFont val="Tahoma"/>
            <family val="2"/>
          </rPr>
          <t>08/11/2021
        -
08/11/2024</t>
        </r>
      </text>
    </comment>
    <comment ref="D44" authorId="1" shapeId="0" xr:uid="{9E10573C-685A-41D4-819C-D78A34E39F7C}">
      <text>
        <r>
          <rPr>
            <b/>
            <sz val="9"/>
            <color indexed="81"/>
            <rFont val="Tahoma"/>
            <family val="2"/>
          </rPr>
          <t>08/11/2021
        -
08/11/2024</t>
        </r>
      </text>
    </comment>
    <comment ref="E44" authorId="1" shapeId="0" xr:uid="{DD1EC52D-64C5-4154-9BC9-6099411AB6D1}">
      <text>
        <r>
          <rPr>
            <b/>
            <sz val="9"/>
            <color indexed="81"/>
            <rFont val="Tahoma"/>
            <family val="2"/>
          </rPr>
          <t>08/11/2021
        -
08/11/2024</t>
        </r>
      </text>
    </comment>
    <comment ref="F44" authorId="1" shapeId="0" xr:uid="{FE1533D0-AFCC-4D57-9CD8-ABD2ABBFF632}">
      <text>
        <r>
          <rPr>
            <b/>
            <sz val="9"/>
            <color indexed="81"/>
            <rFont val="Tahoma"/>
            <family val="2"/>
          </rPr>
          <t>08/11/2021
        -
08/11/2024</t>
        </r>
      </text>
    </comment>
    <comment ref="G44" authorId="1" shapeId="0" xr:uid="{4B1AB835-E756-4885-9492-C370C665620F}">
      <text>
        <r>
          <rPr>
            <b/>
            <sz val="9"/>
            <color indexed="81"/>
            <rFont val="Tahoma"/>
            <family val="2"/>
          </rPr>
          <t>08/11/2021
        -
08/11/2024</t>
        </r>
      </text>
    </comment>
    <comment ref="H44" authorId="1" shapeId="0" xr:uid="{D1B34891-E1C2-45BC-9042-5FBA63055C5D}">
      <text>
        <r>
          <rPr>
            <b/>
            <sz val="9"/>
            <color indexed="81"/>
            <rFont val="Tahoma"/>
            <family val="2"/>
          </rPr>
          <t>08/11/2021
        -
08/11/2024</t>
        </r>
      </text>
    </comment>
    <comment ref="D45" authorId="1" shapeId="0" xr:uid="{72C77629-675F-4929-AA4E-1673AF85782D}">
      <text>
        <r>
          <rPr>
            <b/>
            <sz val="9"/>
            <color indexed="81"/>
            <rFont val="Tahoma"/>
            <family val="2"/>
          </rPr>
          <t>10/11/2024</t>
        </r>
      </text>
    </comment>
    <comment ref="E45" authorId="1" shapeId="0" xr:uid="{58D546EB-F346-40D0-BF48-DC607636B7EA}">
      <text>
        <r>
          <rPr>
            <b/>
            <sz val="9"/>
            <color indexed="81"/>
            <rFont val="Tahoma"/>
            <family val="2"/>
          </rPr>
          <t>10/11/2024</t>
        </r>
      </text>
    </comment>
    <comment ref="F45" authorId="1" shapeId="0" xr:uid="{C7E513A0-1AFB-4B9E-AE2A-E1BFDE547053}">
      <text>
        <r>
          <rPr>
            <sz val="9"/>
            <color indexed="81"/>
            <rFont val="Tahoma"/>
            <family val="2"/>
          </rPr>
          <t>10/11/2024</t>
        </r>
      </text>
    </comment>
    <comment ref="G45" authorId="1" shapeId="0" xr:uid="{D952930C-FE43-4EA2-A314-A6F7593FFA5D}">
      <text>
        <r>
          <rPr>
            <b/>
            <sz val="9"/>
            <color indexed="81"/>
            <rFont val="Tahoma"/>
            <family val="2"/>
          </rPr>
          <t>10/11/2024</t>
        </r>
      </text>
    </comment>
    <comment ref="H45" authorId="1" shapeId="0" xr:uid="{36B9D3A0-CB63-483B-9C80-CD52C63536ED}">
      <text>
        <r>
          <rPr>
            <b/>
            <sz val="9"/>
            <color indexed="81"/>
            <rFont val="Tahoma"/>
            <family val="2"/>
          </rPr>
          <t>10/11/2024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Jorge</author>
  </authors>
  <commentList>
    <comment ref="F9" authorId="0" shapeId="0" xr:uid="{5E067D45-7324-4FC0-855B-7743054FAF3F}">
      <text>
        <r>
          <rPr>
            <sz val="9"/>
            <color indexed="81"/>
            <rFont val="Tahoma"/>
            <family val="2"/>
          </rPr>
          <t xml:space="preserve">Depreciation is computed primarily using the </t>
        </r>
        <r>
          <rPr>
            <b/>
            <sz val="9"/>
            <color indexed="81"/>
            <rFont val="Tahoma"/>
            <family val="2"/>
          </rPr>
          <t>straight-line method</t>
        </r>
        <r>
          <rPr>
            <sz val="9"/>
            <color indexed="81"/>
            <rFont val="Tahoma"/>
            <family val="2"/>
          </rPr>
          <t xml:space="preserve"> over the following estimated useful lives: Years Land improvements 15 to 32 Vineyards 16 to 26 Buildings and improvements 10 to 50 Machinery and equipment 3 to 35 Motor vehicles 3 to 8</t>
        </r>
      </text>
    </comment>
    <comment ref="F10" authorId="0" shapeId="0" xr:uid="{28167721-1544-4F83-8D93-CA2996EC1E7A}">
      <text>
        <r>
          <rPr>
            <b/>
            <sz val="9"/>
            <color indexed="81"/>
            <rFont val="Tahoma"/>
            <family val="2"/>
          </rPr>
          <t>"We did not incur costs to renew or extend the term of acquired intangible assets for the years ended February 29, 2024, February 28, 2023, and February 28, 2022. Amortization expense for intangible assets was $1.3 million, $3.2 million, and $5.1 million for the years ended February 29, 2024, February 28, 2023, and February 28, 2022, respectively."</t>
        </r>
      </text>
    </comment>
    <comment ref="G13" authorId="0" shapeId="0" xr:uid="{B4224AE2-B0D8-45CC-B435-84482FE6D6B3}">
      <text>
        <r>
          <rPr>
            <b/>
            <sz val="9"/>
            <color indexed="81"/>
            <rFont val="Tahoma"/>
            <family val="2"/>
          </rPr>
          <t>Guidance for 430 million</t>
        </r>
      </text>
    </comment>
    <comment ref="G14" authorId="0" shapeId="0" xr:uid="{C56800BF-38DC-4393-B9DC-058971498C97}">
      <text>
        <r>
          <rPr>
            <b/>
            <sz val="9"/>
            <color indexed="81"/>
            <rFont val="Tahoma"/>
            <family val="2"/>
          </rPr>
          <t>The Company also expects to recognize a non-cash goodwill impairment loss for the Wine and Spirits business of approximately $1.5 to $2.5 billion for its second quarter fiscal 2025 results, which is included above in the fiscal 2025 reported EPS outlook.(2) The impairment reflects the Company’s updated expectations of its fiscal 2025 outlook for its Wine and Spirits business due to continued negative trends primarily in its U.S. wholesale market, driven by declines in both the overall wine market and its mainstream and premium wine brands.</t>
        </r>
      </text>
    </comment>
    <comment ref="G16" authorId="0" shapeId="0" xr:uid="{3A84CFE6-B150-48DB-86D0-9433B9638C12}">
      <text>
        <r>
          <rPr>
            <b/>
            <sz val="9"/>
            <color indexed="81"/>
            <rFont val="Tahoma"/>
            <family val="2"/>
          </rPr>
          <t>Guidance</t>
        </r>
        <r>
          <rPr>
            <sz val="9"/>
            <color indexed="81"/>
            <rFont val="Tahoma"/>
            <family val="2"/>
          </rPr>
          <t xml:space="preserve"> for reported </t>
        </r>
        <r>
          <rPr>
            <b/>
            <sz val="9"/>
            <color indexed="81"/>
            <rFont val="Tahoma"/>
            <family val="2"/>
          </rPr>
          <t xml:space="preserve">tax rate ~11%  </t>
        </r>
        <r>
          <rPr>
            <sz val="9"/>
            <color indexed="81"/>
            <rFont val="Tahoma"/>
            <family val="2"/>
          </rPr>
          <t xml:space="preserve"> (Includes expected Wine and Spirits goodwill impairment)</t>
        </r>
      </text>
    </comment>
    <comment ref="G17" authorId="0" shapeId="0" xr:uid="{A1359D7E-A156-472F-B8A8-A30654BE4965}">
      <text>
        <r>
          <rPr>
            <sz val="9"/>
            <color indexed="81"/>
            <rFont val="Tahoma"/>
            <family val="2"/>
          </rPr>
          <t>Guidance between 556 and 1443 M$</t>
        </r>
      </text>
    </comment>
    <comment ref="G22" authorId="0" shapeId="0" xr:uid="{602073C2-EC77-4F1A-A3B5-24CE4584E08F}">
      <text>
        <r>
          <rPr>
            <b/>
            <sz val="9"/>
            <color indexed="81"/>
            <rFont val="Tahoma"/>
            <family val="2"/>
          </rPr>
          <t>Guidance: $2.8 - $3.0 billion</t>
        </r>
      </text>
    </comment>
    <comment ref="G23" authorId="0" shapeId="0" xr:uid="{E09DEE9A-05C2-44FE-8BF1-8D2A1FE6759B}">
      <text>
        <r>
          <rPr>
            <b/>
            <sz val="9"/>
            <color indexed="81"/>
            <rFont val="Tahoma"/>
            <family val="2"/>
          </rPr>
          <t>Guidance</t>
        </r>
      </text>
    </comment>
    <comment ref="E50" authorId="0" shapeId="0" xr:uid="{420CE4C4-5976-4E56-990B-54AC9598B0E7}">
      <text>
        <r>
          <rPr>
            <sz val="9"/>
            <color indexed="81"/>
            <rFont val="Tahoma"/>
            <family val="2"/>
          </rPr>
          <t>=&gt; Exposure to alcohol industry
=&gt;Shifts in consumer preferences and brand image risks
=&gt;Sensitivity to economic cycles
=&gt; Value of income (loss) from unconsolidated investments and/or goodwill impairments (losses) are too volatile and unpredictable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Damião Ribeiro</author>
    <author>Damião Carvalho Perdigão Gonçalves Ribeiro</author>
    <author>Jorge</author>
    <author>Jorge Daniel Vieira Freitas</author>
  </authors>
  <commentList>
    <comment ref="O23" authorId="0" shapeId="0" xr:uid="{4933DAFF-721E-4DD7-9652-E02D2A561EE8}">
      <text>
        <r>
          <rPr>
            <b/>
            <sz val="9"/>
            <color indexed="81"/>
            <rFont val="Tahoma"/>
            <family val="2"/>
          </rPr>
          <t>Damião Ribeiro:</t>
        </r>
        <r>
          <rPr>
            <sz val="9"/>
            <color indexed="81"/>
            <rFont val="Tahoma"/>
            <family val="2"/>
          </rPr>
          <t xml:space="preserve">
Average YoY Growth (Gross PPE)</t>
        </r>
      </text>
    </comment>
    <comment ref="P23" authorId="1" shapeId="0" xr:uid="{6E478CFC-98B1-491D-B9A2-4B23F33AC43B}">
      <text>
        <r>
          <rPr>
            <sz val="10"/>
            <rFont val="Arial"/>
            <family val="2"/>
          </rPr>
          <t>Damião Carvalho Perdigão Gonçalves Ribeiro:
Average YoY Growth (Gross PPE)</t>
        </r>
      </text>
    </comment>
    <comment ref="Q23" authorId="1" shapeId="0" xr:uid="{1EA63F23-E7A6-4972-8A14-A15EA6172957}">
      <text>
        <r>
          <rPr>
            <sz val="10"/>
            <rFont val="Arial"/>
            <family val="2"/>
          </rPr>
          <t>Damião Carvalho Perdigão Gonçalves Ribeiro:
Average YoY Growth (Gross PPE)</t>
        </r>
      </text>
    </comment>
    <comment ref="O25" authorId="0" shapeId="0" xr:uid="{8F9DC3B8-AFA8-4E6B-8C4D-ABFEF017F1CE}">
      <text>
        <r>
          <rPr>
            <b/>
            <sz val="9"/>
            <color rgb="FF000000"/>
            <rFont val="Tahoma"/>
            <family val="2"/>
          </rPr>
          <t>Damião Ribeiro:</t>
        </r>
        <r>
          <rPr>
            <sz val="9"/>
            <color rgb="FF000000"/>
            <rFont val="Tahoma"/>
            <family val="2"/>
          </rPr>
          <t xml:space="preserve">
</t>
        </r>
        <r>
          <rPr>
            <sz val="9"/>
            <color rgb="FF000000"/>
            <rFont val="Tahoma"/>
            <family val="2"/>
          </rPr>
          <t>Average YoY Growth (Gross IA)</t>
        </r>
      </text>
    </comment>
    <comment ref="P25" authorId="1" shapeId="0" xr:uid="{B98D254F-69A2-4738-B7ED-D8EE3EFCD5E5}">
      <text>
        <r>
          <rPr>
            <sz val="10"/>
            <rFont val="Arial"/>
            <family val="2"/>
          </rPr>
          <t>Damião Carvalho Perdigão Gonçalves Ribeiro:
Average YoY Growth (Gross IA)</t>
        </r>
      </text>
    </comment>
    <comment ref="Q25" authorId="1" shapeId="0" xr:uid="{53BD5CD2-B13E-40EC-9B89-BD1E5C014BDF}">
      <text>
        <r>
          <rPr>
            <sz val="10"/>
            <color rgb="FF000000"/>
            <rFont val="Arial"/>
            <family val="2"/>
          </rPr>
          <t xml:space="preserve">Damião Carvalho Perdigão Gonçalves Ribeiro:
</t>
        </r>
        <r>
          <rPr>
            <sz val="10"/>
            <color rgb="FF000000"/>
            <rFont val="Arial"/>
            <family val="2"/>
          </rPr>
          <t>Average YoY Growth (Gross IA)</t>
        </r>
      </text>
    </comment>
    <comment ref="S26" authorId="2" shapeId="0" xr:uid="{DB144D59-C31A-4B82-9516-53E5CC724111}">
      <text>
        <r>
          <rPr>
            <sz val="9"/>
            <color indexed="81"/>
            <rFont val="Tahoma"/>
            <family val="2"/>
          </rPr>
          <t>A large portion of CaPex will focus on expanding beer production capacity in Mexico, particularly in existing facilities and a new brewery in Veracruz. This strategic investment aims to support long-term growth and meet increasing demand in the beer category. Also, from 2015 to 2019, the company was heavily focused on inorganic growth (industry past trend of acquisitions, so net CapEx during this period was not fully representative of its total investment activity.</t>
        </r>
      </text>
    </comment>
    <comment ref="S27" authorId="2" shapeId="0" xr:uid="{AB63142D-0300-401B-8D09-1976768DEE77}">
      <text>
        <r>
          <rPr>
            <sz val="9"/>
            <color indexed="81"/>
            <rFont val="Tahoma"/>
            <family val="2"/>
          </rPr>
          <t>Constellation is</t>
        </r>
        <r>
          <rPr>
            <b/>
            <sz val="9"/>
            <color indexed="81"/>
            <rFont val="Tahoma"/>
            <family val="2"/>
          </rPr>
          <t xml:space="preserve"> prioritizing</t>
        </r>
        <r>
          <rPr>
            <sz val="9"/>
            <color indexed="81"/>
            <rFont val="Tahoma"/>
            <family val="2"/>
          </rPr>
          <t xml:space="preserve"> </t>
        </r>
        <r>
          <rPr>
            <u/>
            <sz val="9"/>
            <color indexed="81"/>
            <rFont val="Tahoma"/>
            <family val="2"/>
          </rPr>
          <t>organic growth</t>
        </r>
        <r>
          <rPr>
            <sz val="9"/>
            <color indexed="81"/>
            <rFont val="Tahoma"/>
            <family val="2"/>
          </rPr>
          <t xml:space="preserve"> by investing heavily in its Beer Business, which has been its main driver of revenue. 
This strategic focus is a continuation of Constellation’s efforts to streamline operations and improve its portfolio's quality, having divested several lower-margin wine brands in previous years to concentrate on premium segments.
The focus is on </t>
        </r>
        <r>
          <rPr>
            <b/>
            <sz val="9"/>
            <color indexed="81"/>
            <rFont val="Tahoma"/>
            <family val="2"/>
          </rPr>
          <t>smaller, strategic acquisitions</t>
        </r>
        <r>
          <rPr>
            <sz val="9"/>
            <color indexed="81"/>
            <rFont val="Tahoma"/>
            <family val="2"/>
          </rPr>
          <t xml:space="preserve"> rather than large-scale buyouts. This approach is designed to complement and expand its existing portfolio, especially in the Wine &amp; Spirits segment</t>
        </r>
      </text>
    </comment>
    <comment ref="S28" authorId="2" shapeId="0" xr:uid="{588D88FD-676A-46D3-B797-D6A6DDF2C43B}">
      <text>
        <r>
          <rPr>
            <sz val="9"/>
            <color indexed="81"/>
            <rFont val="Tahoma"/>
            <family val="2"/>
          </rPr>
          <t>The company has increased its dividend payouts for nine consecutive years. Average of 14% increase each year</t>
        </r>
      </text>
    </comment>
    <comment ref="S29" authorId="2" shapeId="0" xr:uid="{B2F251C1-B756-479E-9C8B-4EFD6F174F0A}">
      <text>
        <r>
          <rPr>
            <sz val="9"/>
            <color indexed="81"/>
            <rFont val="Tahoma"/>
            <family val="2"/>
          </rPr>
          <t>Prioritized cash flow for other strategic investments, including expansion in their core beer business, targeting medium-term growth of 7% to 9% in that segment.</t>
        </r>
      </text>
    </comment>
    <comment ref="D39" authorId="2" shapeId="0" xr:uid="{FFA300D6-9262-4211-AD02-DB4B1BACE69F}">
      <text>
        <r>
          <rPr>
            <b/>
            <sz val="9"/>
            <color indexed="81"/>
            <rFont val="Tahoma"/>
            <family val="2"/>
          </rPr>
          <t>Guidance</t>
        </r>
        <r>
          <rPr>
            <sz val="9"/>
            <color indexed="81"/>
            <rFont val="Tahoma"/>
            <family val="2"/>
          </rPr>
          <t xml:space="preserve"> net sales growth </t>
        </r>
        <r>
          <rPr>
            <b/>
            <sz val="9"/>
            <color indexed="81"/>
            <rFont val="Tahoma"/>
            <family val="2"/>
          </rPr>
          <t>4% - 6%</t>
        </r>
        <r>
          <rPr>
            <sz val="9"/>
            <color indexed="81"/>
            <rFont val="Tahoma"/>
            <family val="2"/>
          </rPr>
          <t xml:space="preserve">
Due to incremental macroeconomic headwinds affecting consumer, particularly unemployment, and prolonged inventory destocking in wine and spirits markets</t>
        </r>
      </text>
    </comment>
    <comment ref="D40" authorId="2" shapeId="0" xr:uid="{22394553-1DB9-48B2-8C85-91F8C514F016}">
      <text>
        <r>
          <rPr>
            <u/>
            <sz val="9"/>
            <color indexed="81"/>
            <rFont val="Tahoma"/>
            <family val="2"/>
          </rPr>
          <t xml:space="preserve">Beer operating income </t>
        </r>
        <r>
          <rPr>
            <b/>
            <u/>
            <sz val="9"/>
            <color indexed="81"/>
            <rFont val="Tahoma"/>
            <family val="2"/>
          </rPr>
          <t>growth</t>
        </r>
        <r>
          <rPr>
            <sz val="9"/>
            <color indexed="81"/>
            <rFont val="Tahoma"/>
            <family val="2"/>
          </rPr>
          <t xml:space="preserve"> of 11% - 12% (Incremental cost savings partially offset by increased marketing investments)
</t>
        </r>
        <r>
          <rPr>
            <u/>
            <sz val="9"/>
            <color indexed="81"/>
            <rFont val="Tahoma"/>
            <family val="2"/>
          </rPr>
          <t xml:space="preserve">Wine and Spirits operating income </t>
        </r>
        <r>
          <rPr>
            <b/>
            <u/>
            <sz val="9"/>
            <color indexed="81"/>
            <rFont val="Tahoma"/>
            <family val="2"/>
          </rPr>
          <t>decline</t>
        </r>
        <r>
          <rPr>
            <sz val="9"/>
            <color indexed="81"/>
            <rFont val="Tahoma"/>
            <family val="2"/>
          </rPr>
          <t xml:space="preserve">  (18)% - (16)%  </t>
        </r>
      </text>
    </comment>
    <comment ref="D49" authorId="2" shapeId="0" xr:uid="{E74332C3-A151-485C-B048-F29C1503DE99}">
      <text>
        <r>
          <rPr>
            <b/>
            <sz val="9"/>
            <color indexed="81"/>
            <rFont val="Tahoma"/>
            <family val="2"/>
          </rPr>
          <t>Bellow guidance</t>
        </r>
      </text>
    </comment>
    <comment ref="C83" authorId="2" shapeId="0" xr:uid="{F7E4A3A4-2B2E-477C-B356-529571C915A9}">
      <text>
        <r>
          <rPr>
            <b/>
            <sz val="9"/>
            <color indexed="81"/>
            <rFont val="Tahoma"/>
            <family val="2"/>
          </rPr>
          <t>Year of maturity 2035</t>
        </r>
      </text>
    </comment>
    <comment ref="D83" authorId="2" shapeId="0" xr:uid="{1CA466C5-5D2E-49DF-96F6-3D9C59053DCF}">
      <text>
        <r>
          <rPr>
            <b/>
            <sz val="9"/>
            <color indexed="81"/>
            <rFont val="Tahoma"/>
            <family val="2"/>
          </rPr>
          <t>Year of maturity 2036</t>
        </r>
      </text>
    </comment>
    <comment ref="E83" authorId="2" shapeId="0" xr:uid="{6D2228E1-F4BD-4E54-B003-753B50D7E726}">
      <text>
        <r>
          <rPr>
            <b/>
            <sz val="9"/>
            <color indexed="81"/>
            <rFont val="Tahoma"/>
            <family val="2"/>
          </rPr>
          <t>Year of maturity 2037</t>
        </r>
      </text>
    </comment>
    <comment ref="F83" authorId="2" shapeId="0" xr:uid="{7D8C07F0-C993-4D58-8014-E1ECF67BFAA2}">
      <text>
        <r>
          <rPr>
            <b/>
            <sz val="9"/>
            <color indexed="81"/>
            <rFont val="Tahoma"/>
            <family val="2"/>
          </rPr>
          <t>2000$ Loan - Maturity in 2033
950$ Bond- Maturity in 2038</t>
        </r>
      </text>
    </comment>
    <comment ref="G83" authorId="2" shapeId="0" xr:uid="{2AA385BB-FA3D-47BA-8003-DF0D4B7B05CA}">
      <text>
        <r>
          <rPr>
            <b/>
            <sz val="9"/>
            <color indexed="81"/>
            <rFont val="Tahoma"/>
            <family val="2"/>
          </rPr>
          <t>Maturity 2039</t>
        </r>
      </text>
    </comment>
    <comment ref="H83" authorId="2" shapeId="0" xr:uid="{13189E87-5CD9-4FE2-BD8C-ED9621C8D484}">
      <text>
        <r>
          <rPr>
            <b/>
            <sz val="9"/>
            <color indexed="81"/>
            <rFont val="Tahoma"/>
            <family val="2"/>
          </rPr>
          <t xml:space="preserve">Year of maturity 2040
</t>
        </r>
      </text>
    </comment>
    <comment ref="I83" authorId="2" shapeId="0" xr:uid="{A0DCF609-011E-46A5-91F9-236B11A5D938}">
      <text>
        <r>
          <rPr>
            <b/>
            <sz val="9"/>
            <color indexed="81"/>
            <rFont val="Tahoma"/>
            <family val="2"/>
          </rPr>
          <t>Year of maturity 2041</t>
        </r>
      </text>
    </comment>
    <comment ref="J83" authorId="2" shapeId="0" xr:uid="{3E72DE13-AEFA-498A-A68D-127C70F50555}">
      <text>
        <r>
          <rPr>
            <sz val="9"/>
            <color indexed="81"/>
            <rFont val="Tahoma"/>
            <family val="2"/>
          </rPr>
          <t>Year of maturity 2042</t>
        </r>
      </text>
    </comment>
    <comment ref="K83" authorId="2" shapeId="0" xr:uid="{F6D7D890-2830-456A-B54E-61E7C22C7920}">
      <text>
        <r>
          <rPr>
            <sz val="9"/>
            <color indexed="81"/>
            <rFont val="Tahoma"/>
            <family val="2"/>
          </rPr>
          <t>Year of maturity 2043</t>
        </r>
      </text>
    </comment>
    <comment ref="B89" authorId="3" shapeId="0" xr:uid="{2D883BD1-6136-448B-A75E-448B54B5EF8C}">
      <text>
        <r>
          <rPr>
            <sz val="10"/>
            <rFont val="Arial"/>
            <family val="2"/>
          </rPr>
          <t>Investopedia - Excise taxes are taxes levied on specific goods or services like fuel, tobacco, and alcohol. They are primarily taxes that must be paid by businesses, usually increasing prices for consumers indirectly. Excise taxes can be ad valorem (paid by percentage) or specific (cost charged by unit).</t>
        </r>
      </text>
    </comment>
    <comment ref="E89" authorId="2" shapeId="0" xr:uid="{E646354A-1488-4645-B165-54B72F032058}">
      <text>
        <r>
          <rPr>
            <b/>
            <sz val="9"/>
            <color indexed="81"/>
            <rFont val="Tahoma"/>
            <family val="2"/>
          </rPr>
          <t>"Before excise taxes"</t>
        </r>
      </text>
    </comment>
    <comment ref="B138" authorId="2" shapeId="0" xr:uid="{615BF342-20F2-4971-B0A8-21CEE39B842C}">
      <text>
        <r>
          <rPr>
            <sz val="9"/>
            <color indexed="81"/>
            <rFont val="Tahoma"/>
            <family val="2"/>
          </rPr>
          <t>The types of costs included in selling, general, and administrative expenses consist predominately of advertising and non-manufacturing administrative and overhead costs. We expense advertising (hereafter referred to as “marketing”) costs as incurred, shown, or distributed.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Jorge</author>
    <author>Mariana Raquel dos Santos Carvalho</author>
  </authors>
  <commentList>
    <comment ref="N6" authorId="0" shapeId="0" xr:uid="{441C20A0-6DFD-4FD7-9D5C-E92FCC922FC5}">
      <text>
        <r>
          <rPr>
            <sz val="9"/>
            <color indexed="81"/>
            <rFont val="Tahoma"/>
            <family val="2"/>
          </rPr>
          <t>Less "excise taxes" (324.8M$)</t>
        </r>
      </text>
    </comment>
    <comment ref="B7" authorId="1" shapeId="0" xr:uid="{261DFCA5-7B85-451D-A7E3-1874BB4C4E0A}">
      <text>
        <r>
          <rPr>
            <sz val="10"/>
            <rFont val="Arial"/>
            <family val="2"/>
          </rPr>
          <t>Mariana Raquel dos Santos Carvalho:
Part of this amount is spent on Selling, General, and Administrative expenses, with $853.5 million on marketing, mainly to promote recognition of its high-end imported beer brands.</t>
        </r>
      </text>
    </comment>
    <comment ref="C9" authorId="0" shapeId="0" xr:uid="{F66B30C8-F16D-4B70-99FA-6FCEB64EC6F3}">
      <text>
        <r>
          <rPr>
            <b/>
            <sz val="9"/>
            <color indexed="81"/>
            <rFont val="Tahoma"/>
            <family val="2"/>
          </rPr>
          <t>Income (loss) from unconsolidated investments</t>
        </r>
      </text>
    </comment>
    <comment ref="D9" authorId="0" shapeId="0" xr:uid="{3808D570-F0F4-4531-BC1E-13205B55410C}">
      <text>
        <r>
          <rPr>
            <sz val="9"/>
            <color indexed="81"/>
            <rFont val="Tahoma"/>
            <family val="2"/>
          </rPr>
          <t>Income (loss) from unconsolidated investments</t>
        </r>
      </text>
    </comment>
    <comment ref="G9" authorId="0" shapeId="0" xr:uid="{8B0B9A36-7FD4-4AA5-B30B-27D33AD3C173}">
      <text>
        <r>
          <rPr>
            <sz val="9"/>
            <color indexed="81"/>
            <rFont val="Tahoma"/>
            <family val="2"/>
          </rPr>
          <t>income from unconsolidated investments</t>
        </r>
      </text>
    </comment>
    <comment ref="L9" authorId="0" shapeId="0" xr:uid="{9AEC797C-0113-40F0-B216-3E3954B0C769}">
      <text>
        <r>
          <rPr>
            <b/>
            <sz val="9"/>
            <color indexed="81"/>
            <rFont val="Tahoma"/>
            <family val="2"/>
          </rPr>
          <t xml:space="preserve">"Gain on remeasurement to fair value of equity method investment
</t>
        </r>
        <r>
          <rPr>
            <sz val="9"/>
            <color indexed="81"/>
            <rFont val="Tahoma"/>
            <family val="2"/>
          </rPr>
          <t>and</t>
        </r>
        <r>
          <rPr>
            <b/>
            <sz val="9"/>
            <color indexed="81"/>
            <rFont val="Tahoma"/>
            <family val="2"/>
          </rPr>
          <t xml:space="preserve">
Equity in earnings of equity method investees"</t>
        </r>
      </text>
    </comment>
    <comment ref="N9" authorId="0" shapeId="0" xr:uid="{3F7E72DE-BCD6-4AAD-A626-51C79AE14DEE}">
      <text>
        <r>
          <rPr>
            <sz val="9"/>
            <color indexed="81"/>
            <rFont val="Tahoma"/>
            <family val="2"/>
          </rPr>
          <t>EQUITY IN EARNINGS OF EQUITY METHOD INVESTEES</t>
        </r>
      </text>
    </comment>
    <comment ref="G44" authorId="1" shapeId="0" xr:uid="{DB9AFF06-3905-40D0-9C93-CD0462BFCDFF}">
      <text>
        <r>
          <rPr>
            <sz val="10"/>
            <rFont val="Arial"/>
            <family val="2"/>
          </rPr>
          <t>Mariana Raquel dos Santos Carvalho:
The increase is due to the current maturities of long-term debt. In 2018, they secured a term loan with a quarterly amortization of $12.5 million.</t>
        </r>
      </text>
    </comment>
    <comment ref="B65" authorId="1" shapeId="0" xr:uid="{04BDE997-C6B1-4203-9AE6-FA397680055D}">
      <text>
        <r>
          <rPr>
            <sz val="10"/>
            <rFont val="Arial"/>
            <family val="2"/>
          </rPr>
          <t>Mariana Raquel dos Santos Carvalho:
$947.9 million was used to expand the Mexican Beer project.</t>
        </r>
      </text>
    </comment>
    <comment ref="A69" authorId="1" shapeId="0" xr:uid="{CF261906-4E8B-41C7-9997-07795F4FAD48}">
      <text>
        <r>
          <rPr>
            <sz val="10"/>
            <rFont val="Arial"/>
            <family val="2"/>
          </rPr>
          <t>Mariana Raquel dos Santos Carvalho:
This value only refers to long-term debt</t>
        </r>
      </text>
    </comment>
    <comment ref="A73" authorId="0" shapeId="0" xr:uid="{93F1AC00-99F2-4AA0-B448-21574BDE25C1}">
      <text>
        <r>
          <rPr>
            <sz val="9"/>
            <color indexed="81"/>
            <rFont val="Tahoma"/>
            <family val="2"/>
          </rPr>
          <t xml:space="preserve">We have </t>
        </r>
        <r>
          <rPr>
            <b/>
            <sz val="9"/>
            <color indexed="81"/>
            <rFont val="Tahoma"/>
            <family val="2"/>
          </rPr>
          <t>not paid</t>
        </r>
        <r>
          <rPr>
            <sz val="9"/>
            <color indexed="81"/>
            <rFont val="Tahoma"/>
            <family val="2"/>
          </rPr>
          <t xml:space="preserve"> any cash </t>
        </r>
        <r>
          <rPr>
            <b/>
            <sz val="9"/>
            <color indexed="81"/>
            <rFont val="Tahoma"/>
            <family val="2"/>
          </rPr>
          <t>dividends</t>
        </r>
        <r>
          <rPr>
            <sz val="9"/>
            <color indexed="81"/>
            <rFont val="Tahoma"/>
            <family val="2"/>
          </rPr>
          <t xml:space="preserve"> on our common stock </t>
        </r>
        <r>
          <rPr>
            <b/>
            <sz val="9"/>
            <color indexed="81"/>
            <rFont val="Tahoma"/>
            <family val="2"/>
          </rPr>
          <t>since our initial public offering in 1973</t>
        </r>
        <r>
          <rPr>
            <sz val="9"/>
            <color indexed="81"/>
            <rFont val="Tahoma"/>
            <family val="2"/>
          </rPr>
          <t xml:space="preserve"> as we have retained all of our earnings to finance the development and expansion of our business. However, on </t>
        </r>
        <r>
          <rPr>
            <b/>
            <u/>
            <sz val="9"/>
            <color indexed="81"/>
            <rFont val="Tahoma"/>
            <family val="2"/>
          </rPr>
          <t>April 8, 2015</t>
        </r>
        <r>
          <rPr>
            <sz val="9"/>
            <color indexed="81"/>
            <rFont val="Tahoma"/>
            <family val="2"/>
          </rPr>
          <t>, our Board of Directors approved the initiation of a dividend
program under which we intend to pay a regular quarterly cash dividend to stockholders of our common stock.</t>
        </r>
      </text>
    </comment>
    <comment ref="A89" authorId="0" shapeId="0" xr:uid="{0F938716-A1CF-49E1-A156-C10940BDB924}">
      <text>
        <r>
          <rPr>
            <b/>
            <sz val="9"/>
            <color indexed="81"/>
            <rFont val="Tahoma"/>
            <family val="2"/>
          </rPr>
          <t>31/08 for every year</t>
        </r>
      </text>
    </comment>
    <comment ref="A92" authorId="0" shapeId="0" xr:uid="{2ABF22DC-7EF7-4F1B-B616-3FDC5423E891}">
      <text>
        <r>
          <rPr>
            <u/>
            <sz val="9"/>
            <color indexed="81"/>
            <rFont val="Tahoma"/>
            <family val="2"/>
          </rPr>
          <t>Investopedia</t>
        </r>
        <r>
          <rPr>
            <sz val="9"/>
            <color indexed="81"/>
            <rFont val="Tahoma"/>
            <family val="2"/>
          </rPr>
          <t xml:space="preserve"> - Excise taxes are taxes levied on specific goods or services like fuel, tobacco, and alcohol. They are primarily taxes that must be paid by businesses, usually increasing prices for consumers indirectly. Excise taxes can be ad valorem (paid by percentage) or specific (cost charged by unit).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sharedStrings.xml><?xml version="1.0" encoding="utf-8"?>
<sst xmlns="http://schemas.openxmlformats.org/spreadsheetml/2006/main" count="1952" uniqueCount="972">
  <si>
    <t>(Date of last update)</t>
  </si>
  <si>
    <t>Team 1</t>
  </si>
  <si>
    <t>(Date of next Quarter/Annual Report)</t>
  </si>
  <si>
    <t xml:space="preserve">SIC: </t>
  </si>
  <si>
    <t>COMPANY DESCRIPTION</t>
  </si>
  <si>
    <t>CEO &amp; BOARD OF DIRECTORS</t>
  </si>
  <si>
    <t>Name, Age and Tenure</t>
  </si>
  <si>
    <t>Gender</t>
  </si>
  <si>
    <t>Executive?</t>
  </si>
  <si>
    <t>Other roles</t>
  </si>
  <si>
    <t>Bill Newlands (-,6)</t>
  </si>
  <si>
    <t>M</t>
  </si>
  <si>
    <t>President and CEO (yes)</t>
  </si>
  <si>
    <t xml:space="preserve"> Lead Director of Hormel Foods Corporation; </t>
  </si>
  <si>
    <t>Jim Bourdeau (-,7  )</t>
  </si>
  <si>
    <t>Chief  Legal Officer (yes)</t>
  </si>
  <si>
    <t>N/A</t>
  </si>
  <si>
    <t xml:space="preserve"> Christy Clark (58,5 )</t>
  </si>
  <si>
    <t>F</t>
  </si>
  <si>
    <t>No</t>
  </si>
  <si>
    <t>Senior Advisor at Bennett Jones LLP</t>
  </si>
  <si>
    <t>Jennifer Daniels (-,6)</t>
  </si>
  <si>
    <t>Chief Legal Officer and Secretary of Colgate-Palmolive Company</t>
  </si>
  <si>
    <t>Nicholas Fink (-, 4)</t>
  </si>
  <si>
    <t>Chief Executive Officer, Fortune Brands Innovations, Inc.</t>
  </si>
  <si>
    <t xml:space="preserve">William T. Giles </t>
  </si>
  <si>
    <t>Former Chief Financial Officer and Executive Vice President of AutoZone, Inc</t>
  </si>
  <si>
    <t>Richar Sands (74, )</t>
  </si>
  <si>
    <t>Non-Management Director</t>
  </si>
  <si>
    <t>Rob Sands ( 66, )</t>
  </si>
  <si>
    <t>Luca Zaramella (, 1)</t>
  </si>
  <si>
    <t>Executive Vice President, Chief Financial Officer of Mondelēz International</t>
  </si>
  <si>
    <t xml:space="preserve">Ernesto M. Hernández </t>
  </si>
  <si>
    <t xml:space="preserve">No </t>
  </si>
  <si>
    <t>Former President and Managing Director of General Motors de Mexico, S. de R.L. de C.V.</t>
  </si>
  <si>
    <t>Daniel J. McCarthy</t>
  </si>
  <si>
    <t>Former President and Chief Executive Officer of Frontier Communications Corporation</t>
  </si>
  <si>
    <t>COMPANY OVERVIEW</t>
  </si>
  <si>
    <t>Stock</t>
  </si>
  <si>
    <t>Liquidity and Solvency</t>
  </si>
  <si>
    <t>Segments</t>
  </si>
  <si>
    <t>Multiples</t>
  </si>
  <si>
    <t>Last Price</t>
  </si>
  <si>
    <t>Total Assets</t>
  </si>
  <si>
    <t>Regions</t>
  </si>
  <si>
    <t>% Sales</t>
  </si>
  <si>
    <t>Reporting Year</t>
  </si>
  <si>
    <t>Float</t>
  </si>
  <si>
    <t>Outstanding Shares</t>
  </si>
  <si>
    <t>Total Liabilities</t>
  </si>
  <si>
    <t>End of Year</t>
  </si>
  <si>
    <t>Insiders Own</t>
  </si>
  <si>
    <t>Market Cap.</t>
  </si>
  <si>
    <t>Cash/Share</t>
  </si>
  <si>
    <t>EBITDA</t>
  </si>
  <si>
    <t>b (Yahoo)</t>
  </si>
  <si>
    <t>+Total Debt</t>
  </si>
  <si>
    <t>EBITDA/Net Financial Cost (NFC)</t>
  </si>
  <si>
    <t>Depreciation &amp; Amortization</t>
  </si>
  <si>
    <t>Score (S&amp;P)</t>
  </si>
  <si>
    <t>BBB+</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</si>
  <si>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</si>
  <si>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</si>
  <si>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</si>
  <si>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</si>
  <si>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</si>
  <si>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</si>
  <si>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</si>
  <si>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</si>
  <si>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</si>
  <si>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</si>
  <si>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</si>
  <si>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</si>
  <si>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</si>
  <si>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</si>
  <si>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</si>
  <si>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</si>
  <si>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</si>
  <si>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</si>
  <si>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</si>
  <si>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</si>
  <si>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</si>
  <si>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</si>
  <si>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</si>
  <si>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</si>
  <si>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</si>
  <si>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</si>
  <si>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</si>
  <si>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</si>
  <si>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</si>
  <si>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</si>
  <si>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</si>
  <si>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</si>
  <si>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</si>
  <si>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</si>
  <si>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</si>
  <si>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</si>
  <si>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</si>
  <si>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</si>
  <si>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</si>
  <si>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</si>
  <si>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</si>
  <si>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Hold</t>
  </si>
  <si>
    <t>Check DCF</t>
  </si>
  <si>
    <t>Strong Brand Portfolio</t>
  </si>
  <si>
    <t>Constellation Brands Inc. possesses numerous renowned brands that are recognized globally that follows the trend of "premiumization" (focus on premium products).</t>
  </si>
  <si>
    <t>Adaptive strategic oversight from the board</t>
  </si>
  <si>
    <t>Constellation's board is effectively shifting focus from lower-profit segments like wine and spirits, prioritizing higher-growth, high-margin investments instead.</t>
  </si>
  <si>
    <t>Leader in the U.S. imported beer market</t>
  </si>
  <si>
    <t>Constellation is a leader in the U.S. imported beer market, with a strong presence in the high-end beer.</t>
  </si>
  <si>
    <t>Risks of Investment</t>
  </si>
  <si>
    <t>Price Target</t>
  </si>
  <si>
    <t>Valuation</t>
  </si>
  <si>
    <t>Risk</t>
  </si>
  <si>
    <t>Discount Rate</t>
  </si>
  <si>
    <t>Price M. Upside</t>
  </si>
  <si>
    <t>Competition</t>
  </si>
  <si>
    <t>The intense competition may impact its market position and profitability.</t>
  </si>
  <si>
    <t>Project cancellations</t>
  </si>
  <si>
    <t xml:space="preserve">Constellation Brands Inc. has a high incidence of project cancellations, like the Mexicali brewery, the project of craft beer </t>
  </si>
  <si>
    <t>Upside</t>
  </si>
  <si>
    <t>EV M. Upside</t>
  </si>
  <si>
    <t>Changing Consumer Preferences</t>
  </si>
  <si>
    <t>Shifts in consumer tastes toward healthier options or non-alcoholic beverages could affect sales in traditional alcohol categories.</t>
  </si>
  <si>
    <t>Regulatory Challenges</t>
  </si>
  <si>
    <t>Changes in laws or regulations can heavily impact operations and profitability.</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</si>
  <si>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</si>
  <si>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</si>
  <si>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</si>
  <si>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</si>
  <si>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</si>
  <si>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</si>
  <si>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</si>
  <si>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</si>
  <si>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</si>
  <si>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</si>
  <si>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</si>
  <si>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</si>
  <si>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</si>
  <si>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</si>
  <si>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</si>
  <si>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</si>
  <si>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</si>
  <si>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</si>
  <si>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</si>
  <si>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</si>
  <si>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</si>
  <si>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</si>
  <si>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</si>
  <si>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</si>
  <si>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</si>
  <si>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</si>
  <si>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</si>
  <si>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</si>
  <si>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Name</t>
  </si>
  <si>
    <t>% Stake</t>
  </si>
  <si>
    <t> </t>
  </si>
  <si>
    <t>Vanguard Group Inc</t>
  </si>
  <si>
    <t>Diversified Business Model</t>
  </si>
  <si>
    <t>High levels of dead stock</t>
  </si>
  <si>
    <t>Capital International Investors</t>
  </si>
  <si>
    <t>Blackrock Inc.</t>
  </si>
  <si>
    <t>Capital World Investors</t>
  </si>
  <si>
    <t>Leadership position in the U.S. beer market</t>
  </si>
  <si>
    <t>High Debt levels</t>
  </si>
  <si>
    <t>Morgan Stanley</t>
  </si>
  <si>
    <t>State Street Corporation</t>
  </si>
  <si>
    <t>JP Morgan Chase &amp; Company</t>
  </si>
  <si>
    <t>A solid approach to distributing and selling products through online channels.</t>
  </si>
  <si>
    <t xml:space="preserve"> Dependence on limited facilities for production of their Mexican beer brands </t>
  </si>
  <si>
    <t>Geode Capital Management, LLC</t>
  </si>
  <si>
    <t>Aristotle Capital Management, LLC</t>
  </si>
  <si>
    <t>Alliancebernstein L.P.</t>
  </si>
  <si>
    <t>Opportunities</t>
  </si>
  <si>
    <t>Risks</t>
  </si>
  <si>
    <t>Washington Mutual Investors Fund</t>
  </si>
  <si>
    <t>American Balanced Fund</t>
  </si>
  <si>
    <t> Expansion into emerging markets with rising demand for alcoholic beverages.</t>
  </si>
  <si>
    <t xml:space="preserve">Highly competitive industry </t>
  </si>
  <si>
    <t>Vanguard Total Stock Market Index Fund</t>
  </si>
  <si>
    <t>Vanguard 500 Index Fund</t>
  </si>
  <si>
    <t xml:space="preserve"> </t>
  </si>
  <si>
    <t>American Mutual Fund Inc</t>
  </si>
  <si>
    <t>Development of new product lines</t>
  </si>
  <si>
    <t>Significant reliance on agricultural goods</t>
  </si>
  <si>
    <t>Fidelity 500 Index Fund</t>
  </si>
  <si>
    <t>SPDR S&amp;P 500 ETF Trust</t>
  </si>
  <si>
    <t>Expanding digital sales platforms to capitalize on shifting consumer purchasing behaviors.</t>
  </si>
  <si>
    <t>Reliance on complex information systems and third‐party global networks</t>
  </si>
  <si>
    <t>iShares Core S&amp;P 500 ETF</t>
  </si>
  <si>
    <t>Investment Company Of America</t>
  </si>
  <si>
    <t>TOTAL</t>
  </si>
  <si>
    <t>NOTES</t>
  </si>
  <si>
    <t>STOCK PERFORMANCE (5 years)</t>
  </si>
  <si>
    <t>Products</t>
  </si>
  <si>
    <t>Nominal value</t>
  </si>
  <si>
    <t>YoY Growth</t>
  </si>
  <si>
    <t>Weight</t>
  </si>
  <si>
    <t>Region</t>
  </si>
  <si>
    <t>U.S.</t>
  </si>
  <si>
    <t>Non-U.S.</t>
  </si>
  <si>
    <t>Category</t>
  </si>
  <si>
    <t>Beer</t>
  </si>
  <si>
    <t>Wine</t>
  </si>
  <si>
    <t>Spirits</t>
  </si>
  <si>
    <r>
      <rPr>
        <sz val="16"/>
        <color rgb="FFFFFFFF"/>
        <rFont val="Arial"/>
        <family val="2"/>
      </rPr>
      <t xml:space="preserve">Categories' </t>
    </r>
    <r>
      <rPr>
        <u/>
        <sz val="16"/>
        <color rgb="FFFFFFFF"/>
        <rFont val="Arial"/>
        <family val="2"/>
      </rPr>
      <t>operating margin</t>
    </r>
  </si>
  <si>
    <t>Wine and Spirits</t>
  </si>
  <si>
    <t>Number of units shipped (in million)</t>
  </si>
  <si>
    <t>Description</t>
  </si>
  <si>
    <t>Graphs</t>
  </si>
  <si>
    <t xml:space="preserve">This segment positions Constellation as a leader in the U.S. imported beer market, with a strong presence in the high-end beer segment, featuring well-known names like Corona, Modelo, and Pacifico. </t>
  </si>
  <si>
    <t>This segment features a diverse portfolio, focusing on premium and luxury wines such as Robert Mondavi and The Prisoner Wine Company, as well as popular spirits like High West Whiskey and SVEDKA Vodka. It emphasizes premiumization to cater to evolving consumer preferences.</t>
  </si>
  <si>
    <t>Main costumers</t>
  </si>
  <si>
    <t>Company</t>
  </si>
  <si>
    <t>% of Constellation Revenue</t>
  </si>
  <si>
    <t>Short description</t>
  </si>
  <si>
    <t>Reyes Holdings LLC</t>
  </si>
  <si>
    <t xml:space="preserve">Reyes Holdings, L.L.C. operates as a holding company. Through its subsidiaries, provides food and beverage products to restaurants, sporting venues, schools, nursing homes, hospitals, and hotels. Reyes Holdings serves customers globally. </t>
  </si>
  <si>
    <t>Southern Glazer's Wine and Spirits LLC</t>
  </si>
  <si>
    <t xml:space="preserve">Southern Glazer's Wine and Spirits, LLC produces and supplies alcoholic beverages. The Company offers wines and spirits. Southern Glazer's Wine and Spirits serves customers in the United States. </t>
  </si>
  <si>
    <t>Industry</t>
  </si>
  <si>
    <t>Graphs (Industry Forecasts)</t>
  </si>
  <si>
    <t>Drivers</t>
  </si>
  <si>
    <t>Premiumization and Sustainability</t>
  </si>
  <si>
    <t>Constellation Brands will continue leveraging the premiumization trend by focusing on high-margin beverages. Simultaneously, investment in sustainability initiatives will appeal to the growing number of environmentally conscious consumers, boosting brand value and loyalty.</t>
  </si>
  <si>
    <t>Digital Innovation and E-Commerce</t>
  </si>
  <si>
    <t>Improved digital strategies, such as direct-to-consumer sales and collaborations with online delivery platforms, will drive future revenue growth. As the shift toward online alcohol purchases accelerates, expanding e-commerce capabilities will be key to reaching new customer segments and boosting sales.</t>
  </si>
  <si>
    <t>Expansion into New Markets and Cannabis Beverages</t>
  </si>
  <si>
    <t>The company is set to explore international markets beyond North America, targeting regions with rising demand for imported and premium alcoholic beverages. Additionally, as cannabis legalization expands, Constellation’s partnership with Canopy Growth positions it to capitalize on emerging opportunities in cannabis-infused beverages, offering a new revenue stream and gain an early market share into a new market.</t>
  </si>
  <si>
    <t>Margin improvement</t>
  </si>
  <si>
    <t>Constellation Brands may improve margins by focusing on premium products, divesting underperforming assets, and driving innovation in high-growth categories like RTDs and hard seltzers. Additionally, operational efficiency improvements and cost management strategies further optimize profitability.</t>
  </si>
  <si>
    <t>Sales forecast</t>
  </si>
  <si>
    <t>Source</t>
  </si>
  <si>
    <t>Market Growth CAGR</t>
  </si>
  <si>
    <t>Period</t>
  </si>
  <si>
    <t>Grande view research</t>
  </si>
  <si>
    <t>2025-2030</t>
  </si>
  <si>
    <t>Markets &amp; Data</t>
  </si>
  <si>
    <t>2023-2030</t>
  </si>
  <si>
    <t>Straits research</t>
  </si>
  <si>
    <t>2024-2032</t>
  </si>
  <si>
    <t>Average</t>
  </si>
  <si>
    <t>Company's Strategy / Extra Notes</t>
  </si>
  <si>
    <r>
      <t xml:space="preserve">Constellation Brands is </t>
    </r>
    <r>
      <rPr>
        <b/>
        <sz val="14"/>
        <rFont val="Arial"/>
        <family val="2"/>
      </rPr>
      <t>shifting</t>
    </r>
    <r>
      <rPr>
        <sz val="14"/>
        <rFont val="Arial"/>
        <family val="2"/>
      </rPr>
      <t xml:space="preserve"> its </t>
    </r>
    <r>
      <rPr>
        <b/>
        <sz val="14"/>
        <rFont val="Arial"/>
        <family val="2"/>
      </rPr>
      <t>strategy</t>
    </r>
    <r>
      <rPr>
        <sz val="14"/>
        <rFont val="Arial"/>
        <family val="2"/>
      </rPr>
      <t xml:space="preserve"> from acquisitions to expanding beer production capacity. This change aims to meet rising demand and </t>
    </r>
    <r>
      <rPr>
        <b/>
        <sz val="14"/>
        <rFont val="Arial"/>
        <family val="2"/>
      </rPr>
      <t>support long-term growth through organic expansion</t>
    </r>
    <r>
      <rPr>
        <sz val="14"/>
        <rFont val="Arial"/>
        <family val="2"/>
      </rPr>
      <t>. Unlike the acquisition-heavy 2015-2019 period, current investments prioritize scaling infrastructure, enhancing supply chain efficiency, and capturing a larger market share in the premium beer segment. The company is divesting its lower-end wine and spirits brands, like Black Box and Clos du Bois, to focus on premium offerings and streamline its portfolio.</t>
    </r>
  </si>
  <si>
    <r>
      <t xml:space="preserve">The company is </t>
    </r>
    <r>
      <rPr>
        <u/>
        <sz val="14"/>
        <rFont val="Arial"/>
        <family val="2"/>
      </rPr>
      <t>committed</t>
    </r>
    <r>
      <rPr>
        <sz val="14"/>
        <rFont val="Arial"/>
        <family val="2"/>
      </rPr>
      <t xml:space="preserve"> on growing sales, expanding margins, and increasing cash flow in order to continue to achieve comparable earnings per share growth as well as their target net leverage ratio on a comparable basis and dividend payout ratio; investing to support the growth of the business; delivering additional returns to stockholders through periodic share repurchases. </t>
    </r>
  </si>
  <si>
    <r>
      <t xml:space="preserve">The </t>
    </r>
    <r>
      <rPr>
        <u/>
        <sz val="14"/>
        <rFont val="Arial"/>
        <family val="2"/>
      </rPr>
      <t>results</t>
    </r>
    <r>
      <rPr>
        <sz val="14"/>
        <rFont val="Arial"/>
        <family val="2"/>
      </rPr>
      <t xml:space="preserve"> of operations and financial condition h</t>
    </r>
    <r>
      <rPr>
        <u/>
        <sz val="14"/>
        <rFont val="Arial"/>
        <family val="2"/>
      </rPr>
      <t>ave been affected</t>
    </r>
    <r>
      <rPr>
        <sz val="14"/>
        <rFont val="Arial"/>
        <family val="2"/>
      </rPr>
      <t xml:space="preserve"> by macroeconomic headwinds, including rising unemployment, inflation, changing prices, other unfavorable global and regional economic conditions, global supply chain disruptions and constraints, and geopolitical events, as well as reductions in the discretionary income of consumers available to purchase the products and shifting consumer behaviors. </t>
    </r>
  </si>
  <si>
    <r>
      <t xml:space="preserve">Additionally, </t>
    </r>
    <r>
      <rPr>
        <u/>
        <sz val="14"/>
        <rFont val="Arial"/>
        <family val="2"/>
      </rPr>
      <t>ongoing</t>
    </r>
    <r>
      <rPr>
        <sz val="14"/>
        <rFont val="Arial"/>
        <family val="2"/>
      </rPr>
      <t xml:space="preserve"> macroeconomic </t>
    </r>
    <r>
      <rPr>
        <u/>
        <sz val="14"/>
        <rFont val="Arial"/>
        <family val="2"/>
      </rPr>
      <t>headwinds</t>
    </r>
    <r>
      <rPr>
        <sz val="14"/>
        <rFont val="Arial"/>
        <family val="2"/>
      </rPr>
      <t>, particularly rising unemployment, have led to a recent deceleration in the rate of growth of consumer demand for the company' products. We expect some or all of these impacts to continue during the remainder of Fiscal 2025 which could have a material impact on the results of operations. The company intends to continue to monitor the economic environment, the shifting behavior of consumers, and their impacts on the business.</t>
    </r>
  </si>
  <si>
    <t xml:space="preserve">The company is continuing the commodity and foreign exchange hedging programs while also seeking to identify additional cost savings and efficiency initiatives. </t>
  </si>
  <si>
    <r>
      <t xml:space="preserve">The company’s </t>
    </r>
    <r>
      <rPr>
        <u/>
        <sz val="14"/>
        <rFont val="Arial"/>
        <family val="2"/>
      </rPr>
      <t>stock-based compensation plan</t>
    </r>
    <r>
      <rPr>
        <sz val="14"/>
        <rFont val="Arial"/>
        <family val="2"/>
      </rPr>
      <t xml:space="preserve"> focuses on shorter vesting periods (typically 1-3 years) for nonqualified stock options, RSUs, and PSUs, with a continued emphasis on aligning awards with financial and operational performance metrics to incentivize long-term value creation.</t>
    </r>
  </si>
  <si>
    <t>Invertir</t>
  </si>
  <si>
    <t>NO invertir</t>
  </si>
  <si>
    <t>Mantener sin elevar posición</t>
  </si>
  <si>
    <t>Mantener (y seguir comprando)</t>
  </si>
  <si>
    <t>Liquidar</t>
  </si>
  <si>
    <t>PENDIENTE</t>
  </si>
  <si>
    <t>Peer Logo</t>
  </si>
  <si>
    <t>Peer Name</t>
  </si>
  <si>
    <r>
      <t xml:space="preserve">Established in 2005 throught the merger of Molson, a </t>
    </r>
    <r>
      <rPr>
        <b/>
        <sz val="11"/>
        <color rgb="FF374151"/>
        <rFont val="Arial"/>
        <family val="2"/>
      </rPr>
      <t>canadian brewerie</t>
    </r>
    <r>
      <rPr>
        <sz val="11"/>
        <color rgb="FF374151"/>
        <rFont val="Arial"/>
        <family val="2"/>
      </rPr>
      <t xml:space="preserve">, and Coors, na </t>
    </r>
    <r>
      <rPr>
        <b/>
        <sz val="11"/>
        <color rgb="FF374151"/>
        <rFont val="Arial"/>
        <family val="2"/>
      </rPr>
      <t>american beer producer</t>
    </r>
    <r>
      <rPr>
        <sz val="11"/>
        <color rgb="FF374151"/>
        <rFont val="Arial"/>
        <family val="2"/>
      </rPr>
      <t xml:space="preserve">,  Molson Coors Beverage Company is a leading multinational beverage and brewing company, that </t>
    </r>
    <r>
      <rPr>
        <b/>
        <sz val="11"/>
        <color rgb="FF374151"/>
        <rFont val="Arial"/>
        <family val="2"/>
      </rPr>
      <t>primarily produces beer</t>
    </r>
    <r>
      <rPr>
        <sz val="11"/>
        <color rgb="FF374151"/>
        <rFont val="Arial"/>
        <family val="2"/>
      </rPr>
      <t xml:space="preserve">, along with various hard seltzers and ready-to-drink cocktails. It operates worldwide, with a </t>
    </r>
    <r>
      <rPr>
        <b/>
        <sz val="11"/>
        <color rgb="FF374151"/>
        <rFont val="Arial"/>
        <family val="2"/>
      </rPr>
      <t>strong presence in North America and Europe</t>
    </r>
    <r>
      <rPr>
        <sz val="11"/>
        <color rgb="FF374151"/>
        <rFont val="Arial"/>
        <family val="2"/>
      </rPr>
      <t>.</t>
    </r>
  </si>
  <si>
    <r>
      <t xml:space="preserve">Diageo plc is a </t>
    </r>
    <r>
      <rPr>
        <b/>
        <sz val="11"/>
        <color rgb="FF374151"/>
        <rFont val="Arial"/>
        <family val="2"/>
      </rPr>
      <t>British alcoholic</t>
    </r>
    <r>
      <rPr>
        <sz val="11"/>
        <color rgb="FF374151"/>
        <rFont val="Arial"/>
        <family val="2"/>
      </rPr>
      <t xml:space="preserve"> incorporated in 1886 and it specializes in the production, marketing and sales of </t>
    </r>
    <r>
      <rPr>
        <b/>
        <sz val="11"/>
        <color rgb="FF374151"/>
        <rFont val="Arial"/>
        <family val="2"/>
      </rPr>
      <t>various alcoholic beverages</t>
    </r>
    <r>
      <rPr>
        <sz val="11"/>
        <color rgb="FF374151"/>
        <rFont val="Arial"/>
        <family val="2"/>
      </rPr>
      <t xml:space="preserve">. It has a </t>
    </r>
    <r>
      <rPr>
        <b/>
        <sz val="11"/>
        <color rgb="FF374151"/>
        <rFont val="Arial"/>
        <family val="2"/>
      </rPr>
      <t>portfolios of iconic brands</t>
    </r>
    <r>
      <rPr>
        <sz val="11"/>
        <color rgb="FF374151"/>
        <rFont val="Arial"/>
        <family val="2"/>
      </rPr>
      <t xml:space="preserve"> ranging form</t>
    </r>
    <r>
      <rPr>
        <b/>
        <sz val="11"/>
        <color rgb="FF374151"/>
        <rFont val="Arial"/>
        <family val="2"/>
      </rPr>
      <t xml:space="preserve"> spirits to beers</t>
    </r>
    <r>
      <rPr>
        <sz val="11"/>
        <color rgb="FF374151"/>
        <rFont val="Arial"/>
        <family val="2"/>
      </rPr>
      <t>, and including gin, vodka, cider, liquer, wine, etc.</t>
    </r>
  </si>
  <si>
    <r>
      <t xml:space="preserve">Anheuser-Busch Inbev SA is a </t>
    </r>
    <r>
      <rPr>
        <b/>
        <sz val="11"/>
        <color rgb="FF374151"/>
        <rFont val="Arial"/>
        <family val="2"/>
      </rPr>
      <t>multinational beverage and brewing company</t>
    </r>
    <r>
      <rPr>
        <sz val="11"/>
        <color rgb="FF374151"/>
        <rFont val="Arial"/>
        <family val="2"/>
      </rPr>
      <t xml:space="preserve">, headquartered in </t>
    </r>
    <r>
      <rPr>
        <b/>
        <sz val="11"/>
        <color rgb="FF374151"/>
        <rFont val="Arial"/>
        <family val="2"/>
      </rPr>
      <t>Belgium</t>
    </r>
    <r>
      <rPr>
        <sz val="11"/>
        <color rgb="FF374151"/>
        <rFont val="Arial"/>
        <family val="2"/>
      </rPr>
      <t xml:space="preserve">, that produces, distributes, exports, markets, and sells beer and beverages. </t>
    </r>
  </si>
  <si>
    <r>
      <t xml:space="preserve">Pernod Ricard is a </t>
    </r>
    <r>
      <rPr>
        <b/>
        <sz val="11"/>
        <color rgb="FF374151"/>
        <rFont val="Arial"/>
        <family val="2"/>
      </rPr>
      <t>wine and spirits</t>
    </r>
    <r>
      <rPr>
        <sz val="11"/>
        <color rgb="FF374151"/>
        <rFont val="Arial"/>
        <family val="2"/>
      </rPr>
      <t xml:space="preserve"> producers and seller. The company operates worldwine and is know for its diverse portfolio that includes whiskey, vodka, gin, rum, liqueur and bitters, champagne, tequila and mezcal, and aperitif.</t>
    </r>
  </si>
  <si>
    <r>
      <t xml:space="preserve">Brown-Forman is a well-known </t>
    </r>
    <r>
      <rPr>
        <b/>
        <sz val="11"/>
        <color rgb="FF374151"/>
        <rFont val="Arial"/>
        <family val="2"/>
      </rPr>
      <t>multinacional beverage company</t>
    </r>
    <r>
      <rPr>
        <sz val="11"/>
        <color rgb="FF374151"/>
        <rFont val="Arial"/>
        <family val="2"/>
      </rPr>
      <t xml:space="preserve"> that manufactures, exports, markets, and sells</t>
    </r>
    <r>
      <rPr>
        <b/>
        <sz val="11"/>
        <color rgb="FF374151"/>
        <rFont val="Arial"/>
        <family val="2"/>
      </rPr>
      <t xml:space="preserve"> various alcoholic beverages</t>
    </r>
    <r>
      <rPr>
        <sz val="11"/>
        <color rgb="FF374151"/>
        <rFont val="Arial"/>
        <family val="2"/>
      </rPr>
      <t xml:space="preserve">. It provides </t>
    </r>
    <r>
      <rPr>
        <b/>
        <sz val="11"/>
        <color rgb="FF374151"/>
        <rFont val="Arial"/>
        <family val="2"/>
      </rPr>
      <t>wines, whiskey spirits</t>
    </r>
    <r>
      <rPr>
        <sz val="11"/>
        <color rgb="FF374151"/>
        <rFont val="Arial"/>
        <family val="2"/>
      </rPr>
      <t>, whiskey-based flavored liqueurs, ready-to-drink cocktails, ready-to-pour products, vodkas, tequilas, gin, brandy, rum, bourbons, and liqueurs.</t>
    </r>
  </si>
  <si>
    <t>In Millions USD</t>
  </si>
  <si>
    <t>AVERAGE</t>
  </si>
  <si>
    <t>Deviation from Average</t>
  </si>
  <si>
    <t>Company Info</t>
  </si>
  <si>
    <t>TRAFFIC</t>
  </si>
  <si>
    <t>Market Cap</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</si>
  <si>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</si>
  <si>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</si>
  <si>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</si>
  <si>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</si>
  <si>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</si>
  <si>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</si>
  <si>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</si>
  <si>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</si>
  <si>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</si>
  <si>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</si>
  <si>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</si>
  <si>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</si>
  <si>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</si>
  <si>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</si>
  <si>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</si>
  <si>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</si>
  <si>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</si>
  <si>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</si>
  <si>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</si>
  <si>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</si>
  <si>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</si>
  <si>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</si>
  <si>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</si>
  <si>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</si>
  <si>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</si>
  <si>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</si>
  <si>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</si>
  <si>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</si>
  <si>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</si>
  <si>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</si>
  <si>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</si>
  <si>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</si>
  <si>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</si>
  <si>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</si>
  <si>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Average Target Price</t>
  </si>
  <si>
    <t>Upside/Downside</t>
  </si>
  <si>
    <t>Extra</t>
  </si>
  <si>
    <t>3y Operating Cash Flow</t>
  </si>
  <si>
    <t>R&amp;D/Net Sales</t>
  </si>
  <si>
    <t>Financial Data</t>
  </si>
  <si>
    <t>IS</t>
  </si>
  <si>
    <t>Net Sales (36m ago)</t>
  </si>
  <si>
    <t>Net Sales (12m ago)</t>
  </si>
  <si>
    <t>COGS</t>
  </si>
  <si>
    <t>Operating Income</t>
  </si>
  <si>
    <t>Net Financial Cost</t>
  </si>
  <si>
    <t>Taxes</t>
  </si>
  <si>
    <t>R&amp;D</t>
  </si>
  <si>
    <t>BS</t>
  </si>
  <si>
    <t>Cash &amp; Eq.</t>
  </si>
  <si>
    <t>Acc. Receivables</t>
  </si>
  <si>
    <t>Inventory</t>
  </si>
  <si>
    <t>Current Assets</t>
  </si>
  <si>
    <t>Fixed Assets</t>
  </si>
  <si>
    <t>Acc. Payable</t>
  </si>
  <si>
    <t>Current Liabilities</t>
  </si>
  <si>
    <t>Total Debt</t>
  </si>
  <si>
    <t>Total Equity</t>
  </si>
  <si>
    <t>Company GICS Sector:</t>
  </si>
  <si>
    <t>Yes</t>
  </si>
  <si>
    <t>Consumer Staples</t>
  </si>
  <si>
    <t>&lt;- Select Industry</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</si>
  <si>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</si>
  <si>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</si>
  <si>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</si>
  <si>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</si>
  <si>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</si>
  <si>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</si>
  <si>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</si>
  <si>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</si>
  <si>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</si>
  <si>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</si>
  <si>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</si>
  <si>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</si>
  <si>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</si>
  <si>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</si>
  <si>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Medium High</t>
  </si>
  <si>
    <t>Co2 emissions have increased in the last five years, but slower every year</t>
  </si>
  <si>
    <t>reducing scope 1 and 2 emissions by 15% by 2025</t>
  </si>
  <si>
    <t>no info about 2024</t>
  </si>
  <si>
    <t>CO2 Emissions/$M Sales</t>
  </si>
  <si>
    <t>Total Water Consumption</t>
  </si>
  <si>
    <t>inconsistent</t>
  </si>
  <si>
    <t>nothing especific</t>
  </si>
  <si>
    <t xml:space="preserve">vague goals and strategies </t>
  </si>
  <si>
    <t>Water Consumption/$M Sales</t>
  </si>
  <si>
    <t>Total Energy Consumption</t>
  </si>
  <si>
    <t>"Villain"</t>
  </si>
  <si>
    <t>no</t>
  </si>
  <si>
    <t>6/10 years unreported, including 2023. Increase in consumption in the years reported, implementation of renewable energy sources.</t>
  </si>
  <si>
    <t>Energy Consumption/$M Sales</t>
  </si>
  <si>
    <t>Waste Management</t>
  </si>
  <si>
    <t>Medium</t>
  </si>
  <si>
    <t>reducing packaging, increase percentage of recicled materials used in packaging to 80%</t>
  </si>
  <si>
    <t>only reported up to 2016</t>
  </si>
  <si>
    <t>Waste Production/$M Sales</t>
  </si>
  <si>
    <t>Land Degradation/Deforestation/Biodiversity loss/Animal sufering/…</t>
  </si>
  <si>
    <t>environmental partnerships, donations and restoration iniciatives</t>
  </si>
  <si>
    <t>Inputs</t>
  </si>
  <si>
    <t>Social</t>
  </si>
  <si>
    <t>Net Sales ($M)</t>
  </si>
  <si>
    <t>Employee Turnover %</t>
  </si>
  <si>
    <t>CO2 Emissions Total (Tonnes)</t>
  </si>
  <si>
    <t>Salaries &amp; Compensation</t>
  </si>
  <si>
    <t>Water Consumption Total (Cubic Meters)</t>
  </si>
  <si>
    <t>Reputation</t>
  </si>
  <si>
    <t>nothing relevant found</t>
  </si>
  <si>
    <t>Energy Consumption Total (Gigajoules)</t>
  </si>
  <si>
    <t>Discrimination Events</t>
  </si>
  <si>
    <t>Waste Production Total (Tonnes)</t>
  </si>
  <si>
    <t>Work Safety</t>
  </si>
  <si>
    <t>"Best in class"</t>
  </si>
  <si>
    <t>no incidents found</t>
  </si>
  <si>
    <t>ESG Scores</t>
  </si>
  <si>
    <t>Damage to consumer health</t>
  </si>
  <si>
    <t>promotion of responsible alcohol consumption, member of Responsability.org</t>
  </si>
  <si>
    <t>Refinitiv</t>
  </si>
  <si>
    <t>PXP?</t>
  </si>
  <si>
    <t>Sustainalytics</t>
  </si>
  <si>
    <t>Supply chain</t>
  </si>
  <si>
    <t>suppliers are not disclosed, but a code of conduct has been published</t>
  </si>
  <si>
    <t>ISS</t>
  </si>
  <si>
    <t>C+</t>
  </si>
  <si>
    <t>C</t>
  </si>
  <si>
    <t>Community involvement</t>
  </si>
  <si>
    <t>CDP</t>
  </si>
  <si>
    <t>A-,A-</t>
  </si>
  <si>
    <t>A,A</t>
  </si>
  <si>
    <t>Public Sector</t>
  </si>
  <si>
    <t>Litigation</t>
  </si>
  <si>
    <t>Corporate Governance</t>
  </si>
  <si>
    <t>PARAMETERS</t>
  </si>
  <si>
    <t>Diversity (Gender, Age, Industry, Region)</t>
  </si>
  <si>
    <t>barelly any diversity in age, gender and ethnicity, however quite diverse regarding backrounds</t>
  </si>
  <si>
    <t>IMPACT</t>
  </si>
  <si>
    <t>RANKING</t>
  </si>
  <si>
    <t>MITIGATION PLAN</t>
  </si>
  <si>
    <t>% Independence</t>
  </si>
  <si>
    <t>10 out of 13 independent board members, seven of which have been added in the last 5 years</t>
  </si>
  <si>
    <t>Low</t>
  </si>
  <si>
    <t>Is there evidence of a plan/program ?</t>
  </si>
  <si>
    <t>average time as independent directors</t>
  </si>
  <si>
    <t>average 5.3 years.</t>
  </si>
  <si>
    <t>Recent departures of directors / C-level executives?</t>
  </si>
  <si>
    <t>to increase nr of independent directors</t>
  </si>
  <si>
    <t>executive vice-president and president of the company’s wine and spirits division has stepped down in february</t>
  </si>
  <si>
    <t>High</t>
  </si>
  <si>
    <t>CEO/Chairman duality</t>
  </si>
  <si>
    <t>CEO and chairman are independent</t>
  </si>
  <si>
    <t>Very high</t>
  </si>
  <si>
    <t>Transparency (ESG, segments, acquisitions, other)</t>
  </si>
  <si>
    <t xml:space="preserve">the data found for this company regarding environment, and social measures is mainly taken from 2023 documents, since 2024 sustainability report has not yet been published. </t>
  </si>
  <si>
    <t>Time taken to report after the end of the quarter / year</t>
  </si>
  <si>
    <t>3 months</t>
  </si>
  <si>
    <t>Additional participation of the CEO in other boards or excessive participation of Ch.</t>
  </si>
  <si>
    <t>Audit / Consulting</t>
  </si>
  <si>
    <t>no, on the contrary</t>
  </si>
  <si>
    <t>"other fees" where reported in the proxy statement in the value of $13,000</t>
  </si>
  <si>
    <t>ESG-compensation related</t>
  </si>
  <si>
    <t>Management compensation schemes</t>
  </si>
  <si>
    <t>VALUATION MODEL</t>
  </si>
  <si>
    <t>Short Term</t>
  </si>
  <si>
    <t>Long Term</t>
  </si>
  <si>
    <t>Section</t>
  </si>
  <si>
    <t>Line #</t>
  </si>
  <si>
    <t>ITEM</t>
  </si>
  <si>
    <t>2022 (Real)</t>
  </si>
  <si>
    <t>2023 (Real)</t>
  </si>
  <si>
    <t>2024 (Real)</t>
  </si>
  <si>
    <t>INCOME STATEMENT</t>
  </si>
  <si>
    <t>Growth</t>
  </si>
  <si>
    <t>Revenues/Sales</t>
  </si>
  <si>
    <t>EBIT/Operating Margin</t>
  </si>
  <si>
    <t>5a</t>
  </si>
  <si>
    <t>(Dep)</t>
  </si>
  <si>
    <t>5b</t>
  </si>
  <si>
    <t>(Amort)</t>
  </si>
  <si>
    <t>5c</t>
  </si>
  <si>
    <t>(Stock based compensation)</t>
  </si>
  <si>
    <t>(Net financing cost)</t>
  </si>
  <si>
    <t>Other income/(cost)</t>
  </si>
  <si>
    <t>Earnings before taxes</t>
  </si>
  <si>
    <t>(Income tax)</t>
  </si>
  <si>
    <t>Net income</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</si>
  <si>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</si>
  <si>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</si>
  <si>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</si>
  <si>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</si>
  <si>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</si>
  <si>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</si>
  <si>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</si>
  <si>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</si>
  <si>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</si>
  <si>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</si>
  <si>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</si>
  <si>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</si>
  <si>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</si>
  <si>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</si>
  <si>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</si>
  <si>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</si>
  <si>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</si>
  <si>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</si>
  <si>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</si>
  <si>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</si>
  <si>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</si>
  <si>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</si>
  <si>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</si>
  <si>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</si>
  <si>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</si>
  <si>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</si>
  <si>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</si>
  <si>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</si>
  <si>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</si>
  <si>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</si>
  <si>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</si>
  <si>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</si>
  <si>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</si>
  <si>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</si>
  <si>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</si>
  <si>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</si>
  <si>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</si>
  <si>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</si>
  <si>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</si>
  <si>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Amortization factor</t>
  </si>
  <si>
    <t>Stock-based comp</t>
  </si>
  <si>
    <t>Tax Rate</t>
  </si>
  <si>
    <t>Interest Rate on debt</t>
  </si>
  <si>
    <t>Interest Rate on cash</t>
  </si>
  <si>
    <t>PPE+ROA</t>
  </si>
  <si>
    <t>Working capital flows</t>
  </si>
  <si>
    <t>Intangible Assets</t>
  </si>
  <si>
    <t>Capex</t>
  </si>
  <si>
    <t>Acquisition factor</t>
  </si>
  <si>
    <t>Repurchases</t>
  </si>
  <si>
    <t>Leases</t>
  </si>
  <si>
    <t>Check assumptions</t>
  </si>
  <si>
    <t>$ millions</t>
  </si>
  <si>
    <t>Value of flows</t>
  </si>
  <si>
    <t>Value of perpetuity</t>
  </si>
  <si>
    <t>Total Value</t>
  </si>
  <si>
    <t>Actual share price</t>
  </si>
  <si>
    <t>Total value vs Mkt Cap</t>
  </si>
  <si>
    <t>Estimated NPV per share</t>
  </si>
  <si>
    <t>Sensibility</t>
  </si>
  <si>
    <t>Sensitivity +0.1%</t>
  </si>
  <si>
    <t>Sensitivity +0.5%</t>
  </si>
  <si>
    <t>Notes</t>
  </si>
  <si>
    <t>Price where it'd be a "BUY"</t>
  </si>
  <si>
    <t>Assumptions</t>
  </si>
  <si>
    <t>Prospects:</t>
  </si>
  <si>
    <t>Links:</t>
  </si>
  <si>
    <t>https://www.cbrands.com/blogs/news/constellation-brands-updates-fiscal-2025-outlook</t>
  </si>
  <si>
    <t xml:space="preserve">10Y Average </t>
  </si>
  <si>
    <t xml:space="preserve">5Y Average </t>
  </si>
  <si>
    <t xml:space="preserve">3Y Average </t>
  </si>
  <si>
    <t>Short Term Forecast</t>
  </si>
  <si>
    <t>Long Term Forecast</t>
  </si>
  <si>
    <t>Revenue growth</t>
  </si>
  <si>
    <t>Modelling Factors</t>
  </si>
  <si>
    <t>Last 10 Years</t>
  </si>
  <si>
    <t>Values in M.</t>
  </si>
  <si>
    <t>Reference</t>
  </si>
  <si>
    <t>Accumulated Depreciation</t>
  </si>
  <si>
    <t>% PPE</t>
  </si>
  <si>
    <r>
      <t>Accumulated Amortization</t>
    </r>
    <r>
      <rPr>
        <sz val="10"/>
        <rFont val="Arial"/>
        <family val="2"/>
      </rPr>
      <t xml:space="preserve"> </t>
    </r>
  </si>
  <si>
    <t>% IA</t>
  </si>
  <si>
    <r>
      <rPr>
        <b/>
        <sz val="10"/>
        <color rgb="FF000000"/>
        <rFont val="Arial"/>
        <family val="2"/>
      </rPr>
      <t xml:space="preserve">Intangible Assets </t>
    </r>
    <r>
      <rPr>
        <sz val="10"/>
        <color rgb="FF000000"/>
        <rFont val="Arial"/>
        <family val="2"/>
      </rPr>
      <t>(Gross)</t>
    </r>
  </si>
  <si>
    <t>% Revenue</t>
  </si>
  <si>
    <t>% EBT</t>
  </si>
  <si>
    <t>Stock Based Compensation</t>
  </si>
  <si>
    <t>% Debt</t>
  </si>
  <si>
    <t>Interest expenses</t>
  </si>
  <si>
    <t xml:space="preserve">% Cash </t>
  </si>
  <si>
    <t>Interest income</t>
  </si>
  <si>
    <t>- -</t>
  </si>
  <si>
    <t>Growing with CAPEX</t>
  </si>
  <si>
    <t xml:space="preserve">% Change in Revenues </t>
  </si>
  <si>
    <t>PPE (Gross)</t>
  </si>
  <si>
    <t>Growing with Amortization</t>
  </si>
  <si>
    <t>Right of use assets</t>
  </si>
  <si>
    <t xml:space="preserve">CAPEX </t>
  </si>
  <si>
    <t>Intangible assets (Net)</t>
  </si>
  <si>
    <t>Total Depreciation &amp; amortization expense</t>
  </si>
  <si>
    <t>% Net Income</t>
  </si>
  <si>
    <t>Depreciation expense</t>
  </si>
  <si>
    <t>Amortization expense</t>
  </si>
  <si>
    <t>Forecasts</t>
  </si>
  <si>
    <t>Short-term</t>
  </si>
  <si>
    <t>Long-term</t>
  </si>
  <si>
    <t>Base Scenario</t>
  </si>
  <si>
    <t>Time Period (Years)</t>
  </si>
  <si>
    <t>Forecasted Yearly Revenues</t>
  </si>
  <si>
    <t>Forecasted Revenues Growth</t>
  </si>
  <si>
    <t>Bullish Scenario</t>
  </si>
  <si>
    <t>Bearish Scenario</t>
  </si>
  <si>
    <t>Debt</t>
  </si>
  <si>
    <t>Bonds (Only in USA/Canada and in Million $)</t>
  </si>
  <si>
    <t>Loans (Only in USA and in Million $)</t>
  </si>
  <si>
    <t>Issuance date</t>
  </si>
  <si>
    <t>Maturity Date</t>
  </si>
  <si>
    <t>Amount Outstanding</t>
  </si>
  <si>
    <t>Issued Amount</t>
  </si>
  <si>
    <t>Interest Rate (%)</t>
  </si>
  <si>
    <t>Interest Expense</t>
  </si>
  <si>
    <t>Maturity by fiscal year</t>
  </si>
  <si>
    <t>Interest payments</t>
  </si>
  <si>
    <t>Loan type</t>
  </si>
  <si>
    <t>Issued date</t>
  </si>
  <si>
    <t>Amount (in M of $)</t>
  </si>
  <si>
    <t>Maturity date</t>
  </si>
  <si>
    <t>Nov 2014</t>
  </si>
  <si>
    <t>Nov 2024</t>
  </si>
  <si>
    <t>May/Nov</t>
  </si>
  <si>
    <t>Other Loan</t>
  </si>
  <si>
    <t>Dez 2020</t>
  </si>
  <si>
    <t>Dez 2030</t>
  </si>
  <si>
    <t>Dec 2015</t>
  </si>
  <si>
    <t>Dec 2025</t>
  </si>
  <si>
    <t>Jun/Dec</t>
  </si>
  <si>
    <t>Term Loan</t>
  </si>
  <si>
    <t>Mar 2021</t>
  </si>
  <si>
    <t>Mar 2026</t>
  </si>
  <si>
    <t>Dec 2016</t>
  </si>
  <si>
    <t>Dec 2026</t>
  </si>
  <si>
    <t>Revolver/Line &gt;= 1 Yr.</t>
  </si>
  <si>
    <t>Abr 2022</t>
  </si>
  <si>
    <t>Abr 2027</t>
  </si>
  <si>
    <t>May 2017</t>
  </si>
  <si>
    <t>May 2027</t>
  </si>
  <si>
    <t>Term Loan A</t>
  </si>
  <si>
    <t>May 2047</t>
  </si>
  <si>
    <t>Delay Draw Term Loan</t>
  </si>
  <si>
    <t>Ago 2022</t>
  </si>
  <si>
    <t>Dez 2025</t>
  </si>
  <si>
    <t>Feb 2018</t>
  </si>
  <si>
    <t>Feb 2028</t>
  </si>
  <si>
    <t>Feb/Aug</t>
  </si>
  <si>
    <t>Feb 2048</t>
  </si>
  <si>
    <t>Oct 2018</t>
  </si>
  <si>
    <t>Nov 2025</t>
  </si>
  <si>
    <t>Nov 2028</t>
  </si>
  <si>
    <t>Nov 2048</t>
  </si>
  <si>
    <t>Annual report guidance for bonds repayment</t>
  </si>
  <si>
    <t>Jul 2019</t>
  </si>
  <si>
    <t>Aug 2029</t>
  </si>
  <si>
    <t>Apr 2020</t>
  </si>
  <si>
    <t>May 2030</t>
  </si>
  <si>
    <t>Fiscal 2025</t>
  </si>
  <si>
    <t>May 2050</t>
  </si>
  <si>
    <t>Fiscal 2026</t>
  </si>
  <si>
    <t>Jul 2021</t>
  </si>
  <si>
    <t>Aug 2031</t>
  </si>
  <si>
    <t>Fiscal 2027</t>
  </si>
  <si>
    <t>May 2022</t>
  </si>
  <si>
    <t>May 2024</t>
  </si>
  <si>
    <t>Fiscal 2028</t>
  </si>
  <si>
    <t>Fiscal 2029</t>
  </si>
  <si>
    <t>May 2032</t>
  </si>
  <si>
    <t>Feb 2023</t>
  </si>
  <si>
    <t>Feb 2026</t>
  </si>
  <si>
    <t>May 2023</t>
  </si>
  <si>
    <t>May 2033</t>
  </si>
  <si>
    <t>Jan 2024</t>
  </si>
  <si>
    <t>Jan 2029</t>
  </si>
  <si>
    <t>Jan/Jul</t>
  </si>
  <si>
    <t>Maturity Year</t>
  </si>
  <si>
    <t>Bonds Repayment</t>
  </si>
  <si>
    <t>Loans Repayment</t>
  </si>
  <si>
    <t>Forecasted debt</t>
  </si>
  <si>
    <t>Bloomberg and other data</t>
  </si>
  <si>
    <r>
      <rPr>
        <b/>
        <sz val="10"/>
        <color rgb="FF000000"/>
        <rFont val="Arial"/>
        <family val="2"/>
      </rPr>
      <t>Average</t>
    </r>
    <r>
      <rPr>
        <sz val="10"/>
        <color rgb="FF000000"/>
        <rFont val="Arial"/>
        <family val="2"/>
      </rPr>
      <t xml:space="preserve"> excise taxes (% of sales)</t>
    </r>
  </si>
  <si>
    <r>
      <rPr>
        <b/>
        <sz val="10"/>
        <color rgb="FF000000"/>
        <rFont val="Arial"/>
        <family val="2"/>
      </rPr>
      <t>Average</t>
    </r>
    <r>
      <rPr>
        <sz val="10"/>
        <color rgb="FF000000"/>
        <rFont val="Arial"/>
        <family val="2"/>
      </rPr>
      <t xml:space="preserve"> gross revenues annual growth</t>
    </r>
  </si>
  <si>
    <t>10y</t>
  </si>
  <si>
    <t>5y</t>
  </si>
  <si>
    <t>9y</t>
  </si>
  <si>
    <t>bloomberg forecast</t>
  </si>
  <si>
    <t>Operating profit</t>
  </si>
  <si>
    <t>Revenues</t>
  </si>
  <si>
    <t>Operating margin</t>
  </si>
  <si>
    <t>rev growth in %</t>
  </si>
  <si>
    <t>Excise taxes 
(as % of total sales [not net])</t>
  </si>
  <si>
    <t>Excise taxes 
(M of $)</t>
  </si>
  <si>
    <t>Gross sales value</t>
  </si>
  <si>
    <t>bloomberg Dividends estimates</t>
  </si>
  <si>
    <t>bloomberg Multiples estimates</t>
  </si>
  <si>
    <t>SG&amp;A</t>
  </si>
  <si>
    <t>Net revenues</t>
  </si>
  <si>
    <t>Operating margin as % of net sales</t>
  </si>
  <si>
    <t>COGS as % of net sales</t>
  </si>
  <si>
    <t>COGS growth</t>
  </si>
  <si>
    <t>Revenues growth</t>
  </si>
  <si>
    <t>Correlation between growths (11y)</t>
  </si>
  <si>
    <t>SG&amp;A expenses</t>
  </si>
  <si>
    <t>SG&amp;A expenses as % of net sales</t>
  </si>
  <si>
    <t>Marketing expenses</t>
  </si>
  <si>
    <t>Marketing expenses as % of net sales</t>
  </si>
  <si>
    <t>Marketing expenses as % of SG&amp;A</t>
  </si>
  <si>
    <t>SG&amp;A expenses growth</t>
  </si>
  <si>
    <t>Correlation between growths (10y)</t>
  </si>
  <si>
    <t>Correlation between growths (6y)</t>
  </si>
  <si>
    <t>Correlation between growths (3y)</t>
  </si>
  <si>
    <t>SG&amp;A expenses growth 
(net of marketing expenses)</t>
  </si>
  <si>
    <t>Marketing expenses growth</t>
  </si>
  <si>
    <t>Correlation between Marketing expenses growth and net sales growth (10y)</t>
  </si>
  <si>
    <t>Correlation between Marketing expenses growth and net sales growth (6y)</t>
  </si>
  <si>
    <t>3y average</t>
  </si>
  <si>
    <t>5y average</t>
  </si>
  <si>
    <t>10y average</t>
  </si>
  <si>
    <t>Short term</t>
  </si>
  <si>
    <t>Long-Term</t>
  </si>
  <si>
    <t>SG&amp;A expenses growth (net of marketing expenses)</t>
  </si>
  <si>
    <t>SG&amp;A expenses (net of marketing expenses)</t>
  </si>
  <si>
    <t>Total SG&amp;A expenses</t>
  </si>
  <si>
    <t>Guidance</t>
  </si>
  <si>
    <r>
      <rPr>
        <b/>
        <sz val="10"/>
        <rFont val="Arial"/>
        <family val="2"/>
      </rPr>
      <t>Total Net Sales</t>
    </r>
    <r>
      <rPr>
        <sz val="10"/>
        <rFont val="Arial"/>
        <family val="2"/>
      </rPr>
      <t xml:space="preserve">: The overall net sales growth for the company has been revised downward to </t>
    </r>
    <r>
      <rPr>
        <u val="double"/>
        <sz val="10"/>
        <rFont val="Arial"/>
        <family val="2"/>
      </rPr>
      <t>4-6%</t>
    </r>
    <r>
      <rPr>
        <sz val="10"/>
        <rFont val="Arial"/>
        <family val="2"/>
      </rPr>
      <t xml:space="preserve">, compared to the previous estimate of 6-7%. This is primarily due to macroeconomic challenges like rising unemployment and inventory reductions, especially in their Wine and Spirits segment
==&gt; </t>
    </r>
    <r>
      <rPr>
        <u/>
        <sz val="10"/>
        <rFont val="Arial"/>
        <family val="2"/>
      </rPr>
      <t>Beer Segment</t>
    </r>
    <r>
      <rPr>
        <sz val="10"/>
        <rFont val="Arial"/>
        <family val="2"/>
      </rPr>
      <t>: Despite broader challenges, the Beer segment remains robust, expecting a</t>
    </r>
    <r>
      <rPr>
        <u val="double"/>
        <sz val="10"/>
        <rFont val="Arial"/>
        <family val="2"/>
      </rPr>
      <t xml:space="preserve"> 6-8%</t>
    </r>
    <r>
      <rPr>
        <sz val="10"/>
        <rFont val="Arial"/>
        <family val="2"/>
      </rPr>
      <t xml:space="preserve"> growth in net sales. The strong performance of brands like Modelo Especial, Corona Extra, and Pacifico contributed significantly to these projections
==&gt; </t>
    </r>
    <r>
      <rPr>
        <u/>
        <sz val="10"/>
        <rFont val="Arial"/>
        <family val="2"/>
      </rPr>
      <t>Wine and Spirits Segment</t>
    </r>
    <r>
      <rPr>
        <sz val="10"/>
        <rFont val="Arial"/>
        <family val="2"/>
      </rPr>
      <t>: Net sales are forecasted to decline by</t>
    </r>
    <r>
      <rPr>
        <u val="double"/>
        <sz val="10"/>
        <rFont val="Arial"/>
        <family val="2"/>
      </rPr>
      <t xml:space="preserve"> 4-6%</t>
    </r>
    <r>
      <rPr>
        <sz val="10"/>
        <rFont val="Arial"/>
        <family val="2"/>
      </rPr>
      <t xml:space="preserve">, driven by decreased demand in the U.S. market and ongoing category headwinds. The decline is particularly significant in mainstream and premium wine categories
</t>
    </r>
    <r>
      <rPr>
        <b/>
        <sz val="10"/>
        <rFont val="Arial"/>
        <family val="2"/>
      </rPr>
      <t>Operating Margin</t>
    </r>
    <r>
      <rPr>
        <sz val="10"/>
        <rFont val="Arial"/>
        <family val="2"/>
      </rPr>
      <t>: The company anticipates a comparable operating income growth of</t>
    </r>
    <r>
      <rPr>
        <u val="double"/>
        <sz val="10"/>
        <rFont val="Arial"/>
        <family val="2"/>
      </rPr>
      <t xml:space="preserve"> 8-9%</t>
    </r>
    <r>
      <rPr>
        <sz val="10"/>
        <rFont val="Arial"/>
        <family val="2"/>
      </rPr>
      <t xml:space="preserve">. However, reported operating income is expected to decline substantially by 62-63% in the Wine and Spirits Segment, primarily due to an expected impairment charge in the Wine and Spirits business, reflecting long-term challenges in this segment
==&gt; </t>
    </r>
    <r>
      <rPr>
        <u/>
        <sz val="10"/>
        <rFont val="Arial"/>
        <family val="2"/>
      </rPr>
      <t>Beer Segment Margin</t>
    </r>
    <r>
      <rPr>
        <sz val="10"/>
        <rFont val="Arial"/>
        <family val="2"/>
      </rPr>
      <t xml:space="preserve">: The Beer segment's operating income is projected to grow by </t>
    </r>
    <r>
      <rPr>
        <u val="double"/>
        <sz val="10"/>
        <rFont val="Arial"/>
        <family val="2"/>
      </rPr>
      <t>11-12%</t>
    </r>
    <r>
      <rPr>
        <sz val="10"/>
        <rFont val="Arial"/>
        <family val="2"/>
      </rPr>
      <t xml:space="preserve">, benefiting from cost-saving initiatives and favorable pricing strategies, even as marketing investments increase 
==&gt; </t>
    </r>
    <r>
      <rPr>
        <u/>
        <sz val="10"/>
        <rFont val="Arial"/>
        <family val="2"/>
      </rPr>
      <t>Wine and Spirits Margin</t>
    </r>
    <r>
      <rPr>
        <sz val="10"/>
        <rFont val="Arial"/>
        <family val="2"/>
      </rPr>
      <t xml:space="preserve">: The operating income for this segment is set to decline by </t>
    </r>
    <r>
      <rPr>
        <u val="double"/>
        <sz val="10"/>
        <rFont val="Arial"/>
        <family val="2"/>
      </rPr>
      <t>16-18%</t>
    </r>
    <r>
      <rPr>
        <sz val="10"/>
        <rFont val="Arial"/>
        <family val="2"/>
      </rPr>
      <t xml:space="preserve">, reflecting both lower volumes and unfavorable product mix shifts, alongside pricing pressures in the U.S. market. This is primarily due to an expected impairment charge in the Wine and Spirits business, reflecting long-term challenges in this)
</t>
    </r>
    <r>
      <rPr>
        <b/>
        <sz val="10"/>
        <rFont val="Arial"/>
        <family val="2"/>
      </rPr>
      <t xml:space="preserve">
Capital Expenditure</t>
    </r>
    <r>
      <rPr>
        <sz val="10"/>
        <rFont val="Arial"/>
        <family val="2"/>
      </rPr>
      <t xml:space="preserve"> (CapEx): Constellation Brands plans to invest significantly, with capital expenditures estimated at </t>
    </r>
    <r>
      <rPr>
        <u val="double"/>
        <sz val="10"/>
        <rFont val="Arial"/>
        <family val="2"/>
      </rPr>
      <t>$1.4 - $1.5 billion</t>
    </r>
    <r>
      <rPr>
        <sz val="10"/>
        <rFont val="Arial"/>
        <family val="2"/>
      </rPr>
      <t xml:space="preserve">. A large portion, around $1.2 billion, will focus on expanding beer production capacity in Mexico, particularly in existing facilities and a new brewery in Veracruz. This strategic investment aims to support long-term growth and meet increasing demand in the beer category-
</t>
    </r>
    <r>
      <rPr>
        <b/>
        <sz val="10"/>
        <rFont val="Arial"/>
        <family val="2"/>
      </rPr>
      <t>Operating Cash Flow</t>
    </r>
    <r>
      <rPr>
        <sz val="10"/>
        <rFont val="Arial"/>
        <family val="2"/>
      </rPr>
      <t xml:space="preserve"> is expected to be robust, ranging between</t>
    </r>
    <r>
      <rPr>
        <u val="double"/>
        <sz val="10"/>
        <rFont val="Arial"/>
        <family val="2"/>
      </rPr>
      <t xml:space="preserve"> $2.8 billion and $3.0 billion</t>
    </r>
    <r>
      <rPr>
        <sz val="10"/>
        <rFont val="Arial"/>
        <family val="2"/>
      </rPr>
      <t xml:space="preserve">, with </t>
    </r>
    <r>
      <rPr>
        <b/>
        <sz val="10"/>
        <rFont val="Arial"/>
        <family val="2"/>
      </rPr>
      <t>free cash flow</t>
    </r>
    <r>
      <rPr>
        <sz val="10"/>
        <rFont val="Arial"/>
        <family val="2"/>
      </rPr>
      <t xml:space="preserve"> projected at </t>
    </r>
    <r>
      <rPr>
        <u val="double"/>
        <sz val="10"/>
        <rFont val="Arial"/>
        <family val="2"/>
      </rPr>
      <t>$1.4 billion to $1.5 billion</t>
    </r>
    <r>
      <rPr>
        <sz val="10"/>
        <rFont val="Arial"/>
        <family val="2"/>
      </rPr>
      <t xml:space="preserve">. These strong cash flow figures are driven by disciplined capital allocation and operational efficiencies in the Beer segment
</t>
    </r>
    <r>
      <rPr>
        <b/>
        <sz val="10"/>
        <rFont val="Arial"/>
        <family val="2"/>
      </rPr>
      <t>Earnings Per Share</t>
    </r>
    <r>
      <rPr>
        <sz val="10"/>
        <rFont val="Arial"/>
        <family val="2"/>
      </rPr>
      <t xml:space="preserve"> (EPS): Reported EPS has been significantly adjusted to</t>
    </r>
    <r>
      <rPr>
        <u val="double"/>
        <sz val="10"/>
        <rFont val="Arial"/>
        <family val="2"/>
      </rPr>
      <t xml:space="preserve"> $4.05 - $4.25</t>
    </r>
    <r>
      <rPr>
        <sz val="10"/>
        <rFont val="Arial"/>
        <family val="2"/>
      </rPr>
      <t xml:space="preserve">, considering the anticipated impairment in Wine and Spirits. However, the comparable EPS guidance remains at $13.60 - $13.80, reflecting the underlying strength of the Beer business and ongoing efficiency measures
Overall, while the </t>
    </r>
    <r>
      <rPr>
        <b/>
        <u val="double"/>
        <sz val="10"/>
        <rFont val="Arial"/>
        <family val="2"/>
      </rPr>
      <t>Beer business remains a growth driver for Constellation Brands</t>
    </r>
    <r>
      <rPr>
        <sz val="10"/>
        <rFont val="Arial"/>
        <family val="2"/>
      </rPr>
      <t>, challenges in the Wine and Spirits market continue to weigh on the company’s financial performance. The updated fiscal outlook reflects these contrasting dynamics, emphasizing strategic investments in the Beer segment to sustain growth amid broader industry headwinds.</t>
    </r>
  </si>
  <si>
    <t>Results</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</si>
  <si>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</si>
  <si>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</si>
  <si>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</si>
  <si>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</si>
  <si>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</si>
  <si>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</si>
  <si>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</si>
  <si>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</si>
  <si>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</si>
  <si>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</si>
  <si>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</si>
  <si>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</si>
  <si>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</si>
  <si>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</si>
  <si>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</si>
  <si>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</si>
  <si>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</si>
  <si>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</si>
  <si>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</si>
  <si>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</si>
  <si>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</si>
  <si>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</si>
  <si>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</si>
  <si>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</si>
  <si>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</si>
  <si>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</si>
  <si>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</si>
  <si>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</si>
  <si>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</si>
  <si>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</si>
  <si>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</si>
  <si>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</si>
  <si>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</si>
  <si>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</si>
  <si>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</si>
  <si>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</si>
  <si>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</si>
  <si>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</si>
  <si>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</si>
  <si>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</si>
  <si>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</si>
  <si>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</si>
  <si>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Figures in Millions of USD</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</si>
  <si>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</si>
  <si>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</si>
  <si>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</si>
  <si>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</si>
  <si>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</si>
  <si>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</si>
  <si>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</si>
  <si>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</si>
  <si>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</si>
  <si>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</si>
  <si>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</si>
  <si>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</si>
  <si>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</si>
  <si>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</si>
  <si>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</si>
  <si>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</si>
  <si>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</si>
  <si>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</si>
  <si>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</si>
  <si>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</si>
  <si>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</si>
  <si>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</si>
  <si>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</si>
  <si>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</si>
  <si>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</si>
  <si>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</si>
  <si>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</si>
  <si>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</si>
  <si>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</si>
  <si>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</si>
  <si>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</si>
  <si>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</si>
  <si>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</si>
  <si>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</si>
  <si>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</si>
  <si>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</si>
  <si>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</si>
  <si>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</si>
  <si>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</si>
  <si>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</si>
  <si>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</si>
  <si>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</si>
  <si>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</si>
  <si>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</si>
  <si>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</si>
  <si>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</si>
  <si>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</si>
  <si>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</si>
  <si>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</si>
  <si>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</si>
  <si>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</si>
  <si>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</si>
  <si>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</si>
  <si>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</si>
  <si>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</si>
  <si>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</si>
  <si>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</si>
  <si>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</si>
  <si>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</si>
  <si>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</si>
  <si>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</si>
  <si>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</si>
  <si>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</si>
  <si>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</si>
  <si>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</si>
  <si>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</si>
  <si>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</si>
  <si>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</si>
  <si>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</si>
  <si>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</si>
  <si>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</si>
  <si>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</si>
  <si>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</si>
  <si>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</si>
  <si>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</si>
  <si>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</si>
  <si>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</si>
  <si>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</si>
  <si>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</si>
  <si>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Dividend Yield(Yahoo Finance)</t>
  </si>
  <si>
    <t>Yahoo Finance</t>
  </si>
  <si>
    <t>Excise taxes (as % of total sales)</t>
  </si>
  <si>
    <t>Excise taxes (M of $)</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</si>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</sst>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3" formatCode="_-* #,##0.00_-;\-* #,##0.00_-;_-* &quot;-&quot;??_-;_-@_-"/>
    <numFmt numFmtId="164" formatCode="_-&quot;$&quot;* #,##0.00_-;\-&quot;$&quot;* #,##0.00_-;_-&quot;$&quot;* &quot;-&quot;??_-;_-@_-"/>
    <numFmt numFmtId="165" formatCode="&quot;$&quot;#,##0.00"/>
    <numFmt numFmtId="166" formatCode="&quot;$&quot;#,##0"/>
    <numFmt numFmtId="167" formatCode="0.0%"/>
    <numFmt numFmtId="168" formatCode="0.0"/>
    <numFmt numFmtId="169" formatCode="#,##0.0"/>
    <numFmt numFmtId="170" formatCode="[$$-409]#,##0.00_ ;\-[$$-409]#,##0.00\ "/>
    <numFmt numFmtId="171" formatCode="[$$-409]#,##0.00"/>
    <numFmt numFmtId="172" formatCode="[$$-409]#,##0"/>
    <numFmt numFmtId="173" formatCode="_-[$$-409]* #,##0.00_ ;_-[$$-409]* \-#,##0.00\ ;_-[$$-409]* &quot;-&quot;??_ ;_-@_ "/>
    <numFmt numFmtId="174" formatCode="_([$$-409]* #,##0.00_);_([$$-409]* \(#,##0.00\);_([$$-409]* &quot;-&quot;??_);_(@_)"/>
    <numFmt numFmtId="175" formatCode="0.000%"/>
    <numFmt numFmtId="176" formatCode="[$$-C09]#,##0.00"/>
    <numFmt numFmtId="177" formatCode="#,##0_ ;\-#,##0\ "/>
    <numFmt numFmtId="178" formatCode="0.000"/>
  </numFmts>
  <fonts count="11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u/>
      <sz val="10"/>
      <color theme="4"/>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b/>
      <sz val="11"/>
      <color rgb="FF374151"/>
      <name val="Arial"/>
      <family val="2"/>
    </font>
    <font>
      <sz val="11"/>
      <color rgb="FFFF0000"/>
      <name val="Calibri"/>
      <family val="2"/>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sz val="9"/>
      <color indexed="81"/>
      <name val="Tahoma"/>
      <family val="2"/>
    </font>
    <font>
      <b/>
      <sz val="9"/>
      <color indexed="81"/>
      <name val="Tahoma"/>
      <family val="2"/>
    </font>
    <font>
      <sz val="10"/>
      <name val="Arial"/>
      <family val="2"/>
    </font>
    <font>
      <sz val="9"/>
      <name val="宋体"/>
      <family val="3"/>
      <charset val="134"/>
    </font>
    <font>
      <sz val="11"/>
      <color rgb="FF232A31"/>
      <name val="GT America"/>
      <charset val="1"/>
    </font>
    <font>
      <b/>
      <sz val="20"/>
      <color rgb="FF000000"/>
      <name val="Arial"/>
      <family val="2"/>
    </font>
    <font>
      <sz val="9"/>
      <color rgb="FF000000"/>
      <name val="Arial"/>
      <family val="2"/>
    </font>
    <font>
      <u/>
      <sz val="9"/>
      <color indexed="81"/>
      <name val="Tahoma"/>
      <family val="2"/>
    </font>
    <font>
      <b/>
      <u/>
      <sz val="9"/>
      <color indexed="81"/>
      <name val="Tahoma"/>
      <family val="2"/>
    </font>
    <font>
      <sz val="16"/>
      <color rgb="FFFFFFFF"/>
      <name val="Arial"/>
      <family val="2"/>
    </font>
    <font>
      <u/>
      <sz val="16"/>
      <color rgb="FFFFFFFF"/>
      <name val="Arial"/>
      <family val="2"/>
    </font>
    <font>
      <u/>
      <sz val="10"/>
      <name val="Arial"/>
      <family val="2"/>
    </font>
    <font>
      <b/>
      <sz val="9"/>
      <color rgb="FF000000"/>
      <name val="Tahoma"/>
      <family val="2"/>
    </font>
    <font>
      <sz val="9"/>
      <color rgb="FF000000"/>
      <name val="Tahoma"/>
      <family val="2"/>
    </font>
    <font>
      <b/>
      <i/>
      <sz val="8"/>
      <color theme="9" tint="-0.249977111117893"/>
      <name val="Arial"/>
      <family val="2"/>
    </font>
    <font>
      <sz val="11"/>
      <color rgb="FF006100"/>
      <name val="Calibri"/>
      <family val="2"/>
      <scheme val="minor"/>
    </font>
    <font>
      <sz val="11"/>
      <color rgb="FF9C5700"/>
      <name val="Calibri"/>
      <family val="2"/>
      <scheme val="minor"/>
    </font>
    <font>
      <u val="double"/>
      <sz val="10"/>
      <name val="Arial"/>
      <family val="2"/>
    </font>
    <font>
      <b/>
      <u val="double"/>
      <sz val="10"/>
      <name val="Arial"/>
      <family val="2"/>
    </font>
    <font>
      <sz val="24"/>
      <color rgb="FF077346"/>
      <name val="Bahnschrift SemiBold"/>
      <family val="2"/>
    </font>
    <font>
      <u/>
      <sz val="20"/>
      <color rgb="FF002060"/>
      <name val="Arial"/>
      <family val="2"/>
    </font>
    <font>
      <sz val="20"/>
      <color rgb="FF002060"/>
      <name val="Arial"/>
      <family val="2"/>
    </font>
    <font>
      <b/>
      <i/>
      <sz val="10"/>
      <color theme="9" tint="-0.249977111117893"/>
      <name val="Arial"/>
      <family val="2"/>
    </font>
    <font>
      <sz val="11"/>
      <color rgb="FF374151"/>
      <name val="Arial"/>
      <family val="2"/>
    </font>
    <font>
      <b/>
      <i/>
      <sz val="10"/>
      <name val="Arial"/>
      <family val="2"/>
    </font>
    <font>
      <sz val="11"/>
      <color rgb="FF000000"/>
      <name val="Inherit"/>
    </font>
    <font>
      <sz val="8"/>
      <name val="Arial"/>
      <family val="2"/>
    </font>
    <font>
      <b/>
      <sz val="8"/>
      <name val="Arial"/>
      <family val="2"/>
    </font>
    <font>
      <sz val="8"/>
      <color theme="9" tint="-0.249977111117893"/>
      <name val="Arial"/>
      <family val="2"/>
    </font>
    <font>
      <sz val="16"/>
      <color rgb="FF232A31"/>
      <name val="Arial"/>
      <family val="2"/>
    </font>
    <font>
      <sz val="16"/>
      <name val="Arial"/>
      <family val="2"/>
    </font>
    <font>
      <i/>
      <sz val="10"/>
      <color theme="0" tint="-0.499984740745262"/>
      <name val="Arial"/>
      <family val="2"/>
    </font>
    <font>
      <sz val="11"/>
      <color rgb="FF9C0006"/>
      <name val="Calibri"/>
      <family val="2"/>
      <scheme val="minor"/>
    </font>
    <font>
      <u/>
      <sz val="10"/>
      <color theme="10"/>
      <name val="Arial"/>
      <family val="2"/>
    </font>
    <font>
      <i/>
      <sz val="10"/>
      <color theme="0" tint="-0.249977111117893"/>
      <name val="Arial"/>
      <family val="2"/>
    </font>
    <font>
      <i/>
      <sz val="11"/>
      <color rgb="FF000000"/>
      <name val="Calibri"/>
      <family val="2"/>
    </font>
    <font>
      <b/>
      <sz val="6"/>
      <color theme="0"/>
      <name val="Arial"/>
      <family val="2"/>
    </font>
    <font>
      <u/>
      <sz val="14"/>
      <name val="Arial"/>
      <family val="2"/>
    </font>
    <font>
      <b/>
      <sz val="20"/>
      <name val="Arial"/>
      <family val="2"/>
    </font>
  </fonts>
  <fills count="56">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theme="2"/>
        <bgColor indexed="64"/>
      </patternFill>
    </fill>
    <fill>
      <patternFill patternType="solid">
        <fgColor rgb="FFC6EFCE"/>
      </patternFill>
    </fill>
    <fill>
      <patternFill patternType="solid">
        <fgColor rgb="FFFFEB9C"/>
      </patternFill>
    </fill>
    <fill>
      <patternFill patternType="solid">
        <fgColor rgb="FFFFC000"/>
        <bgColor rgb="FF000000"/>
      </patternFill>
    </fill>
    <fill>
      <patternFill patternType="solid">
        <fgColor rgb="FFD9D9D9"/>
        <bgColor rgb="FFD9D9D9"/>
      </patternFill>
    </fill>
    <fill>
      <patternFill patternType="solid">
        <fgColor rgb="FF63CB97"/>
        <bgColor rgb="FF000000"/>
      </patternFill>
    </fill>
    <fill>
      <patternFill patternType="solid">
        <fgColor theme="4"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FFC7CE"/>
      </patternFill>
    </fill>
  </fills>
  <borders count="397">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medium">
        <color rgb="FF1F497D"/>
      </right>
      <top style="thin">
        <color indexed="64"/>
      </top>
      <bottom style="thin">
        <color indexed="64"/>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rgb="FF1F497D"/>
      </left>
      <right style="medium">
        <color rgb="FF1F497D"/>
      </right>
      <top style="thin">
        <color theme="0" tint="-0.24994659260841701"/>
      </top>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style="thin">
        <color indexed="64"/>
      </right>
      <top style="medium">
        <color indexed="64"/>
      </top>
      <bottom style="thin">
        <color indexed="64"/>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theme="3"/>
      </right>
      <top/>
      <bottom/>
      <diagonal/>
    </border>
    <border>
      <left style="medium">
        <color rgb="FF00000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rgb="FF000000"/>
      </right>
      <top/>
      <bottom/>
      <diagonal/>
    </border>
    <border>
      <left style="medium">
        <color rgb="FF000000"/>
      </left>
      <right style="thin">
        <color theme="0" tint="-0.24994659260841701"/>
      </right>
      <top style="medium">
        <color rgb="FF000000"/>
      </top>
      <bottom/>
      <diagonal/>
    </border>
    <border>
      <left style="thin">
        <color theme="0" tint="-0.24994659260841701"/>
      </left>
      <right style="thin">
        <color theme="0" tint="-0.24994659260841701"/>
      </right>
      <top style="medium">
        <color rgb="FF000000"/>
      </top>
      <bottom/>
      <diagonal/>
    </border>
    <border>
      <left style="thin">
        <color theme="0" tint="-0.24994659260841701"/>
      </left>
      <right style="medium">
        <color rgb="FF000000"/>
      </right>
      <top style="medium">
        <color rgb="FF000000"/>
      </top>
      <bottom/>
      <diagonal/>
    </border>
    <border>
      <left style="medium">
        <color rgb="FF000000"/>
      </left>
      <right style="medium">
        <color theme="3"/>
      </right>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style="thin">
        <color indexed="64"/>
      </right>
      <top style="thin">
        <color indexed="64"/>
      </top>
      <bottom style="thin">
        <color indexed="64"/>
      </bottom>
      <diagonal/>
    </border>
    <border>
      <left style="medium">
        <color theme="3"/>
      </left>
      <right style="thin">
        <color indexed="64"/>
      </right>
      <top style="thin">
        <color indexed="64"/>
      </top>
      <bottom style="medium">
        <color theme="3"/>
      </bottom>
      <diagonal/>
    </border>
    <border>
      <left style="thin">
        <color indexed="64"/>
      </left>
      <right style="thin">
        <color indexed="64"/>
      </right>
      <top style="thin">
        <color indexed="64"/>
      </top>
      <bottom style="medium">
        <color theme="3"/>
      </bottom>
      <diagonal/>
    </border>
    <border>
      <left style="thin">
        <color indexed="64"/>
      </left>
      <right style="medium">
        <color rgb="FF1F497D"/>
      </right>
      <top style="thin">
        <color indexed="64"/>
      </top>
      <bottom style="medium">
        <color theme="3"/>
      </bottom>
      <diagonal/>
    </border>
    <border>
      <left/>
      <right style="thin">
        <color rgb="FF000000"/>
      </right>
      <top style="thin">
        <color rgb="FF000000"/>
      </top>
      <bottom style="thin">
        <color rgb="FF000000"/>
      </bottom>
      <diagonal/>
    </border>
    <border>
      <left style="medium">
        <color rgb="FF000000"/>
      </left>
      <right style="medium">
        <color rgb="FF000000"/>
      </right>
      <top/>
      <bottom style="thin">
        <color theme="0" tint="-0.249977111117893"/>
      </bottom>
      <diagonal/>
    </border>
    <border>
      <left style="medium">
        <color rgb="FF000000"/>
      </left>
      <right style="medium">
        <color theme="3"/>
      </right>
      <top style="medium">
        <color rgb="FF000000"/>
      </top>
      <bottom/>
      <diagonal/>
    </border>
    <border>
      <left style="medium">
        <color rgb="FF000000"/>
      </left>
      <right style="medium">
        <color rgb="FF000000"/>
      </right>
      <top/>
      <bottom style="thin">
        <color indexed="64"/>
      </bottom>
      <diagonal/>
    </border>
    <border>
      <left style="medium">
        <color indexed="64"/>
      </left>
      <right/>
      <top style="thin">
        <color indexed="64"/>
      </top>
      <bottom style="thin">
        <color indexed="64"/>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rgb="FF1F497D"/>
      </left>
      <right/>
      <top style="thin">
        <color theme="0" tint="-0.24994659260841701"/>
      </top>
      <bottom/>
      <diagonal/>
    </border>
    <border>
      <left/>
      <right style="medium">
        <color rgb="FF1F497D"/>
      </right>
      <top style="thin">
        <color theme="0" tint="-0.24994659260841701"/>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style="medium">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medium">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thin">
        <color indexed="64"/>
      </right>
      <top style="thin">
        <color indexed="64"/>
      </top>
      <bottom style="medium">
        <color indexed="64"/>
      </bottom>
      <diagonal/>
    </border>
    <border>
      <left style="medium">
        <color rgb="FF000000"/>
      </left>
      <right style="thin">
        <color indexed="64"/>
      </right>
      <top style="medium">
        <color rgb="FF000000"/>
      </top>
      <bottom style="medium">
        <color rgb="FF000000"/>
      </bottom>
      <diagonal/>
    </border>
    <border>
      <left style="thin">
        <color theme="0" tint="-0.249977111117893"/>
      </left>
      <right style="thin">
        <color theme="0" tint="-0.249977111117893"/>
      </right>
      <top style="thin">
        <color theme="0" tint="-0.249977111117893"/>
      </top>
      <bottom/>
      <diagonal/>
    </border>
    <border>
      <left style="medium">
        <color rgb="FF1F497D"/>
      </left>
      <right style="thin">
        <color theme="0" tint="-0.249977111117893"/>
      </right>
      <top style="medium">
        <color rgb="FF1F497D"/>
      </top>
      <bottom style="thin">
        <color theme="0" tint="-0.249977111117893"/>
      </bottom>
      <diagonal/>
    </border>
    <border>
      <left style="thin">
        <color theme="0" tint="-0.249977111117893"/>
      </left>
      <right style="thin">
        <color theme="0" tint="-0.249977111117893"/>
      </right>
      <top style="medium">
        <color rgb="FF1F497D"/>
      </top>
      <bottom style="thin">
        <color theme="0" tint="-0.249977111117893"/>
      </bottom>
      <diagonal/>
    </border>
    <border>
      <left style="thin">
        <color theme="0" tint="-0.14999847407452621"/>
      </left>
      <right style="thin">
        <color theme="0" tint="-0.14999847407452621"/>
      </right>
      <top style="medium">
        <color rgb="FF1F497D"/>
      </top>
      <bottom/>
      <diagonal/>
    </border>
    <border>
      <left style="thin">
        <color theme="0" tint="-0.249977111117893"/>
      </left>
      <right/>
      <top style="medium">
        <color rgb="FF1F497D"/>
      </top>
      <bottom/>
      <diagonal/>
    </border>
    <border>
      <left/>
      <right style="thin">
        <color theme="0" tint="-0.249977111117893"/>
      </right>
      <top style="medium">
        <color rgb="FF1F497D"/>
      </top>
      <bottom/>
      <diagonal/>
    </border>
    <border>
      <left style="thin">
        <color theme="0" tint="-0.249977111117893"/>
      </left>
      <right style="thin">
        <color theme="0" tint="-0.249977111117893"/>
      </right>
      <top style="medium">
        <color rgb="FF1F497D"/>
      </top>
      <bottom/>
      <diagonal/>
    </border>
    <border>
      <left style="thin">
        <color theme="0" tint="-0.249977111117893"/>
      </left>
      <right style="medium">
        <color rgb="FF1F497D"/>
      </right>
      <top style="medium">
        <color rgb="FF1F497D"/>
      </top>
      <bottom/>
      <diagonal/>
    </border>
    <border>
      <left style="medium">
        <color rgb="FF1F497D"/>
      </left>
      <right style="thin">
        <color theme="0" tint="-0.249977111117893"/>
      </right>
      <top style="thin">
        <color theme="0" tint="-0.249977111117893"/>
      </top>
      <bottom style="thin">
        <color theme="0" tint="-0.249977111117893"/>
      </bottom>
      <diagonal/>
    </border>
    <border>
      <left style="thin">
        <color theme="0" tint="-0.249977111117893"/>
      </left>
      <right style="medium">
        <color rgb="FF1F497D"/>
      </right>
      <top style="thin">
        <color theme="0" tint="-0.249977111117893"/>
      </top>
      <bottom style="thin">
        <color theme="0" tint="-0.249977111117893"/>
      </bottom>
      <diagonal/>
    </border>
    <border>
      <left/>
      <right style="medium">
        <color rgb="FF1F497D"/>
      </right>
      <top style="thin">
        <color theme="0" tint="-0.249977111117893"/>
      </top>
      <bottom style="thin">
        <color theme="0" tint="-0.249977111117893"/>
      </bottom>
      <diagonal/>
    </border>
    <border>
      <left/>
      <right style="medium">
        <color rgb="FF1F497D"/>
      </right>
      <top/>
      <bottom style="thin">
        <color theme="0" tint="-0.249977111117893"/>
      </bottom>
      <diagonal/>
    </border>
    <border>
      <left style="medium">
        <color rgb="FF1F497D"/>
      </left>
      <right/>
      <top style="thin">
        <color rgb="FFBFBFBF"/>
      </top>
      <bottom/>
      <diagonal/>
    </border>
    <border>
      <left/>
      <right/>
      <top style="thin">
        <color rgb="FFBFBFBF"/>
      </top>
      <bottom/>
      <diagonal/>
    </border>
    <border>
      <left/>
      <right style="thin">
        <color rgb="FFBFBFBF"/>
      </right>
      <top style="thin">
        <color rgb="FFBFBFBF"/>
      </top>
      <bottom/>
      <diagonal/>
    </border>
    <border>
      <left style="medium">
        <color theme="3"/>
      </left>
      <right/>
      <top style="thin">
        <color theme="0" tint="-0.24994659260841701"/>
      </top>
      <bottom style="thin">
        <color theme="0" tint="-0.24994659260841701"/>
      </bottom>
      <diagonal/>
    </border>
    <border>
      <left/>
      <right style="medium">
        <color theme="3"/>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top/>
      <bottom style="thin">
        <color rgb="FFBFBFBF"/>
      </bottom>
      <diagonal/>
    </border>
    <border>
      <left style="medium">
        <color rgb="FF1F497D"/>
      </left>
      <right/>
      <top/>
      <bottom style="thin">
        <color rgb="FFBFBFBF"/>
      </bottom>
      <diagonal/>
    </border>
    <border>
      <left style="thin">
        <color theme="0" tint="-0.24994659260841701"/>
      </left>
      <right style="thin">
        <color theme="0" tint="-0.24994659260841701"/>
      </right>
      <top style="thin">
        <color theme="0" tint="-0.24994659260841701"/>
      </top>
      <bottom/>
      <diagonal/>
    </border>
    <border>
      <left style="medium">
        <color rgb="FF002060"/>
      </left>
      <right/>
      <top style="thin">
        <color theme="0" tint="-0.24994659260841701"/>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medium">
        <color rgb="FF1F497D"/>
      </left>
      <right/>
      <top style="thin">
        <color theme="0" tint="-0.24994659260841701"/>
      </top>
      <bottom style="medium">
        <color theme="0" tint="-0.14996795556505021"/>
      </bottom>
      <diagonal/>
    </border>
    <border>
      <left/>
      <right/>
      <top style="thin">
        <color theme="0" tint="-0.24994659260841701"/>
      </top>
      <bottom style="medium">
        <color theme="0" tint="-0.14996795556505021"/>
      </bottom>
      <diagonal/>
    </border>
    <border>
      <left/>
      <right style="thin">
        <color theme="0" tint="-0.24994659260841701"/>
      </right>
      <top style="thin">
        <color theme="0" tint="-0.24994659260841701"/>
      </top>
      <bottom style="medium">
        <color theme="0" tint="-0.14996795556505021"/>
      </bottom>
      <diagonal/>
    </border>
    <border>
      <left style="medium">
        <color rgb="FF1F497D"/>
      </left>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style="thin">
        <color theme="0" tint="-0.24994659260841701"/>
      </right>
      <top style="medium">
        <color theme="0" tint="-0.14996795556505021"/>
      </top>
      <bottom style="medium">
        <color theme="0" tint="-0.14996795556505021"/>
      </bottom>
      <diagonal/>
    </border>
    <border>
      <left style="medium">
        <color rgb="FF1F497D"/>
      </left>
      <right/>
      <top style="medium">
        <color theme="0" tint="-0.14996795556505021"/>
      </top>
      <bottom style="thin">
        <color theme="0" tint="-0.24994659260841701"/>
      </bottom>
      <diagonal/>
    </border>
    <border>
      <left/>
      <right/>
      <top style="medium">
        <color theme="0" tint="-0.14996795556505021"/>
      </top>
      <bottom style="thin">
        <color theme="0" tint="-0.24994659260841701"/>
      </bottom>
      <diagonal/>
    </border>
    <border>
      <left/>
      <right style="thin">
        <color theme="0" tint="-0.24994659260841701"/>
      </right>
      <top style="medium">
        <color theme="0" tint="-0.14996795556505021"/>
      </top>
      <bottom style="thin">
        <color theme="0" tint="-0.24994659260841701"/>
      </bottom>
      <diagonal/>
    </border>
    <border>
      <left style="medium">
        <color rgb="FF002060"/>
      </left>
      <right/>
      <top style="thin">
        <color theme="0" tint="-0.24994659260841701"/>
      </top>
      <bottom/>
      <diagonal/>
    </border>
    <border>
      <left style="medium">
        <color rgb="FF002060"/>
      </left>
      <right/>
      <top/>
      <bottom style="thin">
        <color theme="0" tint="-0.24994659260841701"/>
      </bottom>
      <diagonal/>
    </border>
    <border>
      <left style="medium">
        <color rgb="FF002060"/>
      </left>
      <right/>
      <top/>
      <bottom/>
      <diagonal/>
    </border>
    <border>
      <left style="medium">
        <color rgb="FF1F497D"/>
      </left>
      <right/>
      <top style="medium">
        <color theme="0" tint="-0.14996795556505021"/>
      </top>
      <bottom/>
      <diagonal/>
    </border>
    <border>
      <left/>
      <right/>
      <top style="medium">
        <color theme="0" tint="-0.14996795556505021"/>
      </top>
      <bottom/>
      <diagonal/>
    </border>
    <border>
      <left/>
      <right style="thin">
        <color theme="0" tint="-0.24994659260841701"/>
      </right>
      <top style="medium">
        <color theme="0" tint="-0.14996795556505021"/>
      </top>
      <bottom/>
      <diagonal/>
    </border>
    <border>
      <left style="medium">
        <color rgb="FF1F497D"/>
      </left>
      <right/>
      <top/>
      <bottom style="medium">
        <color theme="0" tint="-0.14996795556505021"/>
      </bottom>
      <diagonal/>
    </border>
    <border>
      <left/>
      <right/>
      <top/>
      <bottom style="medium">
        <color theme="0" tint="-0.14996795556505021"/>
      </bottom>
      <diagonal/>
    </border>
    <border>
      <left/>
      <right style="thin">
        <color theme="0" tint="-0.24994659260841701"/>
      </right>
      <top/>
      <bottom style="medium">
        <color theme="0" tint="-0.14996795556505021"/>
      </bottom>
      <diagonal/>
    </border>
    <border>
      <left style="medium">
        <color rgb="FF002060"/>
      </left>
      <right/>
      <top style="medium">
        <color theme="0" tint="-0.14996795556505021"/>
      </top>
      <bottom/>
      <diagonal/>
    </border>
    <border>
      <left style="medium">
        <color rgb="FF002060"/>
      </left>
      <right/>
      <top/>
      <bottom style="medium">
        <color theme="0" tint="-0.14996795556505021"/>
      </bottom>
      <diagonal/>
    </border>
    <border>
      <left/>
      <right style="medium">
        <color rgb="FF1F497D"/>
      </right>
      <top style="thin">
        <color rgb="FFBFBFBF"/>
      </top>
      <bottom/>
      <diagonal/>
    </border>
    <border>
      <left/>
      <right style="medium">
        <color rgb="FF1F497D"/>
      </right>
      <top/>
      <bottom style="thin">
        <color rgb="FFBFBFBF"/>
      </bottom>
      <diagonal/>
    </border>
    <border>
      <left/>
      <right style="medium">
        <color rgb="FF002060"/>
      </right>
      <top style="thin">
        <color rgb="FFBFBFBF"/>
      </top>
      <bottom/>
      <diagonal/>
    </border>
    <border>
      <left/>
      <right style="medium">
        <color rgb="FF002060"/>
      </right>
      <top/>
      <bottom style="thin">
        <color rgb="FFBFBFBF"/>
      </bottom>
      <diagonal/>
    </border>
    <border>
      <left/>
      <right/>
      <top style="dashed">
        <color auto="1"/>
      </top>
      <bottom style="dashed">
        <color auto="1"/>
      </bottom>
      <diagonal/>
    </border>
    <border>
      <left style="dashed">
        <color indexed="64"/>
      </left>
      <right style="dashed">
        <color indexed="64"/>
      </right>
      <top style="thin">
        <color indexed="64"/>
      </top>
      <bottom style="dashed">
        <color indexed="64"/>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medium">
        <color rgb="FF1F497D"/>
      </left>
      <right/>
      <top style="thin">
        <color theme="0" tint="-0.249977111117893"/>
      </top>
      <bottom/>
      <diagonal/>
    </border>
    <border>
      <left style="medium">
        <color rgb="FF1F497D"/>
      </left>
      <right/>
      <top/>
      <bottom style="thin">
        <color theme="0" tint="-0.249977111117893"/>
      </bottom>
      <diagonal/>
    </border>
    <border>
      <left style="medium">
        <color rgb="FF002060"/>
      </left>
      <right style="medium">
        <color rgb="FF002060"/>
      </right>
      <top style="medium">
        <color rgb="FF002060"/>
      </top>
      <bottom style="medium">
        <color rgb="FF002060"/>
      </bottom>
      <diagonal/>
    </border>
    <border>
      <left style="medium">
        <color rgb="FF002060"/>
      </left>
      <right/>
      <top/>
      <bottom style="medium">
        <color rgb="FF002060"/>
      </bottom>
      <diagonal/>
    </border>
    <border>
      <left/>
      <right/>
      <top style="medium">
        <color rgb="FF002060"/>
      </top>
      <bottom/>
      <diagonal/>
    </border>
    <border>
      <left/>
      <right style="medium">
        <color rgb="FF002060"/>
      </right>
      <top style="medium">
        <color rgb="FF002060"/>
      </top>
      <bottom/>
      <diagonal/>
    </border>
    <border>
      <left/>
      <right style="medium">
        <color rgb="FF002060"/>
      </right>
      <top/>
      <bottom/>
      <diagonal/>
    </border>
    <border>
      <left/>
      <right/>
      <top/>
      <bottom style="medium">
        <color rgb="FF002060"/>
      </bottom>
      <diagonal/>
    </border>
    <border>
      <left/>
      <right style="medium">
        <color rgb="FF002060"/>
      </right>
      <top/>
      <bottom style="medium">
        <color rgb="FF002060"/>
      </bottom>
      <diagonal/>
    </border>
    <border>
      <left style="medium">
        <color rgb="FF002060"/>
      </left>
      <right/>
      <top style="medium">
        <color rgb="FF002060"/>
      </top>
      <bottom style="medium">
        <color rgb="FF1F497D"/>
      </bottom>
      <diagonal/>
    </border>
    <border>
      <left/>
      <right style="medium">
        <color rgb="FF1F497D"/>
      </right>
      <top style="medium">
        <color rgb="FF002060"/>
      </top>
      <bottom style="medium">
        <color rgb="FF1F497D"/>
      </bottom>
      <diagonal/>
    </border>
    <border>
      <left style="medium">
        <color rgb="FF1F497D"/>
      </left>
      <right style="medium">
        <color rgb="FF1F497D"/>
      </right>
      <top style="medium">
        <color rgb="FF002060"/>
      </top>
      <bottom style="medium">
        <color rgb="FF1F497D"/>
      </bottom>
      <diagonal/>
    </border>
    <border>
      <left style="medium">
        <color theme="3"/>
      </left>
      <right style="medium">
        <color theme="3"/>
      </right>
      <top style="medium">
        <color rgb="FF002060"/>
      </top>
      <bottom/>
      <diagonal/>
    </border>
    <border>
      <left style="medium">
        <color theme="3"/>
      </left>
      <right style="medium">
        <color rgb="FF002060"/>
      </right>
      <top style="medium">
        <color rgb="FF002060"/>
      </top>
      <bottom/>
      <diagonal/>
    </border>
    <border>
      <left style="medium">
        <color rgb="FF002060"/>
      </left>
      <right/>
      <top style="medium">
        <color rgb="FF1F497D"/>
      </top>
      <bottom style="thin">
        <color theme="0" tint="-0.24994659260841701"/>
      </bottom>
      <diagonal/>
    </border>
    <border>
      <left style="medium">
        <color rgb="FF1F497D"/>
      </left>
      <right style="medium">
        <color rgb="FF002060"/>
      </right>
      <top style="medium">
        <color rgb="FF1F497D"/>
      </top>
      <bottom style="thin">
        <color theme="0" tint="-0.24994659260841701"/>
      </bottom>
      <diagonal/>
    </border>
    <border>
      <left style="medium">
        <color rgb="FF002060"/>
      </left>
      <right/>
      <top style="thin">
        <color theme="0" tint="-0.24994659260841701"/>
      </top>
      <bottom style="medium">
        <color rgb="FF002060"/>
      </bottom>
      <diagonal/>
    </border>
    <border>
      <left/>
      <right style="medium">
        <color rgb="FF1F497D"/>
      </right>
      <top style="thin">
        <color theme="0" tint="-0.24994659260841701"/>
      </top>
      <bottom style="medium">
        <color rgb="FF002060"/>
      </bottom>
      <diagonal/>
    </border>
    <border>
      <left/>
      <right style="medium">
        <color rgb="FF1F497D"/>
      </right>
      <top/>
      <bottom style="medium">
        <color rgb="FF002060"/>
      </bottom>
      <diagonal/>
    </border>
    <border>
      <left style="medium">
        <color rgb="FF1F497D"/>
      </left>
      <right/>
      <top style="medium">
        <color rgb="FF1F497D"/>
      </top>
      <bottom style="medium">
        <color rgb="FF002060"/>
      </bottom>
      <diagonal/>
    </border>
    <border>
      <left style="medium">
        <color rgb="FF1F497D"/>
      </left>
      <right style="medium">
        <color rgb="FF002060"/>
      </right>
      <top/>
      <bottom style="medium">
        <color rgb="FF002060"/>
      </bottom>
      <diagonal/>
    </border>
    <border>
      <left/>
      <right style="medium">
        <color rgb="FF002060"/>
      </right>
      <top style="medium">
        <color rgb="FF1F497D"/>
      </top>
      <bottom/>
      <diagonal/>
    </border>
    <border>
      <left style="medium">
        <color rgb="FF1F497D"/>
      </left>
      <right/>
      <top/>
      <bottom style="medium">
        <color rgb="FF002060"/>
      </bottom>
      <diagonal/>
    </border>
    <border>
      <left/>
      <right style="medium">
        <color rgb="FF002060"/>
      </right>
      <top style="medium">
        <color rgb="FF002060"/>
      </top>
      <bottom style="medium">
        <color rgb="FF002060"/>
      </bottom>
      <diagonal/>
    </border>
    <border>
      <left style="medium">
        <color rgb="FF1F497D"/>
      </left>
      <right style="medium">
        <color rgb="FF002060"/>
      </right>
      <top/>
      <bottom style="thin">
        <color theme="0" tint="-0.24994659260841701"/>
      </bottom>
      <diagonal/>
    </border>
    <border>
      <left style="medium">
        <color rgb="FF1F497D"/>
      </left>
      <right style="medium">
        <color rgb="FF002060"/>
      </right>
      <top style="thin">
        <color theme="0" tint="-0.24994659260841701"/>
      </top>
      <bottom style="thin">
        <color theme="0" tint="-0.24994659260841701"/>
      </bottom>
      <diagonal/>
    </border>
    <border>
      <left style="medium">
        <color rgb="FF1F497D"/>
      </left>
      <right style="medium">
        <color rgb="FF002060"/>
      </right>
      <top style="thin">
        <color theme="0" tint="-0.24994659260841701"/>
      </top>
      <bottom style="medium">
        <color rgb="FF1F497D"/>
      </bottom>
      <diagonal/>
    </border>
    <border>
      <left/>
      <right style="medium">
        <color rgb="FF002060"/>
      </right>
      <top style="medium">
        <color rgb="FF1F497D"/>
      </top>
      <bottom style="medium">
        <color rgb="FF1F497D"/>
      </bottom>
      <diagonal/>
    </border>
    <border>
      <left style="medium">
        <color rgb="FF002060"/>
      </left>
      <right/>
      <top style="medium">
        <color rgb="FF1F497D"/>
      </top>
      <bottom style="medium">
        <color rgb="FF1F497D"/>
      </bottom>
      <diagonal/>
    </border>
    <border>
      <left style="medium">
        <color rgb="FF002060"/>
      </left>
      <right style="medium">
        <color rgb="FF1F497D"/>
      </right>
      <top style="medium">
        <color rgb="FF1F497D"/>
      </top>
      <bottom style="medium">
        <color rgb="FF1F497D"/>
      </bottom>
      <diagonal/>
    </border>
    <border>
      <left style="medium">
        <color rgb="FF002060"/>
      </left>
      <right style="medium">
        <color rgb="FF1F497D"/>
      </right>
      <top/>
      <bottom style="thin">
        <color theme="0" tint="-0.24994659260841701"/>
      </bottom>
      <diagonal/>
    </border>
    <border>
      <left style="medium">
        <color rgb="FF002060"/>
      </left>
      <right style="medium">
        <color rgb="FF1F497D"/>
      </right>
      <top style="thin">
        <color theme="0" tint="-0.24994659260841701"/>
      </top>
      <bottom style="thin">
        <color theme="0" tint="-0.24994659260841701"/>
      </bottom>
      <diagonal/>
    </border>
    <border>
      <left style="medium">
        <color rgb="FF002060"/>
      </left>
      <right style="medium">
        <color rgb="FF1F497D"/>
      </right>
      <top style="thin">
        <color theme="0" tint="-0.24994659260841701"/>
      </top>
      <bottom style="medium">
        <color rgb="FF1F497D"/>
      </bottom>
      <diagonal/>
    </border>
    <border>
      <left style="medium">
        <color rgb="FF002060"/>
      </left>
      <right style="medium">
        <color theme="3"/>
      </right>
      <top/>
      <bottom style="medium">
        <color rgb="FF1F497D"/>
      </bottom>
      <diagonal/>
    </border>
    <border>
      <left style="medium">
        <color rgb="FF002060"/>
      </left>
      <right style="medium">
        <color rgb="FF1F497D"/>
      </right>
      <top/>
      <bottom style="medium">
        <color rgb="FF1F497D"/>
      </bottom>
      <diagonal/>
    </border>
    <border>
      <left style="medium">
        <color rgb="FF002060"/>
      </left>
      <right/>
      <top style="medium">
        <color rgb="FF1F497D"/>
      </top>
      <bottom/>
      <diagonal/>
    </border>
    <border>
      <left style="medium">
        <color rgb="FF002060"/>
      </left>
      <right style="medium">
        <color rgb="FF1F497D"/>
      </right>
      <top/>
      <bottom/>
      <diagonal/>
    </border>
    <border>
      <left style="medium">
        <color rgb="FF002060"/>
      </left>
      <right/>
      <top/>
      <bottom style="medium">
        <color rgb="FF1F497D"/>
      </bottom>
      <diagonal/>
    </border>
    <border>
      <left/>
      <right style="dashed">
        <color indexed="64"/>
      </right>
      <top style="thin">
        <color indexed="64"/>
      </top>
      <bottom style="dashed">
        <color indexed="64"/>
      </bottom>
      <diagonal/>
    </border>
    <border>
      <left style="medium">
        <color rgb="FF002060"/>
      </left>
      <right/>
      <top style="medium">
        <color rgb="FF002060"/>
      </top>
      <bottom/>
      <diagonal/>
    </border>
    <border>
      <left style="dashed">
        <color theme="8" tint="0.59996337778862885"/>
      </left>
      <right style="dashed">
        <color theme="8" tint="0.59996337778862885"/>
      </right>
      <top/>
      <bottom style="dashed">
        <color theme="8" tint="0.59996337778862885"/>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rgb="FF000000"/>
      </left>
      <right style="thick">
        <color rgb="FF000000"/>
      </right>
      <top style="medium">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medium">
        <color rgb="FF000000"/>
      </bottom>
      <diagonal/>
    </border>
    <border>
      <left style="thin">
        <color theme="0" tint="-0.24994659260841701"/>
      </left>
      <right style="thin">
        <color indexed="64"/>
      </right>
      <top style="thin">
        <color auto="1"/>
      </top>
      <bottom style="thin">
        <color indexed="64"/>
      </bottom>
      <diagonal/>
    </border>
    <border>
      <left style="thin">
        <color theme="0" tint="-0.24994659260841701"/>
      </left>
      <right style="thin">
        <color theme="0" tint="-0.24994659260841701"/>
      </right>
      <top style="thin">
        <color theme="0" tint="-0.24994659260841701"/>
      </top>
      <bottom style="thin">
        <color theme="0" tint="-0.14996795556505021"/>
      </bottom>
      <diagonal/>
    </border>
    <border>
      <left style="thin">
        <color theme="0" tint="-0.24994659260841701"/>
      </left>
      <right style="thin">
        <color theme="0" tint="-0.24994659260841701"/>
      </right>
      <top style="thin">
        <color theme="0" tint="-0.14996795556505021"/>
      </top>
      <bottom style="thin">
        <color theme="0" tint="-0.24994659260841701"/>
      </bottom>
      <diagonal/>
    </border>
    <border>
      <left style="thin">
        <color theme="0" tint="-0.24994659260841701"/>
      </left>
      <right style="thin">
        <color indexed="64"/>
      </right>
      <top style="thin">
        <color theme="0" tint="-0.14996795556505021"/>
      </top>
      <bottom style="thin">
        <color theme="0" tint="-0.24994659260841701"/>
      </bottom>
      <diagonal/>
    </border>
    <border>
      <left style="thin">
        <color indexed="64"/>
      </left>
      <right style="thin">
        <color theme="0" tint="-0.24994659260841701"/>
      </right>
      <top style="thin">
        <color theme="0" tint="-0.24994659260841701"/>
      </top>
      <bottom/>
      <diagonal/>
    </border>
    <border>
      <left style="thin">
        <color indexed="64"/>
      </left>
      <right style="thin">
        <color theme="0" tint="-0.24994659260841701"/>
      </right>
      <top/>
      <bottom style="thin">
        <color theme="0" tint="-0.24994659260841701"/>
      </bottom>
      <diagonal/>
    </border>
    <border>
      <left style="thin">
        <color theme="0" tint="-0.24994659260841701"/>
      </left>
      <right style="thin">
        <color auto="1"/>
      </right>
      <top style="thin">
        <color theme="0" tint="-0.24994659260841701"/>
      </top>
      <bottom/>
      <diagonal/>
    </border>
    <border>
      <left style="thin">
        <color theme="0" tint="-0.24994659260841701"/>
      </left>
      <right style="thin">
        <color auto="1"/>
      </right>
      <top/>
      <bottom style="thin">
        <color theme="0" tint="-0.24994659260841701"/>
      </bottom>
      <diagonal/>
    </border>
    <border>
      <left/>
      <right style="thin">
        <color theme="0" tint="-0.24994659260841701"/>
      </right>
      <top style="thin">
        <color indexed="64"/>
      </top>
      <bottom style="thin">
        <color theme="0" tint="-0.24994659260841701"/>
      </bottom>
      <diagonal/>
    </border>
    <border>
      <left/>
      <right style="thin">
        <color theme="0" tint="-0.24994659260841701"/>
      </right>
      <top style="thin">
        <color theme="0" tint="-0.24994659260841701"/>
      </top>
      <bottom style="thin">
        <color indexed="64"/>
      </bottom>
      <diagonal/>
    </border>
    <border>
      <left style="thin">
        <color indexed="64"/>
      </left>
      <right style="thin">
        <color indexed="64"/>
      </right>
      <top style="thin">
        <color indexed="64"/>
      </top>
      <bottom style="thin">
        <color theme="0" tint="-0.24994659260841701"/>
      </bottom>
      <diagonal/>
    </border>
    <border>
      <left style="thin">
        <color theme="0" tint="-0.24994659260841701"/>
      </left>
      <right/>
      <top style="thin">
        <color theme="0" tint="-0.24994659260841701"/>
      </top>
      <bottom style="thin">
        <color indexed="64"/>
      </bottom>
      <diagonal/>
    </border>
    <border>
      <left style="thin">
        <color theme="0" tint="-0.24994659260841701"/>
      </left>
      <right style="thin">
        <color indexed="64"/>
      </right>
      <top style="thin">
        <color indexed="64"/>
      </top>
      <bottom/>
      <diagonal/>
    </border>
    <border>
      <left style="dotted">
        <color indexed="64"/>
      </left>
      <right style="dotted">
        <color indexed="64"/>
      </right>
      <top style="thin">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diagonal/>
    </border>
    <border>
      <left style="dashDotDot">
        <color indexed="64"/>
      </left>
      <right/>
      <top style="dashDotDot">
        <color indexed="64"/>
      </top>
      <bottom style="thin">
        <color indexed="64"/>
      </bottom>
      <diagonal/>
    </border>
    <border>
      <left/>
      <right/>
      <top style="dashDotDot">
        <color indexed="64"/>
      </top>
      <bottom style="thin">
        <color indexed="64"/>
      </bottom>
      <diagonal/>
    </border>
    <border>
      <left/>
      <right style="dashDotDot">
        <color indexed="64"/>
      </right>
      <top style="dashDotDot">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rgb="FF000000"/>
      </left>
      <right style="thin">
        <color rgb="FF000000"/>
      </right>
      <top style="thin">
        <color rgb="FF000000"/>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right/>
      <top style="medium">
        <color rgb="FF1F497D"/>
      </top>
      <bottom style="thin">
        <color theme="0" tint="-0.24994659260841701"/>
      </bottom>
      <diagonal/>
    </border>
    <border>
      <left style="dashDotDot">
        <color rgb="FF000000"/>
      </left>
      <right/>
      <top style="dashDotDot">
        <color rgb="FF000000"/>
      </top>
      <bottom style="medium">
        <color rgb="FF000000"/>
      </bottom>
      <diagonal/>
    </border>
    <border>
      <left/>
      <right/>
      <top style="dashDotDot">
        <color rgb="FF000000"/>
      </top>
      <bottom style="medium">
        <color rgb="FF000000"/>
      </bottom>
      <diagonal/>
    </border>
    <border>
      <left/>
      <right style="mediumDashed">
        <color rgb="FF000000"/>
      </right>
      <top style="dashDotDot">
        <color rgb="FF000000"/>
      </top>
      <bottom style="medium">
        <color rgb="FF000000"/>
      </bottom>
      <diagonal/>
    </border>
    <border>
      <left style="mediumDashed">
        <color rgb="FF000000"/>
      </left>
      <right/>
      <top style="dashDotDot">
        <color rgb="FF000000"/>
      </top>
      <bottom style="thin">
        <color rgb="FF000000"/>
      </bottom>
      <diagonal/>
    </border>
    <border>
      <left/>
      <right/>
      <top style="dashDotDot">
        <color rgb="FF000000"/>
      </top>
      <bottom style="thin">
        <color rgb="FF000000"/>
      </bottom>
      <diagonal/>
    </border>
    <border>
      <left/>
      <right style="dashDotDot">
        <color rgb="FF000000"/>
      </right>
      <top style="dashDotDot">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theme="3"/>
      </left>
      <right/>
      <top style="medium">
        <color rgb="FF1F497D"/>
      </top>
      <bottom style="thin">
        <color theme="0" tint="-0.24994659260841701"/>
      </bottom>
      <diagonal/>
    </border>
    <border>
      <left/>
      <right/>
      <top style="medium">
        <color theme="3"/>
      </top>
      <bottom style="medium">
        <color rgb="FF1F497D"/>
      </bottom>
      <diagonal/>
    </border>
    <border>
      <left style="medium">
        <color rgb="FF1F497D"/>
      </left>
      <right/>
      <top style="medium">
        <color theme="3"/>
      </top>
      <bottom/>
      <diagonal/>
    </border>
    <border>
      <left/>
      <right style="medium">
        <color theme="3"/>
      </right>
      <top style="medium">
        <color theme="3"/>
      </top>
      <bottom/>
      <diagonal/>
    </border>
    <border>
      <left style="medium">
        <color theme="3"/>
      </left>
      <right/>
      <top style="medium">
        <color theme="3"/>
      </top>
      <bottom style="medium">
        <color rgb="FF1F497D"/>
      </bottom>
      <diagonal/>
    </border>
    <border>
      <left style="medium">
        <color rgb="FF1F497D"/>
      </left>
      <right/>
      <top style="dotted">
        <color rgb="FF1F497D"/>
      </top>
      <bottom/>
      <diagonal/>
    </border>
    <border>
      <left/>
      <right/>
      <top style="dotted">
        <color rgb="FF1F497D"/>
      </top>
      <bottom/>
      <diagonal/>
    </border>
    <border>
      <left/>
      <right style="dotted">
        <color rgb="FF1F497D"/>
      </right>
      <top style="dotted">
        <color rgb="FF1F497D"/>
      </top>
      <bottom/>
      <diagonal/>
    </border>
    <border>
      <left/>
      <right style="dotted">
        <color rgb="FF1F497D"/>
      </right>
      <top/>
      <bottom/>
      <diagonal/>
    </border>
    <border>
      <left style="medium">
        <color rgb="FF1F497D"/>
      </left>
      <right/>
      <top/>
      <bottom style="dotted">
        <color rgb="FF1F497D"/>
      </bottom>
      <diagonal/>
    </border>
    <border>
      <left/>
      <right/>
      <top/>
      <bottom style="dotted">
        <color rgb="FF1F497D"/>
      </bottom>
      <diagonal/>
    </border>
    <border>
      <left/>
      <right style="dotted">
        <color rgb="FF1F497D"/>
      </right>
      <top/>
      <bottom style="dotted">
        <color rgb="FF1F497D"/>
      </bottom>
      <diagonal/>
    </border>
  </borders>
  <cellStyleXfs count="37">
    <xf numFmtId="0" fontId="0" fillId="0" borderId="0"/>
    <xf numFmtId="0" fontId="16" fillId="2" borderId="1" applyNumberFormat="0" applyProtection="0">
      <alignment horizontal="left" vertical="center" readingOrder="1"/>
    </xf>
    <xf numFmtId="0" fontId="17" fillId="2" borderId="2">
      <alignment horizontal="left"/>
    </xf>
    <xf numFmtId="0" fontId="17" fillId="2" borderId="3">
      <alignment horizontal="right"/>
    </xf>
    <xf numFmtId="0" fontId="17" fillId="2" borderId="3">
      <alignment horizontal="left"/>
    </xf>
    <xf numFmtId="3" fontId="18" fillId="3" borderId="4">
      <alignment horizontal="right"/>
    </xf>
    <xf numFmtId="169" fontId="11" fillId="3" borderId="4">
      <alignment horizontal="right"/>
    </xf>
    <xf numFmtId="4" fontId="11" fillId="3" borderId="4">
      <alignment horizontal="right"/>
    </xf>
    <xf numFmtId="0" fontId="18" fillId="3" borderId="6"/>
    <xf numFmtId="0" fontId="19" fillId="3" borderId="6"/>
    <xf numFmtId="0" fontId="10" fillId="0" borderId="0" applyNumberFormat="0" applyFill="0" applyBorder="0" applyAlignment="0" applyProtection="0">
      <alignment vertical="top"/>
      <protection locked="0"/>
    </xf>
    <xf numFmtId="164" fontId="21" fillId="0" borderId="0" applyFont="0" applyFill="0" applyBorder="0" applyAlignment="0" applyProtection="0"/>
    <xf numFmtId="164" fontId="12" fillId="0" borderId="0" applyFont="0" applyFill="0" applyBorder="0" applyAlignment="0" applyProtection="0"/>
    <xf numFmtId="0" fontId="23" fillId="0" borderId="0"/>
    <xf numFmtId="0" fontId="12" fillId="0" borderId="0"/>
    <xf numFmtId="9" fontId="8" fillId="0" borderId="0" applyFont="0" applyFill="0" applyBorder="0" applyAlignment="0" applyProtection="0"/>
    <xf numFmtId="9" fontId="21" fillId="0" borderId="0" applyFont="0" applyFill="0" applyBorder="0" applyAlignment="0" applyProtection="0"/>
    <xf numFmtId="9" fontId="12" fillId="0" borderId="0" applyFont="0" applyFill="0" applyBorder="0" applyAlignment="0" applyProtection="0"/>
    <xf numFmtId="9" fontId="23" fillId="0" borderId="0" applyFont="0" applyFill="0" applyBorder="0" applyAlignment="0" applyProtection="0"/>
    <xf numFmtId="0" fontId="7" fillId="0" borderId="0"/>
    <xf numFmtId="0" fontId="7"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6" fillId="0" borderId="0"/>
    <xf numFmtId="9" fontId="6"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9" fontId="3" fillId="0" borderId="0" applyFont="0" applyFill="0" applyBorder="0" applyAlignment="0" applyProtection="0"/>
    <xf numFmtId="0" fontId="2" fillId="0" borderId="0"/>
    <xf numFmtId="43" fontId="79" fillId="0" borderId="0" applyFont="0" applyFill="0" applyBorder="0" applyAlignment="0" applyProtection="0"/>
    <xf numFmtId="0" fontId="92" fillId="47" borderId="0" applyNumberFormat="0" applyBorder="0" applyAlignment="0" applyProtection="0"/>
    <xf numFmtId="0" fontId="93" fillId="48" borderId="0" applyNumberFormat="0" applyBorder="0" applyAlignment="0" applyProtection="0"/>
    <xf numFmtId="0" fontId="109" fillId="55" borderId="0" applyNumberFormat="0" applyBorder="0" applyAlignment="0" applyProtection="0"/>
  </cellStyleXfs>
  <cellXfs count="1491">
    <xf numFmtId="0" fontId="0" fillId="0" borderId="0" xfId="0"/>
    <xf numFmtId="0" fontId="0" fillId="0" borderId="0" xfId="0" applyAlignment="1">
      <alignment horizontal="center"/>
    </xf>
    <xf numFmtId="166" fontId="0" fillId="0" borderId="0" xfId="0" applyNumberFormat="1"/>
    <xf numFmtId="0" fontId="25" fillId="0" borderId="0" xfId="0" applyFont="1"/>
    <xf numFmtId="0" fontId="15" fillId="0" borderId="17" xfId="0" applyFont="1" applyBorder="1"/>
    <xf numFmtId="0" fontId="22" fillId="0" borderId="0" xfId="0" applyFont="1"/>
    <xf numFmtId="0" fontId="8" fillId="0" borderId="0" xfId="0" applyFont="1"/>
    <xf numFmtId="0" fontId="8" fillId="0" borderId="17" xfId="0" applyFont="1" applyBorder="1"/>
    <xf numFmtId="0" fontId="8" fillId="0" borderId="17" xfId="0" applyFont="1" applyBorder="1" applyAlignment="1">
      <alignment horizontal="left"/>
    </xf>
    <xf numFmtId="0" fontId="13" fillId="0" borderId="0" xfId="0" applyFont="1"/>
    <xf numFmtId="10" fontId="8" fillId="7" borderId="17" xfId="0" applyNumberFormat="1" applyFont="1" applyFill="1" applyBorder="1" applyAlignment="1">
      <alignment horizontal="center"/>
    </xf>
    <xf numFmtId="0" fontId="25" fillId="7" borderId="0" xfId="0" applyFont="1" applyFill="1"/>
    <xf numFmtId="0" fontId="31" fillId="0" borderId="0" xfId="0" applyFont="1"/>
    <xf numFmtId="0" fontId="25" fillId="7" borderId="0" xfId="0" applyFont="1" applyFill="1" applyAlignment="1">
      <alignment horizontal="center"/>
    </xf>
    <xf numFmtId="0" fontId="33" fillId="0" borderId="0" xfId="0" applyFont="1"/>
    <xf numFmtId="0" fontId="33" fillId="11" borderId="0" xfId="0" applyFont="1" applyFill="1"/>
    <xf numFmtId="3" fontId="33" fillId="0" borderId="0" xfId="0" applyNumberFormat="1" applyFont="1" applyAlignment="1">
      <alignment horizontal="center"/>
    </xf>
    <xf numFmtId="0" fontId="33" fillId="0" borderId="0" xfId="0" applyFont="1" applyAlignment="1">
      <alignment horizontal="left"/>
    </xf>
    <xf numFmtId="0" fontId="33" fillId="18" borderId="0" xfId="0" applyFont="1" applyFill="1"/>
    <xf numFmtId="3" fontId="33" fillId="18" borderId="0" xfId="0" applyNumberFormat="1" applyFont="1" applyFill="1" applyAlignment="1">
      <alignment horizontal="center"/>
    </xf>
    <xf numFmtId="0" fontId="0" fillId="11" borderId="0" xfId="0" applyFill="1"/>
    <xf numFmtId="3" fontId="33" fillId="0" borderId="0" xfId="0" applyNumberFormat="1" applyFont="1"/>
    <xf numFmtId="3" fontId="34" fillId="18" borderId="0" xfId="0" applyNumberFormat="1" applyFont="1" applyFill="1" applyAlignment="1">
      <alignment horizontal="center"/>
    </xf>
    <xf numFmtId="3" fontId="33" fillId="11" borderId="0" xfId="0" applyNumberFormat="1" applyFont="1" applyFill="1" applyAlignment="1">
      <alignment horizontal="center"/>
    </xf>
    <xf numFmtId="3" fontId="34" fillId="11" borderId="0" xfId="0" applyNumberFormat="1" applyFont="1" applyFill="1" applyAlignment="1">
      <alignment horizontal="center"/>
    </xf>
    <xf numFmtId="0" fontId="19" fillId="3" borderId="6" xfId="9"/>
    <xf numFmtId="0" fontId="0" fillId="19" borderId="0" xfId="0" applyFill="1"/>
    <xf numFmtId="3" fontId="22" fillId="0" borderId="0" xfId="0" applyNumberFormat="1" applyFont="1" applyAlignment="1">
      <alignment horizontal="center"/>
    </xf>
    <xf numFmtId="3" fontId="22" fillId="0" borderId="0" xfId="0" applyNumberFormat="1" applyFont="1"/>
    <xf numFmtId="0" fontId="0" fillId="20" borderId="0" xfId="0" applyFill="1"/>
    <xf numFmtId="3" fontId="22" fillId="18" borderId="0" xfId="0" applyNumberFormat="1" applyFont="1" applyFill="1" applyAlignment="1">
      <alignment horizontal="center"/>
    </xf>
    <xf numFmtId="0" fontId="22" fillId="18" borderId="0" xfId="0" applyFont="1" applyFill="1"/>
    <xf numFmtId="0" fontId="0" fillId="21" borderId="0" xfId="0" applyFill="1"/>
    <xf numFmtId="169" fontId="33" fillId="0" borderId="0" xfId="0" applyNumberFormat="1" applyFont="1" applyAlignment="1">
      <alignment horizontal="center"/>
    </xf>
    <xf numFmtId="0" fontId="36" fillId="0" borderId="0" xfId="0" applyFont="1"/>
    <xf numFmtId="0" fontId="37" fillId="0" borderId="0" xfId="0" applyFont="1"/>
    <xf numFmtId="0" fontId="38" fillId="0" borderId="0" xfId="0" applyFont="1" applyAlignment="1">
      <alignment horizontal="center"/>
    </xf>
    <xf numFmtId="168" fontId="37" fillId="0" borderId="0" xfId="0" applyNumberFormat="1" applyFont="1" applyAlignment="1">
      <alignment horizontal="center"/>
    </xf>
    <xf numFmtId="0" fontId="39" fillId="0" borderId="0" xfId="0" applyFont="1"/>
    <xf numFmtId="0" fontId="40" fillId="0" borderId="0" xfId="0" applyFont="1"/>
    <xf numFmtId="0" fontId="0" fillId="0" borderId="12" xfId="0" applyBorder="1"/>
    <xf numFmtId="0" fontId="22" fillId="0" borderId="0" xfId="0" applyFont="1" applyAlignment="1">
      <alignment horizontal="center"/>
    </xf>
    <xf numFmtId="0" fontId="37" fillId="0" borderId="0" xfId="0" applyFont="1" applyAlignment="1">
      <alignment horizontal="center"/>
    </xf>
    <xf numFmtId="166" fontId="8" fillId="23" borderId="17" xfId="0" applyNumberFormat="1" applyFont="1" applyFill="1" applyBorder="1" applyAlignment="1">
      <alignment horizontal="center"/>
    </xf>
    <xf numFmtId="0" fontId="38" fillId="16" borderId="0" xfId="0" applyFont="1" applyFill="1" applyAlignment="1">
      <alignment horizontal="center"/>
    </xf>
    <xf numFmtId="3" fontId="0" fillId="24" borderId="1" xfId="0" applyNumberFormat="1" applyFill="1" applyBorder="1" applyAlignment="1">
      <alignment horizontal="center"/>
    </xf>
    <xf numFmtId="3" fontId="0" fillId="24" borderId="39" xfId="0" applyNumberFormat="1" applyFill="1" applyBorder="1" applyAlignment="1">
      <alignment horizontal="center"/>
    </xf>
    <xf numFmtId="167" fontId="13" fillId="25" borderId="1" xfId="15" applyNumberFormat="1" applyFont="1" applyFill="1" applyBorder="1" applyAlignment="1">
      <alignment horizontal="center"/>
    </xf>
    <xf numFmtId="167" fontId="13" fillId="25" borderId="39" xfId="15" applyNumberFormat="1" applyFont="1" applyFill="1" applyBorder="1" applyAlignment="1">
      <alignment horizontal="center"/>
    </xf>
    <xf numFmtId="3" fontId="0" fillId="24" borderId="1" xfId="15" applyNumberFormat="1" applyFont="1" applyFill="1" applyBorder="1" applyAlignment="1">
      <alignment horizontal="center"/>
    </xf>
    <xf numFmtId="3" fontId="0" fillId="24" borderId="39" xfId="15" applyNumberFormat="1" applyFont="1" applyFill="1" applyBorder="1" applyAlignment="1">
      <alignment horizontal="center"/>
    </xf>
    <xf numFmtId="3" fontId="13" fillId="26" borderId="1" xfId="15" applyNumberFormat="1" applyFont="1" applyFill="1" applyBorder="1" applyAlignment="1">
      <alignment horizontal="center"/>
    </xf>
    <xf numFmtId="3" fontId="0" fillId="0" borderId="0" xfId="0" applyNumberFormat="1" applyAlignment="1">
      <alignment horizontal="center"/>
    </xf>
    <xf numFmtId="169" fontId="33" fillId="18" borderId="0" xfId="0" applyNumberFormat="1" applyFont="1" applyFill="1" applyAlignment="1">
      <alignment horizontal="center"/>
    </xf>
    <xf numFmtId="0" fontId="33" fillId="18" borderId="0" xfId="0" applyFont="1" applyFill="1" applyAlignment="1">
      <alignment horizontal="center"/>
    </xf>
    <xf numFmtId="167" fontId="33" fillId="18" borderId="0" xfId="0" applyNumberFormat="1" applyFont="1" applyFill="1" applyAlignment="1">
      <alignment horizontal="center"/>
    </xf>
    <xf numFmtId="9" fontId="33" fillId="0" borderId="0" xfId="15" applyFont="1" applyFill="1" applyAlignment="1">
      <alignment horizontal="center"/>
    </xf>
    <xf numFmtId="167" fontId="33" fillId="0" borderId="0" xfId="15" applyNumberFormat="1" applyFont="1" applyFill="1" applyAlignment="1">
      <alignment horizontal="center"/>
    </xf>
    <xf numFmtId="9" fontId="33" fillId="0" borderId="0" xfId="21" applyFont="1" applyFill="1" applyAlignment="1">
      <alignment horizontal="center"/>
    </xf>
    <xf numFmtId="171" fontId="8" fillId="23" borderId="17" xfId="0" applyNumberFormat="1" applyFont="1" applyFill="1" applyBorder="1" applyAlignment="1">
      <alignment horizontal="center"/>
    </xf>
    <xf numFmtId="167" fontId="31" fillId="23" borderId="17" xfId="15" applyNumberFormat="1" applyFont="1" applyFill="1" applyBorder="1" applyAlignment="1">
      <alignment horizontal="center"/>
    </xf>
    <xf numFmtId="0" fontId="13" fillId="0" borderId="32" xfId="0" applyFont="1" applyBorder="1"/>
    <xf numFmtId="0" fontId="17" fillId="4" borderId="8" xfId="4" applyFill="1" applyBorder="1" applyAlignment="1"/>
    <xf numFmtId="0" fontId="8" fillId="0" borderId="0" xfId="25"/>
    <xf numFmtId="0" fontId="26" fillId="4" borderId="7" xfId="25" applyFont="1" applyFill="1" applyBorder="1" applyAlignment="1">
      <alignment horizontal="center"/>
    </xf>
    <xf numFmtId="0" fontId="26" fillId="4" borderId="11" xfId="25" applyFont="1" applyFill="1" applyBorder="1" applyAlignment="1">
      <alignment horizontal="center"/>
    </xf>
    <xf numFmtId="0" fontId="28" fillId="3" borderId="10" xfId="9" applyFont="1" applyBorder="1"/>
    <xf numFmtId="0" fontId="8" fillId="0" borderId="0" xfId="25" applyAlignment="1">
      <alignment vertical="center"/>
    </xf>
    <xf numFmtId="0" fontId="28" fillId="3" borderId="13" xfId="9" applyFont="1" applyBorder="1"/>
    <xf numFmtId="0" fontId="28" fillId="0" borderId="10" xfId="9" applyFont="1" applyFill="1" applyBorder="1"/>
    <xf numFmtId="0" fontId="26" fillId="28" borderId="0" xfId="25" applyFont="1" applyFill="1" applyAlignment="1">
      <alignment horizontal="center" vertical="center"/>
    </xf>
    <xf numFmtId="0" fontId="27" fillId="0" borderId="9" xfId="8" applyFont="1" applyFill="1" applyBorder="1"/>
    <xf numFmtId="0" fontId="19" fillId="3" borderId="13" xfId="9" applyBorder="1"/>
    <xf numFmtId="0" fontId="19" fillId="3" borderId="10" xfId="9" applyBorder="1"/>
    <xf numFmtId="0" fontId="25" fillId="0" borderId="0" xfId="25" applyFont="1"/>
    <xf numFmtId="0" fontId="13" fillId="0" borderId="27" xfId="0" applyFont="1" applyBorder="1"/>
    <xf numFmtId="0" fontId="13" fillId="0" borderId="33" xfId="0" applyFont="1" applyBorder="1"/>
    <xf numFmtId="0" fontId="0" fillId="0" borderId="4" xfId="0" applyBorder="1"/>
    <xf numFmtId="0" fontId="0" fillId="0" borderId="6" xfId="0" applyBorder="1"/>
    <xf numFmtId="0" fontId="0" fillId="0" borderId="31" xfId="0" applyBorder="1"/>
    <xf numFmtId="0" fontId="0" fillId="0" borderId="2" xfId="0" applyBorder="1"/>
    <xf numFmtId="0" fontId="0" fillId="0" borderId="32" xfId="0" applyBorder="1"/>
    <xf numFmtId="0" fontId="0" fillId="0" borderId="27" xfId="0" applyBorder="1"/>
    <xf numFmtId="0" fontId="0" fillId="0" borderId="33" xfId="0" applyBorder="1"/>
    <xf numFmtId="0" fontId="13" fillId="0" borderId="38" xfId="0" applyFont="1" applyBorder="1"/>
    <xf numFmtId="0" fontId="13" fillId="0" borderId="1" xfId="0" applyFont="1" applyBorder="1"/>
    <xf numFmtId="0" fontId="13" fillId="0" borderId="39" xfId="0" applyFont="1" applyBorder="1"/>
    <xf numFmtId="0" fontId="33" fillId="18" borderId="0" xfId="0" applyFont="1" applyFill="1" applyAlignment="1">
      <alignment horizontal="left" indent="1"/>
    </xf>
    <xf numFmtId="169" fontId="33" fillId="18" borderId="0" xfId="0" applyNumberFormat="1" applyFont="1" applyFill="1" applyAlignment="1">
      <alignment horizontal="left" indent="1"/>
    </xf>
    <xf numFmtId="0" fontId="33" fillId="29" borderId="0" xfId="0" applyFont="1" applyFill="1" applyAlignment="1">
      <alignment horizontal="left" indent="1"/>
    </xf>
    <xf numFmtId="0" fontId="22" fillId="0" borderId="0" xfId="0" applyFont="1" applyAlignment="1">
      <alignment horizontal="left"/>
    </xf>
    <xf numFmtId="0" fontId="26" fillId="31" borderId="23" xfId="0" applyFont="1" applyFill="1" applyBorder="1" applyAlignment="1">
      <alignment horizontal="center"/>
    </xf>
    <xf numFmtId="0" fontId="26" fillId="31" borderId="20" xfId="0" applyFont="1" applyFill="1" applyBorder="1" applyAlignment="1">
      <alignment horizontal="center"/>
    </xf>
    <xf numFmtId="9" fontId="31" fillId="7" borderId="46" xfId="15" applyFont="1" applyFill="1" applyBorder="1" applyAlignment="1">
      <alignment horizontal="center"/>
    </xf>
    <xf numFmtId="9" fontId="8" fillId="7" borderId="46" xfId="15" applyFont="1" applyFill="1" applyBorder="1" applyAlignment="1">
      <alignment horizontal="center"/>
    </xf>
    <xf numFmtId="0" fontId="13" fillId="0" borderId="46" xfId="0" applyFont="1" applyBorder="1" applyAlignment="1">
      <alignment horizontal="center"/>
    </xf>
    <xf numFmtId="167" fontId="31" fillId="23" borderId="46" xfId="15" applyNumberFormat="1" applyFont="1" applyFill="1" applyBorder="1" applyAlignment="1">
      <alignment horizontal="center"/>
    </xf>
    <xf numFmtId="0" fontId="26" fillId="31" borderId="17" xfId="0" applyFont="1" applyFill="1" applyBorder="1" applyAlignment="1">
      <alignment horizontal="center" vertical="center" wrapText="1"/>
    </xf>
    <xf numFmtId="0" fontId="8" fillId="7" borderId="17" xfId="0" applyFont="1" applyFill="1" applyBorder="1" applyAlignment="1">
      <alignment vertical="center" wrapText="1"/>
    </xf>
    <xf numFmtId="0" fontId="26" fillId="31" borderId="46" xfId="0" applyFont="1" applyFill="1" applyBorder="1" applyAlignment="1">
      <alignment horizontal="center"/>
    </xf>
    <xf numFmtId="3" fontId="8" fillId="0" borderId="0" xfId="0" applyNumberFormat="1" applyFont="1"/>
    <xf numFmtId="0" fontId="8" fillId="16" borderId="38" xfId="0" applyFont="1" applyFill="1" applyBorder="1"/>
    <xf numFmtId="0" fontId="8" fillId="0" borderId="38" xfId="0" applyFont="1" applyBorder="1" applyAlignment="1">
      <alignment horizontal="left" indent="1"/>
    </xf>
    <xf numFmtId="0" fontId="8" fillId="0" borderId="38" xfId="0" applyFont="1" applyBorder="1" applyAlignment="1">
      <alignment horizontal="left"/>
    </xf>
    <xf numFmtId="0" fontId="8" fillId="16" borderId="38" xfId="0" applyFont="1" applyFill="1" applyBorder="1" applyAlignment="1">
      <alignment horizontal="left" indent="1"/>
    </xf>
    <xf numFmtId="0" fontId="13" fillId="0" borderId="38" xfId="0" applyFont="1" applyBorder="1" applyAlignment="1">
      <alignment horizontal="left"/>
    </xf>
    <xf numFmtId="0" fontId="13" fillId="16" borderId="38" xfId="0" applyFont="1" applyFill="1" applyBorder="1"/>
    <xf numFmtId="0" fontId="8" fillId="0" borderId="38" xfId="0" applyFont="1" applyBorder="1"/>
    <xf numFmtId="172" fontId="8" fillId="23" borderId="17" xfId="0" applyNumberFormat="1" applyFont="1" applyFill="1" applyBorder="1" applyAlignment="1">
      <alignment horizontal="center"/>
    </xf>
    <xf numFmtId="9" fontId="8" fillId="23" borderId="17" xfId="15" applyFont="1" applyFill="1" applyBorder="1" applyAlignment="1">
      <alignment horizontal="center"/>
    </xf>
    <xf numFmtId="166" fontId="8" fillId="6" borderId="17" xfId="0" applyNumberFormat="1" applyFont="1" applyFill="1" applyBorder="1" applyAlignment="1">
      <alignment horizontal="center"/>
    </xf>
    <xf numFmtId="4" fontId="8" fillId="6" borderId="17" xfId="0" applyNumberFormat="1" applyFont="1" applyFill="1" applyBorder="1" applyAlignment="1">
      <alignment horizontal="center"/>
    </xf>
    <xf numFmtId="9" fontId="31" fillId="6" borderId="46" xfId="15" applyFont="1" applyFill="1" applyBorder="1" applyAlignment="1">
      <alignment horizontal="center"/>
    </xf>
    <xf numFmtId="0" fontId="8" fillId="6" borderId="17" xfId="0" applyFont="1" applyFill="1" applyBorder="1"/>
    <xf numFmtId="9" fontId="8" fillId="6" borderId="17" xfId="15" applyFont="1" applyFill="1" applyBorder="1" applyAlignment="1">
      <alignment horizontal="center"/>
    </xf>
    <xf numFmtId="167" fontId="8" fillId="6" borderId="17" xfId="15" applyNumberFormat="1" applyFont="1" applyFill="1" applyBorder="1" applyAlignment="1">
      <alignment horizontal="center"/>
    </xf>
    <xf numFmtId="9" fontId="8" fillId="6" borderId="17" xfId="15" applyFont="1" applyFill="1" applyBorder="1"/>
    <xf numFmtId="172" fontId="31" fillId="7" borderId="46" xfId="15" applyNumberFormat="1" applyFont="1" applyFill="1" applyBorder="1" applyAlignment="1">
      <alignment horizontal="center"/>
    </xf>
    <xf numFmtId="172" fontId="8" fillId="7" borderId="46" xfId="0" applyNumberFormat="1" applyFont="1" applyFill="1" applyBorder="1" applyAlignment="1">
      <alignment horizontal="center"/>
    </xf>
    <xf numFmtId="0" fontId="46" fillId="31" borderId="46" xfId="0" applyFont="1" applyFill="1" applyBorder="1" applyAlignment="1">
      <alignment horizontal="center"/>
    </xf>
    <xf numFmtId="0" fontId="47" fillId="31" borderId="46" xfId="0" applyFont="1" applyFill="1" applyBorder="1" applyAlignment="1">
      <alignment horizontal="center"/>
    </xf>
    <xf numFmtId="166" fontId="13" fillId="23" borderId="17" xfId="0" applyNumberFormat="1" applyFont="1" applyFill="1" applyBorder="1" applyAlignment="1">
      <alignment horizontal="center"/>
    </xf>
    <xf numFmtId="0" fontId="13" fillId="13" borderId="12" xfId="0" applyFont="1" applyFill="1" applyBorder="1" applyAlignment="1">
      <alignment horizontal="center"/>
    </xf>
    <xf numFmtId="0" fontId="13" fillId="0" borderId="74" xfId="0" applyFont="1" applyBorder="1" applyAlignment="1">
      <alignment horizontal="left"/>
    </xf>
    <xf numFmtId="0" fontId="13" fillId="0" borderId="75" xfId="0" applyFont="1" applyBorder="1" applyAlignment="1">
      <alignment horizontal="left"/>
    </xf>
    <xf numFmtId="166" fontId="0" fillId="0" borderId="69" xfId="0" applyNumberFormat="1" applyBorder="1" applyAlignment="1">
      <alignment horizontal="center"/>
    </xf>
    <xf numFmtId="166" fontId="0" fillId="0" borderId="72" xfId="0" applyNumberFormat="1" applyBorder="1" applyAlignment="1">
      <alignment horizontal="center"/>
    </xf>
    <xf numFmtId="0" fontId="0" fillId="32" borderId="76" xfId="0" applyFill="1" applyBorder="1"/>
    <xf numFmtId="0" fontId="0" fillId="32" borderId="77" xfId="0" applyFill="1" applyBorder="1"/>
    <xf numFmtId="10" fontId="0" fillId="32" borderId="77" xfId="0" applyNumberFormat="1" applyFill="1" applyBorder="1"/>
    <xf numFmtId="0" fontId="13" fillId="7" borderId="34" xfId="0" applyFont="1" applyFill="1" applyBorder="1" applyAlignment="1">
      <alignment horizontal="center"/>
    </xf>
    <xf numFmtId="0" fontId="13" fillId="0" borderId="78" xfId="0" applyFont="1" applyBorder="1"/>
    <xf numFmtId="9" fontId="13" fillId="13" borderId="53" xfId="15" applyFont="1" applyFill="1" applyBorder="1" applyAlignment="1">
      <alignment horizontal="center"/>
    </xf>
    <xf numFmtId="0" fontId="13" fillId="0" borderId="53" xfId="0" applyFont="1" applyBorder="1" applyAlignment="1">
      <alignment horizontal="center"/>
    </xf>
    <xf numFmtId="166" fontId="0" fillId="0" borderId="79" xfId="0" applyNumberFormat="1" applyBorder="1" applyAlignment="1">
      <alignment horizontal="center"/>
    </xf>
    <xf numFmtId="0" fontId="13" fillId="0" borderId="80" xfId="0" applyFont="1" applyBorder="1"/>
    <xf numFmtId="0" fontId="0" fillId="0" borderId="45" xfId="0" applyBorder="1"/>
    <xf numFmtId="0" fontId="0" fillId="32" borderId="60" xfId="0" applyFill="1" applyBorder="1"/>
    <xf numFmtId="0" fontId="13" fillId="0" borderId="58" xfId="0" applyFont="1" applyBorder="1" applyAlignment="1">
      <alignment horizontal="center"/>
    </xf>
    <xf numFmtId="166" fontId="0" fillId="0" borderId="70" xfId="0" applyNumberFormat="1" applyBorder="1" applyAlignment="1">
      <alignment horizontal="center"/>
    </xf>
    <xf numFmtId="166" fontId="0" fillId="0" borderId="73" xfId="0" applyNumberFormat="1" applyBorder="1" applyAlignment="1">
      <alignment horizontal="center"/>
    </xf>
    <xf numFmtId="0" fontId="13" fillId="7" borderId="9" xfId="0" applyFont="1" applyFill="1" applyBorder="1" applyAlignment="1">
      <alignment horizontal="center"/>
    </xf>
    <xf numFmtId="172" fontId="0" fillId="0" borderId="81" xfId="0" applyNumberFormat="1" applyBorder="1" applyAlignment="1">
      <alignment horizontal="center"/>
    </xf>
    <xf numFmtId="172" fontId="0" fillId="0" borderId="83" xfId="0" applyNumberFormat="1" applyBorder="1" applyAlignment="1">
      <alignment horizontal="center"/>
    </xf>
    <xf numFmtId="0" fontId="0" fillId="30" borderId="59" xfId="0" applyFill="1" applyBorder="1"/>
    <xf numFmtId="0" fontId="26" fillId="30" borderId="59" xfId="0" applyFont="1" applyFill="1" applyBorder="1" applyAlignment="1">
      <alignment horizontal="left"/>
    </xf>
    <xf numFmtId="9" fontId="0" fillId="30" borderId="59" xfId="15" applyFont="1" applyFill="1" applyBorder="1" applyAlignment="1">
      <alignment horizontal="center" vertical="center"/>
    </xf>
    <xf numFmtId="170" fontId="26" fillId="30" borderId="60" xfId="0" applyNumberFormat="1" applyFont="1" applyFill="1" applyBorder="1" applyAlignment="1">
      <alignment horizontal="center" vertical="center"/>
    </xf>
    <xf numFmtId="0" fontId="13" fillId="16" borderId="87" xfId="0" applyFont="1" applyFill="1" applyBorder="1"/>
    <xf numFmtId="0" fontId="13" fillId="16" borderId="89" xfId="0" applyFont="1" applyFill="1" applyBorder="1"/>
    <xf numFmtId="172" fontId="0" fillId="0" borderId="90" xfId="0" applyNumberFormat="1" applyBorder="1" applyAlignment="1">
      <alignment horizontal="center"/>
    </xf>
    <xf numFmtId="172" fontId="0" fillId="0" borderId="88" xfId="0" applyNumberFormat="1" applyBorder="1" applyAlignment="1">
      <alignment horizontal="center"/>
    </xf>
    <xf numFmtId="172" fontId="0" fillId="0" borderId="91" xfId="0" applyNumberFormat="1" applyBorder="1" applyAlignment="1">
      <alignment horizontal="center"/>
    </xf>
    <xf numFmtId="0" fontId="26" fillId="31" borderId="92" xfId="0" applyFont="1" applyFill="1" applyBorder="1" applyAlignment="1">
      <alignment horizontal="center"/>
    </xf>
    <xf numFmtId="0" fontId="0" fillId="31" borderId="93" xfId="0" applyFill="1" applyBorder="1"/>
    <xf numFmtId="0" fontId="0" fillId="31" borderId="94" xfId="0" applyFill="1" applyBorder="1"/>
    <xf numFmtId="0" fontId="26" fillId="31" borderId="87" xfId="0" applyFont="1" applyFill="1" applyBorder="1" applyAlignment="1">
      <alignment horizontal="center"/>
    </xf>
    <xf numFmtId="0" fontId="0" fillId="31" borderId="83" xfId="0" applyFill="1" applyBorder="1"/>
    <xf numFmtId="0" fontId="0" fillId="31" borderId="88" xfId="0" applyFill="1" applyBorder="1"/>
    <xf numFmtId="0" fontId="13" fillId="0" borderId="85" xfId="0" applyFont="1" applyBorder="1" applyAlignment="1">
      <alignment horizontal="left" vertical="center"/>
    </xf>
    <xf numFmtId="0" fontId="45" fillId="4" borderId="58" xfId="0" applyFont="1" applyFill="1" applyBorder="1" applyAlignment="1">
      <alignment horizontal="left" vertical="center"/>
    </xf>
    <xf numFmtId="0" fontId="45" fillId="30" borderId="58" xfId="0" applyFont="1" applyFill="1" applyBorder="1" applyAlignment="1">
      <alignment horizontal="left" vertical="center"/>
    </xf>
    <xf numFmtId="0" fontId="45" fillId="12" borderId="60" xfId="0" applyFont="1" applyFill="1" applyBorder="1" applyAlignment="1">
      <alignment horizontal="center"/>
    </xf>
    <xf numFmtId="0" fontId="13" fillId="7" borderId="85" xfId="0" applyFont="1" applyFill="1" applyBorder="1" applyAlignment="1">
      <alignment horizontal="left" vertical="center"/>
    </xf>
    <xf numFmtId="0" fontId="13" fillId="7" borderId="87" xfId="0" applyFont="1" applyFill="1" applyBorder="1" applyAlignment="1">
      <alignment horizontal="left" vertical="center"/>
    </xf>
    <xf numFmtId="0" fontId="0" fillId="30" borderId="59" xfId="0" applyFill="1" applyBorder="1" applyAlignment="1">
      <alignment horizontal="center"/>
    </xf>
    <xf numFmtId="0" fontId="8" fillId="0" borderId="54" xfId="0" applyFont="1" applyBorder="1"/>
    <xf numFmtId="0" fontId="48" fillId="4" borderId="52" xfId="0" applyFont="1" applyFill="1" applyBorder="1" applyAlignment="1">
      <alignment horizontal="center"/>
    </xf>
    <xf numFmtId="0" fontId="0" fillId="0" borderId="52" xfId="0" applyBorder="1"/>
    <xf numFmtId="172" fontId="0" fillId="23" borderId="83" xfId="0" applyNumberFormat="1" applyFill="1" applyBorder="1" applyAlignment="1">
      <alignment horizontal="center"/>
    </xf>
    <xf numFmtId="172" fontId="0" fillId="23" borderId="90" xfId="0" applyNumberFormat="1" applyFill="1" applyBorder="1" applyAlignment="1">
      <alignment horizontal="center"/>
    </xf>
    <xf numFmtId="0" fontId="28" fillId="0" borderId="10" xfId="25" applyFont="1" applyBorder="1" applyAlignment="1">
      <alignment horizontal="center"/>
    </xf>
    <xf numFmtId="0" fontId="28" fillId="0" borderId="15" xfId="25" applyFont="1" applyBorder="1" applyAlignment="1">
      <alignment horizontal="center"/>
    </xf>
    <xf numFmtId="0" fontId="28" fillId="0" borderId="10" xfId="25" applyFont="1" applyBorder="1" applyAlignment="1">
      <alignment horizontal="center" vertical="center"/>
    </xf>
    <xf numFmtId="0" fontId="28" fillId="0" borderId="15" xfId="25" applyFont="1" applyBorder="1" applyAlignment="1">
      <alignment horizontal="center" vertical="center"/>
    </xf>
    <xf numFmtId="0" fontId="28" fillId="0" borderId="14" xfId="25" applyFont="1" applyBorder="1" applyAlignment="1">
      <alignment horizontal="center"/>
    </xf>
    <xf numFmtId="0" fontId="28" fillId="0" borderId="16" xfId="25" applyFont="1" applyBorder="1" applyAlignment="1">
      <alignment horizontal="center"/>
    </xf>
    <xf numFmtId="0" fontId="49" fillId="4" borderId="98" xfId="4" applyFont="1" applyFill="1" applyBorder="1" applyAlignment="1">
      <alignment horizontal="center" vertical="center"/>
    </xf>
    <xf numFmtId="0" fontId="49" fillId="4" borderId="98" xfId="3" applyFont="1" applyFill="1" applyBorder="1" applyAlignment="1">
      <alignment horizontal="center" vertical="center" wrapText="1"/>
    </xf>
    <xf numFmtId="0" fontId="49" fillId="4" borderId="98" xfId="3" applyFont="1" applyFill="1" applyBorder="1" applyAlignment="1">
      <alignment horizontal="center" vertical="center"/>
    </xf>
    <xf numFmtId="0" fontId="8" fillId="3" borderId="98" xfId="9" applyFont="1" applyBorder="1" applyAlignment="1">
      <alignment horizontal="center" vertical="center"/>
    </xf>
    <xf numFmtId="169" fontId="8" fillId="7" borderId="98" xfId="6" applyFont="1" applyFill="1" applyBorder="1" applyAlignment="1">
      <alignment horizontal="right" vertical="center" wrapText="1"/>
    </xf>
    <xf numFmtId="0" fontId="28" fillId="3" borderId="98" xfId="9" applyFont="1" applyBorder="1" applyAlignment="1">
      <alignment vertical="center"/>
    </xf>
    <xf numFmtId="169" fontId="8" fillId="3" borderId="98" xfId="6" applyFont="1" applyBorder="1" applyAlignment="1">
      <alignment horizontal="right" vertical="center" wrapText="1"/>
    </xf>
    <xf numFmtId="0" fontId="28" fillId="3" borderId="98" xfId="9" applyFont="1" applyBorder="1" applyAlignment="1">
      <alignment horizontal="center" vertical="center"/>
    </xf>
    <xf numFmtId="3" fontId="13" fillId="33" borderId="100" xfId="5" applyFont="1" applyFill="1" applyBorder="1" applyAlignment="1">
      <alignment horizontal="center" vertical="center"/>
    </xf>
    <xf numFmtId="0" fontId="13" fillId="0" borderId="0" xfId="25" applyFont="1" applyAlignment="1">
      <alignment vertical="center"/>
    </xf>
    <xf numFmtId="0" fontId="8" fillId="11" borderId="0" xfId="25" applyFill="1" applyAlignment="1">
      <alignment vertical="center"/>
    </xf>
    <xf numFmtId="0" fontId="27" fillId="0" borderId="98" xfId="8" applyFont="1" applyFill="1" applyBorder="1" applyAlignment="1">
      <alignment horizontal="center" vertical="center"/>
    </xf>
    <xf numFmtId="3" fontId="50" fillId="33" borderId="99" xfId="5" applyFont="1" applyFill="1" applyBorder="1" applyAlignment="1">
      <alignment horizontal="right" vertical="center"/>
    </xf>
    <xf numFmtId="3" fontId="50" fillId="33" borderId="100" xfId="5" applyFont="1" applyFill="1" applyBorder="1" applyAlignment="1">
      <alignment horizontal="right" vertical="center"/>
    </xf>
    <xf numFmtId="3" fontId="50" fillId="33" borderId="101" xfId="5" applyFont="1" applyFill="1" applyBorder="1" applyAlignment="1">
      <alignment horizontal="right" vertical="center"/>
    </xf>
    <xf numFmtId="169" fontId="8" fillId="3" borderId="98" xfId="6" applyFont="1" applyBorder="1" applyAlignment="1">
      <alignment horizontal="center" vertical="center"/>
    </xf>
    <xf numFmtId="4" fontId="30" fillId="0" borderId="98" xfId="7" applyFont="1" applyFill="1" applyBorder="1" applyAlignment="1">
      <alignment horizontal="right" vertical="center"/>
    </xf>
    <xf numFmtId="0" fontId="0" fillId="33" borderId="100" xfId="0" applyFill="1" applyBorder="1" applyAlignment="1">
      <alignment horizontal="center" vertical="center"/>
    </xf>
    <xf numFmtId="4" fontId="8" fillId="33" borderId="100" xfId="7" applyFont="1" applyFill="1" applyBorder="1" applyAlignment="1">
      <alignment horizontal="right" vertical="center"/>
    </xf>
    <xf numFmtId="3" fontId="13" fillId="33" borderId="101" xfId="5" applyFont="1" applyFill="1" applyBorder="1" applyAlignment="1">
      <alignment horizontal="right" vertical="center" wrapText="1"/>
    </xf>
    <xf numFmtId="4" fontId="8" fillId="7" borderId="98" xfId="7" applyFont="1" applyFill="1" applyBorder="1" applyAlignment="1">
      <alignment horizontal="right" vertical="center" wrapText="1"/>
    </xf>
    <xf numFmtId="4" fontId="8" fillId="3" borderId="98" xfId="7" applyFont="1" applyBorder="1" applyAlignment="1">
      <alignment horizontal="center" vertical="center"/>
    </xf>
    <xf numFmtId="4" fontId="8" fillId="3" borderId="98" xfId="7" applyFont="1" applyBorder="1" applyAlignment="1">
      <alignment horizontal="right" vertical="center" wrapText="1"/>
    </xf>
    <xf numFmtId="0" fontId="28" fillId="0" borderId="98" xfId="9" applyFont="1" applyFill="1" applyBorder="1" applyAlignment="1">
      <alignment vertical="center"/>
    </xf>
    <xf numFmtId="0" fontId="8" fillId="0" borderId="98" xfId="9" applyFont="1" applyFill="1" applyBorder="1" applyAlignment="1">
      <alignment horizontal="center" vertical="center"/>
    </xf>
    <xf numFmtId="0" fontId="8" fillId="0" borderId="98" xfId="26" applyFont="1" applyBorder="1" applyAlignment="1">
      <alignment horizontal="right" vertical="center" wrapText="1"/>
    </xf>
    <xf numFmtId="3" fontId="13" fillId="33" borderId="99" xfId="5" applyFont="1" applyFill="1" applyBorder="1" applyAlignment="1">
      <alignment horizontal="right" vertical="center"/>
    </xf>
    <xf numFmtId="4" fontId="8" fillId="5" borderId="98" xfId="7" applyFont="1" applyFill="1" applyBorder="1" applyAlignment="1">
      <alignment horizontal="right" vertical="center"/>
    </xf>
    <xf numFmtId="4" fontId="8" fillId="5" borderId="98" xfId="7" applyFont="1" applyFill="1" applyBorder="1" applyAlignment="1">
      <alignment horizontal="center" vertical="center"/>
    </xf>
    <xf numFmtId="4" fontId="8" fillId="0" borderId="98" xfId="7" applyFont="1" applyFill="1" applyBorder="1" applyAlignment="1">
      <alignment horizontal="right" vertical="center" wrapText="1"/>
    </xf>
    <xf numFmtId="0" fontId="28" fillId="3" borderId="98" xfId="9" applyFont="1" applyBorder="1" applyAlignment="1">
      <alignment vertical="center" wrapText="1"/>
    </xf>
    <xf numFmtId="4" fontId="8" fillId="0" borderId="98" xfId="7" applyFont="1" applyFill="1" applyBorder="1" applyAlignment="1">
      <alignment horizontal="center" vertical="center"/>
    </xf>
    <xf numFmtId="0" fontId="49" fillId="31" borderId="98" xfId="3" applyFont="1" applyFill="1" applyBorder="1" applyAlignment="1">
      <alignment horizontal="center" vertical="center" wrapText="1"/>
    </xf>
    <xf numFmtId="0" fontId="8" fillId="0" borderId="98" xfId="25" applyBorder="1"/>
    <xf numFmtId="0" fontId="8" fillId="0" borderId="98" xfId="25" applyBorder="1" applyAlignment="1">
      <alignment vertical="center"/>
    </xf>
    <xf numFmtId="0" fontId="33" fillId="11" borderId="98" xfId="25" applyFont="1" applyFill="1" applyBorder="1" applyAlignment="1">
      <alignment horizontal="center" vertical="center"/>
    </xf>
    <xf numFmtId="0" fontId="52" fillId="0" borderId="0" xfId="0" applyFont="1"/>
    <xf numFmtId="0" fontId="54" fillId="0" borderId="0" xfId="0" applyFont="1"/>
    <xf numFmtId="0" fontId="13" fillId="0" borderId="33" xfId="0" applyFont="1" applyBorder="1" applyAlignment="1">
      <alignment horizontal="center"/>
    </xf>
    <xf numFmtId="0" fontId="13" fillId="0" borderId="31" xfId="0" applyFont="1" applyBorder="1" applyAlignment="1">
      <alignment horizontal="center"/>
    </xf>
    <xf numFmtId="0" fontId="54" fillId="0" borderId="33" xfId="0" applyFont="1" applyBorder="1" applyAlignment="1">
      <alignment horizontal="center"/>
    </xf>
    <xf numFmtId="0" fontId="54" fillId="0" borderId="31" xfId="0" applyFont="1" applyBorder="1" applyAlignment="1">
      <alignment horizontal="center"/>
    </xf>
    <xf numFmtId="0" fontId="54" fillId="0" borderId="27" xfId="0" applyFont="1" applyBorder="1"/>
    <xf numFmtId="0" fontId="54" fillId="0" borderId="102" xfId="0" applyFont="1" applyBorder="1" applyAlignment="1">
      <alignment horizontal="center" vertical="center"/>
    </xf>
    <xf numFmtId="0" fontId="54" fillId="0" borderId="106" xfId="0" applyFont="1" applyBorder="1" applyAlignment="1">
      <alignment horizontal="center" vertical="center"/>
    </xf>
    <xf numFmtId="0" fontId="13" fillId="11" borderId="109" xfId="0" applyFont="1" applyFill="1" applyBorder="1" applyAlignment="1">
      <alignment horizontal="center"/>
    </xf>
    <xf numFmtId="0" fontId="54" fillId="11" borderId="109" xfId="0" applyFont="1" applyFill="1" applyBorder="1"/>
    <xf numFmtId="0" fontId="54" fillId="11" borderId="115" xfId="0" applyFont="1" applyFill="1" applyBorder="1"/>
    <xf numFmtId="0" fontId="52" fillId="11" borderId="115" xfId="0" applyFont="1" applyFill="1" applyBorder="1"/>
    <xf numFmtId="10" fontId="0" fillId="0" borderId="112" xfId="0" applyNumberFormat="1" applyBorder="1" applyAlignment="1">
      <alignment horizontal="center" vertical="center"/>
    </xf>
    <xf numFmtId="10" fontId="0" fillId="0" borderId="116" xfId="0" applyNumberFormat="1" applyBorder="1" applyAlignment="1">
      <alignment horizontal="center" vertical="center"/>
    </xf>
    <xf numFmtId="10" fontId="0" fillId="0" borderId="117" xfId="0" applyNumberFormat="1" applyBorder="1" applyAlignment="1">
      <alignment horizontal="center" vertical="center"/>
    </xf>
    <xf numFmtId="10" fontId="0" fillId="0" borderId="118" xfId="0" applyNumberFormat="1" applyBorder="1" applyAlignment="1">
      <alignment horizontal="center" vertical="center"/>
    </xf>
    <xf numFmtId="0" fontId="54" fillId="0" borderId="119" xfId="0" applyFont="1" applyBorder="1" applyAlignment="1">
      <alignment horizontal="center" vertical="center"/>
    </xf>
    <xf numFmtId="0" fontId="54" fillId="0" borderId="120" xfId="0" applyFont="1" applyBorder="1" applyAlignment="1">
      <alignment horizontal="center" vertical="center"/>
    </xf>
    <xf numFmtId="0" fontId="26" fillId="4" borderId="8" xfId="25" applyFont="1" applyFill="1" applyBorder="1" applyAlignment="1">
      <alignment horizontal="center"/>
    </xf>
    <xf numFmtId="0" fontId="52" fillId="7" borderId="0" xfId="0" applyFont="1" applyFill="1"/>
    <xf numFmtId="0" fontId="56" fillId="41" borderId="0" xfId="0" applyFont="1" applyFill="1"/>
    <xf numFmtId="0" fontId="8" fillId="36" borderId="27" xfId="0" applyFont="1" applyFill="1" applyBorder="1"/>
    <xf numFmtId="0" fontId="54" fillId="0" borderId="125" xfId="0" applyFont="1" applyBorder="1" applyAlignment="1">
      <alignment horizontal="center"/>
    </xf>
    <xf numFmtId="0" fontId="52" fillId="11" borderId="126" xfId="0" applyFont="1" applyFill="1" applyBorder="1" applyAlignment="1">
      <alignment horizontal="center"/>
    </xf>
    <xf numFmtId="0" fontId="8" fillId="38" borderId="126" xfId="0" applyFont="1" applyFill="1" applyBorder="1"/>
    <xf numFmtId="0" fontId="8" fillId="38" borderId="0" xfId="0" applyFont="1" applyFill="1"/>
    <xf numFmtId="0" fontId="13" fillId="40" borderId="27" xfId="0" quotePrefix="1" applyFont="1" applyFill="1" applyBorder="1"/>
    <xf numFmtId="0" fontId="13" fillId="40" borderId="0" xfId="0" quotePrefix="1" applyFont="1" applyFill="1"/>
    <xf numFmtId="0" fontId="52" fillId="38" borderId="0" xfId="0" applyFont="1" applyFill="1"/>
    <xf numFmtId="0" fontId="13" fillId="0" borderId="141" xfId="0" applyFont="1" applyBorder="1" applyAlignment="1">
      <alignment horizontal="center"/>
    </xf>
    <xf numFmtId="0" fontId="13" fillId="0" borderId="36" xfId="0" applyFont="1" applyBorder="1" applyAlignment="1">
      <alignment horizontal="center"/>
    </xf>
    <xf numFmtId="0" fontId="13" fillId="0" borderId="142" xfId="0" applyFont="1" applyBorder="1" applyAlignment="1">
      <alignment horizontal="center"/>
    </xf>
    <xf numFmtId="0" fontId="13" fillId="0" borderId="133" xfId="0" applyFont="1" applyBorder="1" applyAlignment="1">
      <alignment horizontal="center"/>
    </xf>
    <xf numFmtId="0" fontId="8" fillId="38" borderId="110" xfId="0" applyFont="1" applyFill="1" applyBorder="1"/>
    <xf numFmtId="3" fontId="22" fillId="0" borderId="0" xfId="0" applyNumberFormat="1" applyFont="1" applyAlignment="1">
      <alignment horizontal="center" vertical="center"/>
    </xf>
    <xf numFmtId="3" fontId="33" fillId="18" borderId="0" xfId="0" applyNumberFormat="1" applyFont="1" applyFill="1" applyAlignment="1">
      <alignment horizontal="center" vertical="center"/>
    </xf>
    <xf numFmtId="167" fontId="31" fillId="42" borderId="136" xfId="29" applyNumberFormat="1" applyFont="1" applyFill="1" applyBorder="1" applyAlignment="1">
      <alignment horizontal="center" vertical="center"/>
    </xf>
    <xf numFmtId="3" fontId="57" fillId="39" borderId="40" xfId="0" applyNumberFormat="1" applyFont="1" applyFill="1" applyBorder="1" applyAlignment="1">
      <alignment horizontal="center" vertical="center"/>
    </xf>
    <xf numFmtId="9" fontId="0" fillId="0" borderId="79" xfId="0" applyNumberFormat="1" applyBorder="1" applyAlignment="1">
      <alignment horizontal="center"/>
    </xf>
    <xf numFmtId="9" fontId="13" fillId="0" borderId="58" xfId="0" applyNumberFormat="1" applyFont="1" applyBorder="1" applyAlignment="1">
      <alignment horizontal="center"/>
    </xf>
    <xf numFmtId="9" fontId="13" fillId="0" borderId="59" xfId="0" applyNumberFormat="1" applyFont="1" applyBorder="1" applyAlignment="1">
      <alignment horizontal="center"/>
    </xf>
    <xf numFmtId="9" fontId="8" fillId="0" borderId="63" xfId="0" applyNumberFormat="1" applyFont="1" applyBorder="1" applyAlignment="1">
      <alignment horizontal="center"/>
    </xf>
    <xf numFmtId="9" fontId="8" fillId="0" borderId="68" xfId="0" applyNumberFormat="1" applyFont="1" applyBorder="1" applyAlignment="1">
      <alignment horizontal="center"/>
    </xf>
    <xf numFmtId="9" fontId="8" fillId="0" borderId="71" xfId="0" applyNumberFormat="1" applyFont="1" applyBorder="1" applyAlignment="1">
      <alignment horizontal="center"/>
    </xf>
    <xf numFmtId="3" fontId="0" fillId="0" borderId="0" xfId="0" applyNumberFormat="1"/>
    <xf numFmtId="10" fontId="0" fillId="0" borderId="0" xfId="0" applyNumberFormat="1"/>
    <xf numFmtId="4" fontId="30" fillId="11" borderId="98" xfId="7" applyFont="1" applyFill="1" applyBorder="1" applyAlignment="1">
      <alignment horizontal="right" vertical="center"/>
    </xf>
    <xf numFmtId="4" fontId="8" fillId="0" borderId="0" xfId="7" applyFont="1" applyFill="1" applyBorder="1">
      <alignment horizontal="right"/>
    </xf>
    <xf numFmtId="4" fontId="30" fillId="0" borderId="0" xfId="7" applyFont="1" applyFill="1" applyBorder="1">
      <alignment horizontal="right"/>
    </xf>
    <xf numFmtId="4" fontId="30" fillId="8" borderId="98" xfId="7" applyFont="1" applyFill="1" applyBorder="1" applyAlignment="1">
      <alignment horizontal="right" vertical="center"/>
    </xf>
    <xf numFmtId="4" fontId="30" fillId="27" borderId="98" xfId="7" applyFont="1" applyFill="1" applyBorder="1" applyAlignment="1">
      <alignment horizontal="right" vertical="center"/>
    </xf>
    <xf numFmtId="4" fontId="24" fillId="11" borderId="98" xfId="7" applyFont="1" applyFill="1" applyBorder="1" applyAlignment="1">
      <alignment horizontal="right" vertical="center"/>
    </xf>
    <xf numFmtId="4" fontId="24" fillId="27" borderId="98" xfId="7" applyFont="1" applyFill="1" applyBorder="1" applyAlignment="1">
      <alignment horizontal="right" vertical="center"/>
    </xf>
    <xf numFmtId="1" fontId="52" fillId="39" borderId="33" xfId="0" applyNumberFormat="1" applyFont="1" applyFill="1" applyBorder="1" applyAlignment="1">
      <alignment horizontal="center" vertical="center"/>
    </xf>
    <xf numFmtId="4" fontId="5" fillId="0" borderId="40" xfId="28" applyNumberFormat="1" applyBorder="1" applyAlignment="1">
      <alignment horizontal="center"/>
    </xf>
    <xf numFmtId="0" fontId="25" fillId="0" borderId="0" xfId="0" applyFont="1" applyAlignment="1">
      <alignment horizontal="center"/>
    </xf>
    <xf numFmtId="0" fontId="64" fillId="0" borderId="0" xfId="0" applyFont="1"/>
    <xf numFmtId="0" fontId="0" fillId="0" borderId="40" xfId="0" applyBorder="1"/>
    <xf numFmtId="0" fontId="63" fillId="0" borderId="0" xfId="0" applyFont="1"/>
    <xf numFmtId="3" fontId="52" fillId="0" borderId="33" xfId="0" applyNumberFormat="1" applyFont="1" applyBorder="1" applyAlignment="1">
      <alignment horizontal="center" vertical="center"/>
    </xf>
    <xf numFmtId="0" fontId="52" fillId="0" borderId="33" xfId="0" applyFont="1" applyBorder="1" applyAlignment="1">
      <alignment horizontal="center" vertical="center"/>
    </xf>
    <xf numFmtId="167" fontId="31" fillId="37" borderId="40" xfId="15" applyNumberFormat="1" applyFont="1" applyFill="1" applyBorder="1" applyAlignment="1">
      <alignment horizontal="center" vertical="center"/>
    </xf>
    <xf numFmtId="3" fontId="60" fillId="0" borderId="40" xfId="0" applyNumberFormat="1" applyFont="1" applyBorder="1" applyAlignment="1">
      <alignment horizontal="center" vertical="center"/>
    </xf>
    <xf numFmtId="167" fontId="31" fillId="42" borderId="151" xfId="29" applyNumberFormat="1" applyFont="1" applyFill="1" applyBorder="1" applyAlignment="1">
      <alignment horizontal="center" vertical="center"/>
    </xf>
    <xf numFmtId="3" fontId="4" fillId="42" borderId="38" xfId="29" applyNumberFormat="1" applyFill="1" applyBorder="1" applyAlignment="1">
      <alignment horizontal="center" vertical="center"/>
    </xf>
    <xf numFmtId="167" fontId="31" fillId="37" borderId="38" xfId="15" applyNumberFormat="1" applyFont="1" applyFill="1" applyBorder="1" applyAlignment="1">
      <alignment horizontal="center" vertical="center"/>
    </xf>
    <xf numFmtId="3" fontId="60" fillId="0" borderId="38" xfId="0" applyNumberFormat="1" applyFont="1" applyBorder="1" applyAlignment="1">
      <alignment horizontal="center" vertical="center"/>
    </xf>
    <xf numFmtId="1" fontId="52" fillId="0" borderId="40" xfId="0" applyNumberFormat="1" applyFont="1" applyBorder="1" applyAlignment="1">
      <alignment horizontal="center" vertical="center"/>
    </xf>
    <xf numFmtId="1" fontId="57" fillId="0" borderId="40" xfId="0" applyNumberFormat="1" applyFont="1" applyBorder="1" applyAlignment="1">
      <alignment horizontal="center" vertical="center"/>
    </xf>
    <xf numFmtId="1" fontId="52" fillId="0" borderId="138" xfId="0" applyNumberFormat="1" applyFont="1" applyBorder="1" applyAlignment="1">
      <alignment horizontal="center" vertical="center"/>
    </xf>
    <xf numFmtId="1" fontId="52" fillId="0" borderId="129" xfId="0" applyNumberFormat="1" applyFont="1" applyBorder="1" applyAlignment="1">
      <alignment horizontal="center" vertical="center"/>
    </xf>
    <xf numFmtId="1" fontId="57" fillId="0" borderId="138" xfId="0" applyNumberFormat="1" applyFont="1" applyBorder="1" applyAlignment="1">
      <alignment horizontal="center" vertical="center"/>
    </xf>
    <xf numFmtId="1" fontId="60" fillId="37" borderId="139" xfId="0" applyNumberFormat="1" applyFont="1" applyFill="1" applyBorder="1" applyAlignment="1">
      <alignment horizontal="center" vertical="center"/>
    </xf>
    <xf numFmtId="1" fontId="60" fillId="37" borderId="149" xfId="0" applyNumberFormat="1" applyFont="1" applyFill="1" applyBorder="1" applyAlignment="1">
      <alignment horizontal="center" vertical="center"/>
    </xf>
    <xf numFmtId="1" fontId="60" fillId="37" borderId="150" xfId="0" applyNumberFormat="1" applyFont="1" applyFill="1" applyBorder="1" applyAlignment="1">
      <alignment horizontal="center" vertical="center"/>
    </xf>
    <xf numFmtId="167" fontId="8" fillId="0" borderId="135" xfId="15" applyNumberFormat="1" applyFont="1" applyFill="1" applyBorder="1" applyAlignment="1">
      <alignment horizontal="center" vertical="center"/>
    </xf>
    <xf numFmtId="167" fontId="8" fillId="0" borderId="136" xfId="15" applyNumberFormat="1" applyFont="1" applyFill="1" applyBorder="1" applyAlignment="1">
      <alignment horizontal="center" vertical="center"/>
    </xf>
    <xf numFmtId="167" fontId="0" fillId="0" borderId="137" xfId="15" applyNumberFormat="1" applyFont="1" applyFill="1" applyBorder="1" applyAlignment="1">
      <alignment horizontal="center" vertical="center"/>
    </xf>
    <xf numFmtId="167" fontId="31" fillId="0" borderId="138" xfId="15" applyNumberFormat="1" applyFont="1" applyFill="1" applyBorder="1" applyAlignment="1">
      <alignment horizontal="center" vertical="center"/>
    </xf>
    <xf numFmtId="167" fontId="31" fillId="0" borderId="40" xfId="15" applyNumberFormat="1" applyFont="1" applyFill="1" applyBorder="1" applyAlignment="1">
      <alignment horizontal="center" vertical="center"/>
    </xf>
    <xf numFmtId="167" fontId="31" fillId="0" borderId="129" xfId="15" applyNumberFormat="1" applyFont="1" applyFill="1" applyBorder="1" applyAlignment="1">
      <alignment horizontal="center" vertical="center"/>
    </xf>
    <xf numFmtId="1" fontId="60" fillId="0" borderId="138" xfId="0" applyNumberFormat="1" applyFont="1" applyBorder="1" applyAlignment="1">
      <alignment horizontal="center" vertical="center"/>
    </xf>
    <xf numFmtId="1" fontId="60" fillId="0" borderId="40" xfId="0" applyNumberFormat="1" applyFont="1" applyBorder="1" applyAlignment="1">
      <alignment horizontal="center" vertical="center"/>
    </xf>
    <xf numFmtId="1" fontId="60" fillId="0" borderId="129" xfId="0" applyNumberFormat="1" applyFont="1" applyBorder="1" applyAlignment="1">
      <alignment horizontal="center" vertical="center"/>
    </xf>
    <xf numFmtId="1" fontId="57" fillId="40" borderId="40" xfId="0" applyNumberFormat="1" applyFont="1" applyFill="1" applyBorder="1" applyAlignment="1">
      <alignment horizontal="center" vertical="center"/>
    </xf>
    <xf numFmtId="1" fontId="57" fillId="40" borderId="138" xfId="0" applyNumberFormat="1" applyFont="1" applyFill="1" applyBorder="1" applyAlignment="1">
      <alignment horizontal="center" vertical="center"/>
    </xf>
    <xf numFmtId="1" fontId="52" fillId="39" borderId="40" xfId="0" applyNumberFormat="1" applyFont="1" applyFill="1" applyBorder="1" applyAlignment="1">
      <alignment horizontal="center" vertical="center"/>
    </xf>
    <xf numFmtId="1" fontId="52" fillId="39" borderId="135" xfId="0" applyNumberFormat="1" applyFont="1" applyFill="1" applyBorder="1" applyAlignment="1">
      <alignment horizontal="center" vertical="center"/>
    </xf>
    <xf numFmtId="1" fontId="52" fillId="39" borderId="136" xfId="0" applyNumberFormat="1" applyFont="1" applyFill="1" applyBorder="1" applyAlignment="1">
      <alignment horizontal="center" vertical="center"/>
    </xf>
    <xf numFmtId="1" fontId="52" fillId="39" borderId="138" xfId="0" applyNumberFormat="1" applyFont="1" applyFill="1" applyBorder="1" applyAlignment="1">
      <alignment horizontal="center" vertical="center"/>
    </xf>
    <xf numFmtId="1" fontId="52" fillId="39" borderId="151" xfId="0" applyNumberFormat="1" applyFont="1" applyFill="1" applyBorder="1" applyAlignment="1">
      <alignment horizontal="center" vertical="center"/>
    </xf>
    <xf numFmtId="1" fontId="52" fillId="39" borderId="38" xfId="0" applyNumberFormat="1" applyFont="1" applyFill="1" applyBorder="1" applyAlignment="1">
      <alignment horizontal="center" vertical="center"/>
    </xf>
    <xf numFmtId="1" fontId="52" fillId="39" borderId="152" xfId="0" applyNumberFormat="1" applyFont="1" applyFill="1" applyBorder="1" applyAlignment="1">
      <alignment horizontal="center" vertical="center"/>
    </xf>
    <xf numFmtId="1" fontId="0" fillId="0" borderId="40" xfId="0" applyNumberFormat="1" applyBorder="1" applyAlignment="1">
      <alignment horizontal="center" vertical="center"/>
    </xf>
    <xf numFmtId="1" fontId="0" fillId="0" borderId="135" xfId="0" applyNumberFormat="1" applyBorder="1" applyAlignment="1">
      <alignment horizontal="center" vertical="center"/>
    </xf>
    <xf numFmtId="1" fontId="0" fillId="0" borderId="136" xfId="0" applyNumberFormat="1" applyBorder="1" applyAlignment="1">
      <alignment horizontal="center" vertical="center"/>
    </xf>
    <xf numFmtId="1" fontId="0" fillId="0" borderId="137" xfId="0" applyNumberFormat="1" applyBorder="1" applyAlignment="1">
      <alignment horizontal="center" vertical="center"/>
    </xf>
    <xf numFmtId="1" fontId="0" fillId="0" borderId="138" xfId="0" applyNumberFormat="1" applyBorder="1" applyAlignment="1">
      <alignment horizontal="center" vertical="center"/>
    </xf>
    <xf numFmtId="1" fontId="0" fillId="0" borderId="129" xfId="0" applyNumberFormat="1" applyBorder="1" applyAlignment="1">
      <alignment horizontal="center" vertical="center"/>
    </xf>
    <xf numFmtId="1" fontId="52" fillId="39" borderId="127" xfId="0" applyNumberFormat="1" applyFont="1" applyFill="1" applyBorder="1" applyAlignment="1">
      <alignment horizontal="center" vertical="center"/>
    </xf>
    <xf numFmtId="1" fontId="52" fillId="39" borderId="128" xfId="0" applyNumberFormat="1" applyFont="1" applyFill="1" applyBorder="1" applyAlignment="1">
      <alignment horizontal="center" vertical="center"/>
    </xf>
    <xf numFmtId="1" fontId="52" fillId="39" borderId="130" xfId="0" applyNumberFormat="1" applyFont="1" applyFill="1" applyBorder="1" applyAlignment="1">
      <alignment horizontal="center" vertical="center"/>
    </xf>
    <xf numFmtId="1" fontId="52" fillId="39" borderId="131" xfId="0" applyNumberFormat="1" applyFont="1" applyFill="1" applyBorder="1" applyAlignment="1">
      <alignment horizontal="center" vertical="center"/>
    </xf>
    <xf numFmtId="1" fontId="52" fillId="39" borderId="132" xfId="0" applyNumberFormat="1" applyFont="1" applyFill="1" applyBorder="1" applyAlignment="1">
      <alignment horizontal="center" vertical="center"/>
    </xf>
    <xf numFmtId="4" fontId="5" fillId="0" borderId="138" xfId="28" applyNumberFormat="1" applyBorder="1" applyAlignment="1">
      <alignment horizontal="center"/>
    </xf>
    <xf numFmtId="4" fontId="5" fillId="0" borderId="129" xfId="28" applyNumberFormat="1" applyBorder="1" applyAlignment="1">
      <alignment horizontal="center"/>
    </xf>
    <xf numFmtId="9" fontId="0" fillId="0" borderId="0" xfId="15" applyFont="1" applyBorder="1" applyAlignment="1">
      <alignment horizontal="left"/>
    </xf>
    <xf numFmtId="3" fontId="57" fillId="0" borderId="40" xfId="0" applyNumberFormat="1" applyFont="1" applyBorder="1" applyAlignment="1">
      <alignment horizontal="center" vertical="center"/>
    </xf>
    <xf numFmtId="2" fontId="8" fillId="23" borderId="17" xfId="0" applyNumberFormat="1" applyFont="1" applyFill="1" applyBorder="1" applyAlignment="1">
      <alignment horizontal="center"/>
    </xf>
    <xf numFmtId="0" fontId="22" fillId="0" borderId="0" xfId="0" applyFont="1" applyAlignment="1">
      <alignment horizontal="center" vertical="center"/>
    </xf>
    <xf numFmtId="3" fontId="34" fillId="18" borderId="0" xfId="0" applyNumberFormat="1" applyFont="1" applyFill="1" applyAlignment="1">
      <alignment horizontal="center" vertical="center"/>
    </xf>
    <xf numFmtId="3" fontId="33" fillId="0" borderId="0" xfId="0" applyNumberFormat="1" applyFont="1" applyAlignment="1">
      <alignment horizontal="center" vertical="center"/>
    </xf>
    <xf numFmtId="169" fontId="22" fillId="0" borderId="0" xfId="0" applyNumberFormat="1" applyFont="1" applyAlignment="1">
      <alignment horizontal="center" vertical="center"/>
    </xf>
    <xf numFmtId="4" fontId="33" fillId="18" borderId="0" xfId="0" applyNumberFormat="1" applyFont="1" applyFill="1" applyAlignment="1">
      <alignment horizontal="center" vertical="center"/>
    </xf>
    <xf numFmtId="0" fontId="0" fillId="0" borderId="0" xfId="0" applyAlignment="1">
      <alignment horizontal="center" vertical="center"/>
    </xf>
    <xf numFmtId="0" fontId="25" fillId="0" borderId="0" xfId="0" applyFont="1" applyAlignment="1">
      <alignment horizontal="center" vertical="center"/>
    </xf>
    <xf numFmtId="0" fontId="8" fillId="7" borderId="17" xfId="0" applyFont="1" applyFill="1" applyBorder="1" applyAlignment="1">
      <alignment horizontal="center" vertical="center" wrapText="1"/>
    </xf>
    <xf numFmtId="0" fontId="32" fillId="7" borderId="17" xfId="0" applyFont="1" applyFill="1" applyBorder="1" applyAlignment="1">
      <alignment horizontal="center" vertical="center" wrapText="1"/>
    </xf>
    <xf numFmtId="172" fontId="0" fillId="0" borderId="83" xfId="0" applyNumberFormat="1" applyBorder="1" applyAlignment="1">
      <alignment horizontal="center" wrapText="1"/>
    </xf>
    <xf numFmtId="0" fontId="45" fillId="8" borderId="58" xfId="0" applyFont="1" applyFill="1" applyBorder="1" applyAlignment="1">
      <alignment horizontal="center" vertical="center" wrapText="1"/>
    </xf>
    <xf numFmtId="0" fontId="45" fillId="9" borderId="59" xfId="0" applyFont="1" applyFill="1" applyBorder="1" applyAlignment="1">
      <alignment horizontal="center" vertical="center" wrapText="1"/>
    </xf>
    <xf numFmtId="0" fontId="45" fillId="10" borderId="59" xfId="0" applyFont="1" applyFill="1" applyBorder="1" applyAlignment="1">
      <alignment horizontal="center" vertical="center" wrapText="1"/>
    </xf>
    <xf numFmtId="0" fontId="45" fillId="14" borderId="59" xfId="0" applyFont="1" applyFill="1" applyBorder="1" applyAlignment="1">
      <alignment horizontal="center" vertical="center" wrapText="1"/>
    </xf>
    <xf numFmtId="0" fontId="45" fillId="22" borderId="84" xfId="0" applyFont="1" applyFill="1" applyBorder="1" applyAlignment="1">
      <alignment horizontal="center" vertical="center" wrapText="1"/>
    </xf>
    <xf numFmtId="0" fontId="45" fillId="15" borderId="59" xfId="0" applyFont="1" applyFill="1" applyBorder="1" applyAlignment="1">
      <alignment horizontal="center" vertical="center" wrapText="1"/>
    </xf>
    <xf numFmtId="0" fontId="45" fillId="9" borderId="52" xfId="0" applyFont="1" applyFill="1" applyBorder="1" applyAlignment="1">
      <alignment horizontal="center" vertical="center" wrapText="1"/>
    </xf>
    <xf numFmtId="0" fontId="45" fillId="10" borderId="52" xfId="0" applyFont="1" applyFill="1" applyBorder="1" applyAlignment="1">
      <alignment horizontal="center" vertical="center" wrapText="1"/>
    </xf>
    <xf numFmtId="0" fontId="45" fillId="14" borderId="52" xfId="0" applyFont="1" applyFill="1" applyBorder="1" applyAlignment="1">
      <alignment horizontal="center" vertical="center" wrapText="1"/>
    </xf>
    <xf numFmtId="0" fontId="45" fillId="22" borderId="52" xfId="0" applyFont="1" applyFill="1" applyBorder="1" applyAlignment="1">
      <alignment horizontal="center" vertical="center" wrapText="1"/>
    </xf>
    <xf numFmtId="0" fontId="45" fillId="15" borderId="52" xfId="0" applyFont="1" applyFill="1" applyBorder="1" applyAlignment="1">
      <alignment horizontal="center" vertical="center" wrapText="1"/>
    </xf>
    <xf numFmtId="0" fontId="54" fillId="0" borderId="0" xfId="0" applyFont="1" applyAlignment="1">
      <alignment horizontal="center" vertical="center"/>
    </xf>
    <xf numFmtId="2" fontId="8" fillId="23" borderId="46" xfId="0" applyNumberFormat="1" applyFont="1" applyFill="1" applyBorder="1" applyAlignment="1">
      <alignment horizontal="center"/>
    </xf>
    <xf numFmtId="2" fontId="31" fillId="23" borderId="46" xfId="15" applyNumberFormat="1" applyFont="1" applyFill="1" applyBorder="1" applyAlignment="1">
      <alignment horizontal="center"/>
    </xf>
    <xf numFmtId="0" fontId="8" fillId="6" borderId="153" xfId="0" applyFont="1" applyFill="1" applyBorder="1"/>
    <xf numFmtId="0" fontId="26" fillId="31" borderId="49" xfId="0" applyFont="1" applyFill="1" applyBorder="1" applyAlignment="1">
      <alignment horizontal="center"/>
    </xf>
    <xf numFmtId="0" fontId="13" fillId="0" borderId="49" xfId="0" applyFont="1" applyBorder="1" applyAlignment="1">
      <alignment horizontal="center"/>
    </xf>
    <xf numFmtId="166" fontId="13" fillId="23" borderId="18" xfId="0" applyNumberFormat="1" applyFont="1" applyFill="1" applyBorder="1" applyAlignment="1">
      <alignment horizontal="center"/>
    </xf>
    <xf numFmtId="2" fontId="31" fillId="23" borderId="49" xfId="15" applyNumberFormat="1" applyFont="1" applyFill="1" applyBorder="1" applyAlignment="1">
      <alignment horizontal="center"/>
    </xf>
    <xf numFmtId="10" fontId="62" fillId="7" borderId="49" xfId="0" applyNumberFormat="1" applyFont="1" applyFill="1" applyBorder="1" applyAlignment="1">
      <alignment horizontal="center"/>
    </xf>
    <xf numFmtId="0" fontId="8" fillId="0" borderId="0" xfId="0" applyFont="1" applyAlignment="1">
      <alignment horizontal="center"/>
    </xf>
    <xf numFmtId="10" fontId="8" fillId="0" borderId="108" xfId="0" applyNumberFormat="1" applyFont="1" applyBorder="1" applyAlignment="1">
      <alignment horizontal="center" vertical="center"/>
    </xf>
    <xf numFmtId="10" fontId="8" fillId="0" borderId="5" xfId="0" applyNumberFormat="1" applyFont="1" applyBorder="1" applyAlignment="1">
      <alignment horizontal="center" vertical="center"/>
    </xf>
    <xf numFmtId="1" fontId="57" fillId="39" borderId="139" xfId="0" applyNumberFormat="1" applyFont="1" applyFill="1" applyBorder="1" applyAlignment="1">
      <alignment horizontal="center" vertical="center"/>
    </xf>
    <xf numFmtId="1" fontId="57" fillId="39" borderId="149" xfId="0" applyNumberFormat="1" applyFont="1" applyFill="1" applyBorder="1" applyAlignment="1">
      <alignment horizontal="center" vertical="center"/>
    </xf>
    <xf numFmtId="0" fontId="0" fillId="0" borderId="40" xfId="0" applyBorder="1" applyAlignment="1">
      <alignment horizontal="center"/>
    </xf>
    <xf numFmtId="166" fontId="0" fillId="0" borderId="40" xfId="0" applyNumberFormat="1" applyBorder="1" applyAlignment="1">
      <alignment horizontal="center"/>
    </xf>
    <xf numFmtId="167" fontId="63" fillId="0" borderId="40" xfId="15" applyNumberFormat="1" applyFont="1" applyBorder="1" applyAlignment="1">
      <alignment horizontal="center"/>
    </xf>
    <xf numFmtId="0" fontId="63" fillId="0" borderId="40" xfId="0" applyFont="1" applyBorder="1"/>
    <xf numFmtId="165" fontId="63" fillId="0" borderId="40" xfId="0" applyNumberFormat="1" applyFont="1" applyBorder="1" applyAlignment="1">
      <alignment horizontal="center"/>
    </xf>
    <xf numFmtId="9" fontId="0" fillId="0" borderId="0" xfId="15" applyFont="1" applyAlignment="1">
      <alignment horizontal="left"/>
    </xf>
    <xf numFmtId="0" fontId="52" fillId="0" borderId="154" xfId="0" applyFont="1" applyBorder="1"/>
    <xf numFmtId="0" fontId="52" fillId="0" borderId="30" xfId="0" applyFont="1" applyBorder="1"/>
    <xf numFmtId="3" fontId="67" fillId="0" borderId="138" xfId="0" quotePrefix="1" applyNumberFormat="1" applyFont="1" applyBorder="1" applyAlignment="1">
      <alignment horizontal="center" vertical="center"/>
    </xf>
    <xf numFmtId="3" fontId="67" fillId="0" borderId="40" xfId="0" quotePrefix="1" applyNumberFormat="1" applyFont="1" applyBorder="1" applyAlignment="1">
      <alignment horizontal="center" vertical="center"/>
    </xf>
    <xf numFmtId="3" fontId="67" fillId="0" borderId="129" xfId="0" quotePrefix="1" applyNumberFormat="1" applyFont="1" applyBorder="1" applyAlignment="1">
      <alignment horizontal="center" vertical="center"/>
    </xf>
    <xf numFmtId="0" fontId="52" fillId="39" borderId="127" xfId="0" applyFont="1" applyFill="1" applyBorder="1" applyAlignment="1">
      <alignment horizontal="center" vertical="center"/>
    </xf>
    <xf numFmtId="0" fontId="52" fillId="39" borderId="2" xfId="0" applyFont="1" applyFill="1" applyBorder="1" applyAlignment="1">
      <alignment horizontal="center" vertical="center"/>
    </xf>
    <xf numFmtId="1" fontId="52" fillId="39" borderId="106" xfId="0" applyNumberFormat="1" applyFont="1" applyFill="1" applyBorder="1" applyAlignment="1">
      <alignment horizontal="center" vertical="center"/>
    </xf>
    <xf numFmtId="1" fontId="52" fillId="39" borderId="156" xfId="0" applyNumberFormat="1" applyFont="1" applyFill="1" applyBorder="1" applyAlignment="1">
      <alignment horizontal="center" vertical="center"/>
    </xf>
    <xf numFmtId="3" fontId="58" fillId="11" borderId="0" xfId="0" applyNumberFormat="1" applyFont="1" applyFill="1" applyAlignment="1">
      <alignment horizontal="center" vertical="center"/>
    </xf>
    <xf numFmtId="3" fontId="58" fillId="11" borderId="158" xfId="0" applyNumberFormat="1" applyFont="1" applyFill="1" applyBorder="1" applyAlignment="1">
      <alignment horizontal="center" vertical="center"/>
    </xf>
    <xf numFmtId="1" fontId="57" fillId="40" borderId="38" xfId="0" applyNumberFormat="1" applyFont="1" applyFill="1" applyBorder="1" applyAlignment="1">
      <alignment horizontal="center" vertical="center"/>
    </xf>
    <xf numFmtId="1" fontId="57" fillId="0" borderId="38" xfId="0" applyNumberFormat="1" applyFont="1" applyBorder="1" applyAlignment="1">
      <alignment horizontal="center" vertical="center"/>
    </xf>
    <xf numFmtId="0" fontId="0" fillId="36" borderId="27" xfId="0" applyFill="1" applyBorder="1"/>
    <xf numFmtId="0" fontId="63" fillId="0" borderId="0" xfId="28" applyFont="1" applyAlignment="1">
      <alignment horizontal="center" vertical="center"/>
    </xf>
    <xf numFmtId="0" fontId="5" fillId="0" borderId="0" xfId="28"/>
    <xf numFmtId="0" fontId="5" fillId="0" borderId="31" xfId="28" applyBorder="1"/>
    <xf numFmtId="0" fontId="52" fillId="0" borderId="159" xfId="0" applyFont="1" applyBorder="1"/>
    <xf numFmtId="0" fontId="54" fillId="0" borderId="104" xfId="0" applyFont="1" applyBorder="1" applyAlignment="1">
      <alignment horizontal="center" vertical="center"/>
    </xf>
    <xf numFmtId="0" fontId="54" fillId="0" borderId="105" xfId="0" applyFont="1" applyBorder="1" applyAlignment="1">
      <alignment horizontal="center" vertical="center"/>
    </xf>
    <xf numFmtId="0" fontId="52" fillId="0" borderId="160" xfId="0" applyFont="1" applyBorder="1"/>
    <xf numFmtId="0" fontId="52" fillId="0" borderId="103" xfId="0" applyFont="1" applyBorder="1" applyAlignment="1">
      <alignment horizontal="center" vertical="center"/>
    </xf>
    <xf numFmtId="0" fontId="52" fillId="0" borderId="161" xfId="0" applyFont="1" applyBorder="1"/>
    <xf numFmtId="10" fontId="0" fillId="0" borderId="0" xfId="0" applyNumberFormat="1" applyAlignment="1">
      <alignment horizontal="center" vertical="center"/>
    </xf>
    <xf numFmtId="0" fontId="52" fillId="0" borderId="103" xfId="0" applyFont="1" applyBorder="1"/>
    <xf numFmtId="9" fontId="22" fillId="0" borderId="0" xfId="15" applyFont="1" applyAlignment="1">
      <alignment horizontal="center" vertical="center"/>
    </xf>
    <xf numFmtId="1" fontId="57" fillId="40" borderId="127" xfId="0" applyNumberFormat="1" applyFont="1" applyFill="1" applyBorder="1" applyAlignment="1">
      <alignment horizontal="center" vertical="center"/>
    </xf>
    <xf numFmtId="1" fontId="57" fillId="40" borderId="2" xfId="0" applyNumberFormat="1" applyFont="1" applyFill="1" applyBorder="1" applyAlignment="1">
      <alignment horizontal="center" vertical="center"/>
    </xf>
    <xf numFmtId="1" fontId="57" fillId="40" borderId="32" xfId="0" applyNumberFormat="1" applyFont="1" applyFill="1" applyBorder="1" applyAlignment="1">
      <alignment horizontal="center" vertical="center"/>
    </xf>
    <xf numFmtId="3" fontId="0" fillId="0" borderId="40" xfId="0" applyNumberFormat="1" applyBorder="1" applyAlignment="1">
      <alignment horizontal="center" vertical="center"/>
    </xf>
    <xf numFmtId="3" fontId="0" fillId="0" borderId="129" xfId="0" applyNumberFormat="1" applyBorder="1" applyAlignment="1">
      <alignment horizontal="center" vertical="center"/>
    </xf>
    <xf numFmtId="1" fontId="52" fillId="39" borderId="163" xfId="0" applyNumberFormat="1" applyFont="1" applyFill="1" applyBorder="1" applyAlignment="1">
      <alignment horizontal="center" vertical="center"/>
    </xf>
    <xf numFmtId="0" fontId="52" fillId="39" borderId="32" xfId="0" applyFont="1" applyFill="1" applyBorder="1" applyAlignment="1">
      <alignment horizontal="center" vertical="center"/>
    </xf>
    <xf numFmtId="1" fontId="0" fillId="0" borderId="164" xfId="0" applyNumberFormat="1" applyBorder="1" applyAlignment="1">
      <alignment horizontal="center" vertical="center"/>
    </xf>
    <xf numFmtId="1" fontId="0" fillId="0" borderId="39" xfId="0" applyNumberFormat="1" applyBorder="1" applyAlignment="1">
      <alignment horizontal="center" vertical="center"/>
    </xf>
    <xf numFmtId="3" fontId="67" fillId="0" borderId="138" xfId="0" applyNumberFormat="1" applyFont="1" applyBorder="1" applyAlignment="1">
      <alignment horizontal="center" vertical="center"/>
    </xf>
    <xf numFmtId="2" fontId="0" fillId="23" borderId="49" xfId="0" applyNumberFormat="1" applyFill="1" applyBorder="1" applyAlignment="1">
      <alignment horizontal="center"/>
    </xf>
    <xf numFmtId="166" fontId="0" fillId="23" borderId="18" xfId="0" applyNumberFormat="1" applyFill="1" applyBorder="1" applyAlignment="1">
      <alignment horizontal="center"/>
    </xf>
    <xf numFmtId="1" fontId="57" fillId="0" borderId="127" xfId="0" applyNumberFormat="1" applyFont="1" applyBorder="1" applyAlignment="1">
      <alignment horizontal="center" vertical="center"/>
    </xf>
    <xf numFmtId="1" fontId="57" fillId="0" borderId="2" xfId="0" applyNumberFormat="1" applyFont="1" applyBorder="1" applyAlignment="1">
      <alignment horizontal="center" vertical="center"/>
    </xf>
    <xf numFmtId="1" fontId="8" fillId="0" borderId="157" xfId="0" applyNumberFormat="1" applyFont="1" applyBorder="1" applyAlignment="1">
      <alignment horizontal="center" vertical="center"/>
    </xf>
    <xf numFmtId="10" fontId="68" fillId="34" borderId="98" xfId="25" applyNumberFormat="1" applyFont="1" applyFill="1" applyBorder="1"/>
    <xf numFmtId="173" fontId="8" fillId="0" borderId="98" xfId="25" applyNumberFormat="1" applyBorder="1"/>
    <xf numFmtId="167" fontId="52" fillId="0" borderId="0" xfId="15" applyNumberFormat="1" applyFont="1"/>
    <xf numFmtId="1" fontId="67" fillId="0" borderId="138" xfId="0" applyNumberFormat="1" applyFont="1" applyBorder="1" applyAlignment="1">
      <alignment horizontal="center" vertical="center"/>
    </xf>
    <xf numFmtId="1" fontId="67" fillId="0" borderId="40" xfId="0" quotePrefix="1" applyNumberFormat="1" applyFont="1" applyBorder="1" applyAlignment="1">
      <alignment horizontal="center" vertical="center"/>
    </xf>
    <xf numFmtId="1" fontId="67" fillId="0" borderId="129" xfId="0" quotePrefix="1" applyNumberFormat="1" applyFont="1" applyBorder="1" applyAlignment="1">
      <alignment horizontal="center" vertical="center"/>
    </xf>
    <xf numFmtId="1" fontId="24" fillId="0" borderId="138" xfId="0" applyNumberFormat="1" applyFont="1" applyBorder="1" applyAlignment="1">
      <alignment horizontal="center" vertical="center"/>
    </xf>
    <xf numFmtId="1" fontId="24" fillId="0" borderId="40" xfId="0" applyNumberFormat="1" applyFont="1" applyBorder="1" applyAlignment="1">
      <alignment horizontal="center" vertical="center"/>
    </xf>
    <xf numFmtId="1" fontId="24" fillId="0" borderId="129" xfId="0" applyNumberFormat="1" applyFont="1" applyBorder="1" applyAlignment="1">
      <alignment horizontal="center" vertical="center"/>
    </xf>
    <xf numFmtId="1" fontId="67" fillId="0" borderId="40" xfId="0" applyNumberFormat="1" applyFont="1" applyBorder="1" applyAlignment="1">
      <alignment horizontal="center" vertical="center"/>
    </xf>
    <xf numFmtId="1" fontId="67" fillId="0" borderId="129" xfId="0" applyNumberFormat="1" applyFont="1" applyBorder="1" applyAlignment="1">
      <alignment horizontal="center" vertical="center"/>
    </xf>
    <xf numFmtId="1" fontId="8" fillId="0" borderId="3" xfId="0" applyNumberFormat="1" applyFont="1" applyBorder="1" applyAlignment="1">
      <alignment horizontal="center" vertical="center"/>
    </xf>
    <xf numFmtId="1" fontId="8" fillId="0" borderId="29" xfId="0" applyNumberFormat="1" applyFont="1" applyBorder="1" applyAlignment="1">
      <alignment horizontal="center" vertical="center"/>
    </xf>
    <xf numFmtId="0" fontId="64" fillId="0" borderId="0" xfId="0" applyFont="1" applyAlignment="1">
      <alignment horizontal="center"/>
    </xf>
    <xf numFmtId="1" fontId="64" fillId="0" borderId="0" xfId="0" applyNumberFormat="1" applyFont="1" applyAlignment="1">
      <alignment horizontal="center"/>
    </xf>
    <xf numFmtId="1" fontId="69" fillId="0" borderId="0" xfId="0" applyNumberFormat="1" applyFont="1" applyAlignment="1">
      <alignment horizontal="left"/>
    </xf>
    <xf numFmtId="0" fontId="8" fillId="0" borderId="0" xfId="25" applyAlignment="1">
      <alignment vertical="center" wrapText="1"/>
    </xf>
    <xf numFmtId="3" fontId="50" fillId="33" borderId="100" xfId="5" applyFont="1" applyFill="1" applyBorder="1" applyAlignment="1">
      <alignment horizontal="right" vertical="center" wrapText="1"/>
    </xf>
    <xf numFmtId="4" fontId="8" fillId="33" borderId="100" xfId="7" applyFont="1" applyFill="1" applyBorder="1" applyAlignment="1">
      <alignment horizontal="right" vertical="center" wrapText="1"/>
    </xf>
    <xf numFmtId="4" fontId="30" fillId="0" borderId="98" xfId="7" applyFont="1" applyFill="1" applyBorder="1" applyAlignment="1">
      <alignment horizontal="right" vertical="center" wrapText="1"/>
    </xf>
    <xf numFmtId="0" fontId="8" fillId="0" borderId="98" xfId="9" applyFont="1" applyFill="1" applyBorder="1" applyAlignment="1">
      <alignment horizontal="right" vertical="center" wrapText="1"/>
    </xf>
    <xf numFmtId="0" fontId="8" fillId="0" borderId="0" xfId="25" applyAlignment="1">
      <alignment wrapText="1"/>
    </xf>
    <xf numFmtId="2" fontId="8" fillId="0" borderId="0" xfId="25" applyNumberFormat="1"/>
    <xf numFmtId="2" fontId="0" fillId="0" borderId="0" xfId="25" applyNumberFormat="1" applyFont="1"/>
    <xf numFmtId="0" fontId="57" fillId="0" borderId="0" xfId="0" applyFont="1"/>
    <xf numFmtId="0" fontId="57" fillId="0" borderId="0" xfId="0" applyFont="1" applyAlignment="1">
      <alignment horizontal="center"/>
    </xf>
    <xf numFmtId="166" fontId="25" fillId="0" borderId="0" xfId="0" applyNumberFormat="1" applyFont="1"/>
    <xf numFmtId="167" fontId="8" fillId="23" borderId="17" xfId="15" applyNumberFormat="1" applyFont="1" applyFill="1" applyBorder="1" applyAlignment="1">
      <alignment horizontal="center"/>
    </xf>
    <xf numFmtId="172" fontId="32" fillId="23" borderId="83" xfId="0" applyNumberFormat="1" applyFont="1" applyFill="1" applyBorder="1" applyAlignment="1">
      <alignment horizontal="center"/>
    </xf>
    <xf numFmtId="0" fontId="45" fillId="30" borderId="58" xfId="0" applyFont="1" applyFill="1" applyBorder="1" applyAlignment="1">
      <alignment horizontal="center" vertical="center"/>
    </xf>
    <xf numFmtId="4" fontId="24" fillId="8" borderId="98" xfId="7" applyFont="1" applyFill="1" applyBorder="1" applyAlignment="1">
      <alignment horizontal="right" vertical="center"/>
    </xf>
    <xf numFmtId="0" fontId="8" fillId="11" borderId="98" xfId="9" applyFont="1" applyFill="1" applyBorder="1" applyAlignment="1">
      <alignment horizontal="right" vertical="center"/>
    </xf>
    <xf numFmtId="0" fontId="45" fillId="4" borderId="125" xfId="0" applyFont="1" applyFill="1" applyBorder="1" applyAlignment="1">
      <alignment horizontal="center"/>
    </xf>
    <xf numFmtId="0" fontId="26" fillId="31" borderId="10" xfId="0" applyFont="1" applyFill="1" applyBorder="1" applyAlignment="1">
      <alignment horizontal="center"/>
    </xf>
    <xf numFmtId="0" fontId="45" fillId="4" borderId="110" xfId="0" applyFont="1" applyFill="1" applyBorder="1" applyAlignment="1">
      <alignment horizontal="center"/>
    </xf>
    <xf numFmtId="0" fontId="26" fillId="31" borderId="168" xfId="0" applyFont="1" applyFill="1" applyBorder="1" applyAlignment="1">
      <alignment horizontal="center"/>
    </xf>
    <xf numFmtId="0" fontId="13" fillId="16" borderId="86" xfId="0" applyFont="1" applyFill="1" applyBorder="1" applyAlignment="1">
      <alignment horizontal="left" vertical="center"/>
    </xf>
    <xf numFmtId="172" fontId="0" fillId="16" borderId="82" xfId="0" applyNumberFormat="1" applyFill="1" applyBorder="1" applyAlignment="1">
      <alignment horizontal="center"/>
    </xf>
    <xf numFmtId="0" fontId="13" fillId="16" borderId="87" xfId="0" applyFont="1" applyFill="1" applyBorder="1" applyAlignment="1">
      <alignment horizontal="left" vertical="center"/>
    </xf>
    <xf numFmtId="9" fontId="0" fillId="16" borderId="83" xfId="15" applyFont="1" applyFill="1" applyBorder="1" applyAlignment="1">
      <alignment horizontal="center"/>
    </xf>
    <xf numFmtId="9" fontId="8" fillId="16" borderId="82" xfId="15" applyFont="1" applyFill="1" applyBorder="1" applyAlignment="1">
      <alignment horizontal="center"/>
    </xf>
    <xf numFmtId="2" fontId="8" fillId="16" borderId="83" xfId="0" applyNumberFormat="1" applyFont="1" applyFill="1" applyBorder="1" applyAlignment="1">
      <alignment horizontal="center" vertical="center"/>
    </xf>
    <xf numFmtId="2" fontId="0" fillId="16" borderId="83" xfId="0" applyNumberFormat="1" applyFill="1" applyBorder="1" applyAlignment="1">
      <alignment horizontal="center"/>
    </xf>
    <xf numFmtId="0" fontId="13" fillId="16" borderId="85" xfId="0" applyFont="1" applyFill="1" applyBorder="1" applyAlignment="1">
      <alignment horizontal="left" vertical="center"/>
    </xf>
    <xf numFmtId="2" fontId="0" fillId="16" borderId="81" xfId="0" applyNumberFormat="1" applyFill="1" applyBorder="1" applyAlignment="1">
      <alignment horizontal="center"/>
    </xf>
    <xf numFmtId="2" fontId="8" fillId="16" borderId="83" xfId="0" applyNumberFormat="1" applyFont="1" applyFill="1" applyBorder="1" applyAlignment="1">
      <alignment horizontal="center"/>
    </xf>
    <xf numFmtId="168" fontId="0" fillId="16" borderId="83" xfId="0" applyNumberFormat="1" applyFill="1" applyBorder="1" applyAlignment="1">
      <alignment horizontal="center"/>
    </xf>
    <xf numFmtId="9" fontId="0" fillId="0" borderId="81" xfId="15" applyFont="1" applyFill="1" applyBorder="1" applyAlignment="1">
      <alignment horizontal="center"/>
    </xf>
    <xf numFmtId="0" fontId="13" fillId="0" borderId="87" xfId="0" applyFont="1" applyBorder="1" applyAlignment="1">
      <alignment horizontal="left" vertical="center"/>
    </xf>
    <xf numFmtId="9" fontId="0" fillId="0" borderId="83" xfId="15" applyFont="1" applyFill="1" applyBorder="1" applyAlignment="1">
      <alignment horizontal="center"/>
    </xf>
    <xf numFmtId="2" fontId="0" fillId="0" borderId="81" xfId="0" applyNumberFormat="1" applyBorder="1" applyAlignment="1">
      <alignment horizontal="center"/>
    </xf>
    <xf numFmtId="0" fontId="13" fillId="0" borderId="86" xfId="0" applyFont="1" applyBorder="1" applyAlignment="1">
      <alignment horizontal="left" vertical="center"/>
    </xf>
    <xf numFmtId="2" fontId="0" fillId="0" borderId="83" xfId="0" applyNumberFormat="1" applyBorder="1" applyAlignment="1">
      <alignment horizontal="center"/>
    </xf>
    <xf numFmtId="2" fontId="8" fillId="16" borderId="81" xfId="0" applyNumberFormat="1" applyFont="1" applyFill="1" applyBorder="1" applyAlignment="1">
      <alignment horizontal="center"/>
    </xf>
    <xf numFmtId="2" fontId="0" fillId="16" borderId="82" xfId="0" applyNumberFormat="1" applyFill="1" applyBorder="1" applyAlignment="1">
      <alignment horizontal="center"/>
    </xf>
    <xf numFmtId="0" fontId="14" fillId="16" borderId="87" xfId="0" applyFont="1" applyFill="1" applyBorder="1" applyAlignment="1">
      <alignment horizontal="left" vertical="center"/>
    </xf>
    <xf numFmtId="2" fontId="0" fillId="16" borderId="83" xfId="15" applyNumberFormat="1" applyFont="1" applyFill="1" applyBorder="1" applyAlignment="1">
      <alignment horizontal="center"/>
    </xf>
    <xf numFmtId="0" fontId="13" fillId="0" borderId="89" xfId="0" applyFont="1" applyBorder="1" applyAlignment="1">
      <alignment horizontal="left" vertical="center"/>
    </xf>
    <xf numFmtId="9" fontId="0" fillId="0" borderId="90" xfId="15" applyFont="1" applyFill="1" applyBorder="1" applyAlignment="1">
      <alignment horizontal="center"/>
    </xf>
    <xf numFmtId="10" fontId="8" fillId="0" borderId="82" xfId="15" applyNumberFormat="1" applyFont="1" applyFill="1" applyBorder="1" applyAlignment="1">
      <alignment horizontal="center"/>
    </xf>
    <xf numFmtId="10" fontId="0" fillId="0" borderId="82" xfId="15" applyNumberFormat="1" applyFont="1" applyFill="1" applyBorder="1" applyAlignment="1">
      <alignment horizontal="center"/>
    </xf>
    <xf numFmtId="168" fontId="0" fillId="0" borderId="82" xfId="0" applyNumberFormat="1" applyBorder="1" applyAlignment="1">
      <alignment horizontal="center"/>
    </xf>
    <xf numFmtId="168" fontId="0" fillId="0" borderId="81" xfId="0" applyNumberFormat="1" applyBorder="1" applyAlignment="1">
      <alignment horizontal="center"/>
    </xf>
    <xf numFmtId="2" fontId="0" fillId="0" borderId="82" xfId="0" applyNumberFormat="1" applyBorder="1" applyAlignment="1">
      <alignment horizontal="center"/>
    </xf>
    <xf numFmtId="168" fontId="0" fillId="0" borderId="83" xfId="0" applyNumberFormat="1" applyBorder="1" applyAlignment="1">
      <alignment horizontal="center"/>
    </xf>
    <xf numFmtId="167" fontId="0" fillId="0" borderId="81" xfId="15" applyNumberFormat="1" applyFont="1" applyFill="1" applyBorder="1" applyAlignment="1">
      <alignment horizontal="center"/>
    </xf>
    <xf numFmtId="172" fontId="25" fillId="17" borderId="182" xfId="0" applyNumberFormat="1" applyFont="1" applyFill="1" applyBorder="1" applyAlignment="1">
      <alignment horizontal="center"/>
    </xf>
    <xf numFmtId="172" fontId="25" fillId="17" borderId="183" xfId="0" applyNumberFormat="1" applyFont="1" applyFill="1" applyBorder="1" applyAlignment="1">
      <alignment horizontal="center"/>
    </xf>
    <xf numFmtId="9" fontId="25" fillId="30" borderId="60" xfId="15" applyFont="1" applyFill="1" applyBorder="1" applyAlignment="1">
      <alignment horizontal="center" vertical="center"/>
    </xf>
    <xf numFmtId="9" fontId="25" fillId="17" borderId="182" xfId="15" applyFont="1" applyFill="1" applyBorder="1" applyAlignment="1">
      <alignment horizontal="center"/>
    </xf>
    <xf numFmtId="9" fontId="25" fillId="17" borderId="88" xfId="15" applyFont="1" applyFill="1" applyBorder="1" applyAlignment="1">
      <alignment horizontal="center"/>
    </xf>
    <xf numFmtId="9" fontId="25" fillId="17" borderId="183" xfId="15" applyFont="1" applyFill="1" applyBorder="1" applyAlignment="1">
      <alignment horizontal="center"/>
    </xf>
    <xf numFmtId="0" fontId="25" fillId="30" borderId="60" xfId="0" applyFont="1" applyFill="1" applyBorder="1" applyAlignment="1">
      <alignment horizontal="center" vertical="center"/>
    </xf>
    <xf numFmtId="2" fontId="25" fillId="17" borderId="88" xfId="0" applyNumberFormat="1" applyFont="1" applyFill="1" applyBorder="1" applyAlignment="1">
      <alignment horizontal="center"/>
    </xf>
    <xf numFmtId="2" fontId="25" fillId="17" borderId="183" xfId="0" applyNumberFormat="1" applyFont="1" applyFill="1" applyBorder="1" applyAlignment="1">
      <alignment horizontal="center"/>
    </xf>
    <xf numFmtId="2" fontId="25" fillId="30" borderId="60" xfId="15" applyNumberFormat="1" applyFont="1" applyFill="1" applyBorder="1" applyAlignment="1">
      <alignment horizontal="center" vertical="center"/>
    </xf>
    <xf numFmtId="2" fontId="25" fillId="17" borderId="182" xfId="0" applyNumberFormat="1" applyFont="1" applyFill="1" applyBorder="1" applyAlignment="1">
      <alignment horizontal="center"/>
    </xf>
    <xf numFmtId="10" fontId="25" fillId="30" borderId="60" xfId="0" applyNumberFormat="1" applyFont="1" applyFill="1" applyBorder="1" applyAlignment="1">
      <alignment horizontal="center" vertical="center"/>
    </xf>
    <xf numFmtId="170" fontId="25" fillId="30" borderId="60" xfId="18" applyNumberFormat="1" applyFont="1" applyFill="1" applyBorder="1" applyAlignment="1">
      <alignment horizontal="center" vertical="center"/>
    </xf>
    <xf numFmtId="2" fontId="25" fillId="17" borderId="88" xfId="15" applyNumberFormat="1" applyFont="1" applyFill="1" applyBorder="1" applyAlignment="1">
      <alignment horizontal="center"/>
    </xf>
    <xf numFmtId="0" fontId="25" fillId="30" borderId="60" xfId="0" applyFont="1" applyFill="1" applyBorder="1" applyAlignment="1">
      <alignment horizontal="center"/>
    </xf>
    <xf numFmtId="9" fontId="25" fillId="17" borderId="62" xfId="15" applyFont="1" applyFill="1" applyBorder="1" applyAlignment="1">
      <alignment horizontal="center"/>
    </xf>
    <xf numFmtId="0" fontId="13" fillId="0" borderId="78" xfId="0" applyFont="1" applyBorder="1" applyAlignment="1">
      <alignment horizontal="left"/>
    </xf>
    <xf numFmtId="9" fontId="8" fillId="0" borderId="184" xfId="0" applyNumberFormat="1" applyFont="1" applyBorder="1" applyAlignment="1">
      <alignment horizontal="center"/>
    </xf>
    <xf numFmtId="3" fontId="52" fillId="0" borderId="127" xfId="0" applyNumberFormat="1" applyFont="1" applyBorder="1" applyAlignment="1">
      <alignment horizontal="center" vertical="center"/>
    </xf>
    <xf numFmtId="3" fontId="52" fillId="7" borderId="128" xfId="0" applyNumberFormat="1" applyFont="1" applyFill="1" applyBorder="1" applyAlignment="1">
      <alignment horizontal="center" vertical="center"/>
    </xf>
    <xf numFmtId="0" fontId="52" fillId="0" borderId="185" xfId="0" applyFont="1" applyBorder="1"/>
    <xf numFmtId="4" fontId="5" fillId="0" borderId="186" xfId="28" applyNumberFormat="1" applyBorder="1" applyAlignment="1">
      <alignment horizontal="center"/>
    </xf>
    <xf numFmtId="0" fontId="52" fillId="0" borderId="37" xfId="0" applyFont="1" applyBorder="1"/>
    <xf numFmtId="10" fontId="5" fillId="0" borderId="0" xfId="28" quotePrefix="1" applyNumberFormat="1" applyAlignment="1">
      <alignment horizontal="right"/>
    </xf>
    <xf numFmtId="1" fontId="52" fillId="39" borderId="187" xfId="0" applyNumberFormat="1" applyFont="1" applyFill="1" applyBorder="1" applyAlignment="1">
      <alignment horizontal="center" vertical="center"/>
    </xf>
    <xf numFmtId="1" fontId="52" fillId="39" borderId="157" xfId="0" applyNumberFormat="1" applyFont="1" applyFill="1" applyBorder="1" applyAlignment="1">
      <alignment horizontal="center" vertical="center"/>
    </xf>
    <xf numFmtId="1" fontId="52" fillId="39" borderId="29" xfId="0" applyNumberFormat="1" applyFont="1" applyFill="1" applyBorder="1" applyAlignment="1">
      <alignment horizontal="center" vertical="center"/>
    </xf>
    <xf numFmtId="1" fontId="0" fillId="0" borderId="157" xfId="0" applyNumberFormat="1" applyBorder="1" applyAlignment="1">
      <alignment horizontal="center" vertical="center"/>
    </xf>
    <xf numFmtId="1" fontId="0" fillId="0" borderId="3" xfId="0" applyNumberFormat="1" applyBorder="1" applyAlignment="1">
      <alignment horizontal="center" vertical="center"/>
    </xf>
    <xf numFmtId="1" fontId="0" fillId="0" borderId="162" xfId="0" applyNumberFormat="1" applyBorder="1" applyAlignment="1">
      <alignment horizontal="center" vertical="center"/>
    </xf>
    <xf numFmtId="1" fontId="0" fillId="0" borderId="30" xfId="0" applyNumberFormat="1" applyBorder="1" applyAlignment="1">
      <alignment horizontal="center" vertical="center"/>
    </xf>
    <xf numFmtId="0" fontId="52" fillId="0" borderId="128" xfId="0" applyFont="1" applyBorder="1" applyAlignment="1">
      <alignment horizontal="center" vertical="center"/>
    </xf>
    <xf numFmtId="1" fontId="52" fillId="0" borderId="127" xfId="0" applyNumberFormat="1" applyFont="1" applyBorder="1" applyAlignment="1">
      <alignment horizontal="center" vertical="center"/>
    </xf>
    <xf numFmtId="1" fontId="52" fillId="0" borderId="2" xfId="0" applyNumberFormat="1" applyFont="1" applyBorder="1" applyAlignment="1">
      <alignment horizontal="center" vertical="center"/>
    </xf>
    <xf numFmtId="1" fontId="52" fillId="0" borderId="155" xfId="0" applyNumberFormat="1" applyFont="1" applyBorder="1" applyAlignment="1">
      <alignment horizontal="center" vertical="center"/>
    </xf>
    <xf numFmtId="4" fontId="5" fillId="0" borderId="162" xfId="28" applyNumberFormat="1" applyBorder="1" applyAlignment="1">
      <alignment horizontal="center"/>
    </xf>
    <xf numFmtId="4" fontId="5" fillId="0" borderId="157" xfId="28" applyNumberFormat="1" applyBorder="1" applyAlignment="1">
      <alignment horizontal="center"/>
    </xf>
    <xf numFmtId="4" fontId="5" fillId="0" borderId="3" xfId="28" applyNumberFormat="1" applyBorder="1" applyAlignment="1">
      <alignment horizontal="center"/>
    </xf>
    <xf numFmtId="0" fontId="26" fillId="0" borderId="0" xfId="25" applyFont="1" applyAlignment="1">
      <alignment horizontal="center" vertical="center"/>
    </xf>
    <xf numFmtId="4" fontId="24" fillId="0" borderId="0" xfId="7" applyFont="1" applyFill="1" applyBorder="1">
      <alignment horizontal="right"/>
    </xf>
    <xf numFmtId="0" fontId="45" fillId="30" borderId="53" xfId="0" applyFont="1" applyFill="1" applyBorder="1" applyAlignment="1">
      <alignment horizontal="left" vertical="center"/>
    </xf>
    <xf numFmtId="10" fontId="0" fillId="0" borderId="45" xfId="0" applyNumberFormat="1" applyBorder="1" applyAlignment="1">
      <alignment horizontal="center" vertical="center"/>
    </xf>
    <xf numFmtId="0" fontId="13" fillId="7" borderId="89" xfId="0" applyFont="1" applyFill="1" applyBorder="1" applyAlignment="1">
      <alignment horizontal="left" vertical="center"/>
    </xf>
    <xf numFmtId="10" fontId="0" fillId="7" borderId="90" xfId="15" applyNumberFormat="1" applyFont="1" applyFill="1" applyBorder="1" applyAlignment="1">
      <alignment horizontal="center" vertical="center"/>
    </xf>
    <xf numFmtId="10" fontId="0" fillId="7" borderId="91" xfId="15" applyNumberFormat="1" applyFont="1" applyFill="1" applyBorder="1" applyAlignment="1">
      <alignment horizontal="center" vertical="center"/>
    </xf>
    <xf numFmtId="0" fontId="56" fillId="35" borderId="62" xfId="0" applyFont="1" applyFill="1" applyBorder="1" applyAlignment="1">
      <alignment horizontal="center" vertical="center"/>
    </xf>
    <xf numFmtId="172" fontId="0" fillId="0" borderId="182" xfId="0" applyNumberFormat="1" applyBorder="1" applyAlignment="1">
      <alignment horizontal="center"/>
    </xf>
    <xf numFmtId="172" fontId="0" fillId="16" borderId="183" xfId="0" applyNumberFormat="1" applyFill="1" applyBorder="1" applyAlignment="1">
      <alignment horizontal="center"/>
    </xf>
    <xf numFmtId="0" fontId="0" fillId="30" borderId="60" xfId="0" applyFill="1" applyBorder="1" applyAlignment="1">
      <alignment horizontal="center"/>
    </xf>
    <xf numFmtId="9" fontId="0" fillId="0" borderId="182" xfId="15" applyFont="1" applyFill="1" applyBorder="1" applyAlignment="1">
      <alignment horizontal="center"/>
    </xf>
    <xf numFmtId="9" fontId="0" fillId="16" borderId="88" xfId="15" applyFont="1" applyFill="1" applyBorder="1" applyAlignment="1">
      <alignment horizontal="center"/>
    </xf>
    <xf numFmtId="9" fontId="0" fillId="0" borderId="88" xfId="15" applyFont="1" applyFill="1" applyBorder="1" applyAlignment="1">
      <alignment horizontal="center"/>
    </xf>
    <xf numFmtId="9" fontId="0" fillId="16" borderId="183" xfId="15" applyFont="1" applyFill="1" applyBorder="1" applyAlignment="1">
      <alignment horizontal="center"/>
    </xf>
    <xf numFmtId="2" fontId="0" fillId="0" borderId="182" xfId="0" applyNumberFormat="1" applyBorder="1" applyAlignment="1">
      <alignment horizontal="center"/>
    </xf>
    <xf numFmtId="2" fontId="0" fillId="16" borderId="88" xfId="0" applyNumberFormat="1" applyFill="1" applyBorder="1" applyAlignment="1">
      <alignment horizontal="center"/>
    </xf>
    <xf numFmtId="2" fontId="0" fillId="0" borderId="183" xfId="0" applyNumberFormat="1" applyBorder="1" applyAlignment="1">
      <alignment horizontal="center"/>
    </xf>
    <xf numFmtId="2" fontId="0" fillId="16" borderId="182" xfId="0" applyNumberFormat="1" applyFill="1" applyBorder="1" applyAlignment="1">
      <alignment horizontal="center"/>
    </xf>
    <xf numFmtId="2" fontId="0" fillId="0" borderId="88" xfId="0" applyNumberFormat="1" applyBorder="1" applyAlignment="1">
      <alignment horizontal="center"/>
    </xf>
    <xf numFmtId="2" fontId="0" fillId="16" borderId="183" xfId="0" applyNumberFormat="1" applyFill="1" applyBorder="1" applyAlignment="1">
      <alignment horizontal="center"/>
    </xf>
    <xf numFmtId="168" fontId="0" fillId="0" borderId="182" xfId="0" applyNumberFormat="1" applyBorder="1" applyAlignment="1">
      <alignment horizontal="center"/>
    </xf>
    <xf numFmtId="168" fontId="0" fillId="16" borderId="88" xfId="0" applyNumberFormat="1" applyFill="1" applyBorder="1" applyAlignment="1">
      <alignment horizontal="center"/>
    </xf>
    <xf numFmtId="168" fontId="0" fillId="0" borderId="88" xfId="0" applyNumberFormat="1" applyBorder="1" applyAlignment="1">
      <alignment horizontal="center"/>
    </xf>
    <xf numFmtId="168" fontId="0" fillId="0" borderId="183" xfId="0" applyNumberFormat="1" applyBorder="1" applyAlignment="1">
      <alignment horizontal="center"/>
    </xf>
    <xf numFmtId="167" fontId="0" fillId="0" borderId="182" xfId="15" applyNumberFormat="1" applyFont="1" applyFill="1" applyBorder="1" applyAlignment="1">
      <alignment horizontal="center"/>
    </xf>
    <xf numFmtId="2" fontId="0" fillId="16" borderId="88" xfId="15" applyNumberFormat="1" applyFont="1" applyFill="1" applyBorder="1" applyAlignment="1">
      <alignment horizontal="center"/>
    </xf>
    <xf numFmtId="10" fontId="0" fillId="0" borderId="183" xfId="15" applyNumberFormat="1" applyFont="1" applyFill="1" applyBorder="1" applyAlignment="1">
      <alignment horizontal="center"/>
    </xf>
    <xf numFmtId="10" fontId="0" fillId="16" borderId="88" xfId="15" applyNumberFormat="1" applyFont="1" applyFill="1" applyBorder="1" applyAlignment="1">
      <alignment horizontal="center" vertical="center"/>
    </xf>
    <xf numFmtId="174" fontId="0" fillId="7" borderId="88" xfId="0" applyNumberFormat="1" applyFill="1" applyBorder="1" applyAlignment="1">
      <alignment horizontal="right" vertical="center"/>
    </xf>
    <xf numFmtId="174" fontId="0" fillId="16" borderId="88" xfId="0" applyNumberFormat="1" applyFill="1" applyBorder="1" applyAlignment="1">
      <alignment horizontal="center"/>
    </xf>
    <xf numFmtId="9" fontId="0" fillId="0" borderId="91" xfId="15" applyFont="1" applyFill="1" applyBorder="1" applyAlignment="1">
      <alignment horizontal="center"/>
    </xf>
    <xf numFmtId="0" fontId="71" fillId="35" borderId="60" xfId="0" applyFont="1" applyFill="1" applyBorder="1" applyAlignment="1">
      <alignment horizontal="center" vertical="center" wrapText="1"/>
    </xf>
    <xf numFmtId="9" fontId="0" fillId="0" borderId="0" xfId="15" applyFont="1" applyBorder="1" applyAlignment="1">
      <alignment horizontal="center" vertical="center"/>
    </xf>
    <xf numFmtId="0" fontId="26" fillId="4" borderId="191" xfId="25" applyFont="1" applyFill="1" applyBorder="1" applyAlignment="1">
      <alignment horizontal="center" vertical="center"/>
    </xf>
    <xf numFmtId="4" fontId="24" fillId="27" borderId="192" xfId="7" applyFont="1" applyFill="1" applyBorder="1">
      <alignment horizontal="right"/>
    </xf>
    <xf numFmtId="4" fontId="8" fillId="11" borderId="192" xfId="7" applyFont="1" applyFill="1" applyBorder="1">
      <alignment horizontal="right"/>
    </xf>
    <xf numFmtId="4" fontId="30" fillId="8" borderId="193" xfId="7" applyFont="1" applyFill="1" applyBorder="1">
      <alignment horizontal="right"/>
    </xf>
    <xf numFmtId="0" fontId="56" fillId="35" borderId="0" xfId="23" applyFont="1" applyFill="1"/>
    <xf numFmtId="0" fontId="72" fillId="35" borderId="0" xfId="23" applyFont="1" applyFill="1" applyAlignment="1">
      <alignment horizontal="left" vertical="center"/>
    </xf>
    <xf numFmtId="0" fontId="72" fillId="35" borderId="0" xfId="23" applyFont="1" applyFill="1" applyAlignment="1">
      <alignment horizontal="center" vertical="center"/>
    </xf>
    <xf numFmtId="0" fontId="8" fillId="30" borderId="0" xfId="23" applyFill="1"/>
    <xf numFmtId="0" fontId="8" fillId="0" borderId="0" xfId="23"/>
    <xf numFmtId="10" fontId="0" fillId="0" borderId="0" xfId="15" applyNumberFormat="1" applyFont="1" applyAlignment="1">
      <alignment horizontal="left"/>
    </xf>
    <xf numFmtId="0" fontId="13" fillId="0" borderId="0" xfId="23" applyFont="1"/>
    <xf numFmtId="0" fontId="8" fillId="7" borderId="0" xfId="23" applyFill="1"/>
    <xf numFmtId="0" fontId="36" fillId="0" borderId="0" xfId="23" applyFont="1"/>
    <xf numFmtId="10" fontId="8" fillId="7" borderId="0" xfId="23" applyNumberFormat="1" applyFill="1"/>
    <xf numFmtId="0" fontId="8" fillId="0" borderId="0" xfId="23" applyAlignment="1">
      <alignment horizontal="left"/>
    </xf>
    <xf numFmtId="10" fontId="8" fillId="0" borderId="0" xfId="23" applyNumberFormat="1"/>
    <xf numFmtId="0" fontId="48" fillId="30" borderId="0" xfId="23" applyFont="1" applyFill="1"/>
    <xf numFmtId="0" fontId="26" fillId="31" borderId="202" xfId="0" applyFont="1" applyFill="1" applyBorder="1" applyAlignment="1">
      <alignment horizontal="center"/>
    </xf>
    <xf numFmtId="0" fontId="13" fillId="0" borderId="202" xfId="0" applyFont="1" applyBorder="1" applyAlignment="1">
      <alignment horizontal="center"/>
    </xf>
    <xf numFmtId="0" fontId="0" fillId="0" borderId="202" xfId="0" applyBorder="1" applyAlignment="1">
      <alignment horizontal="center"/>
    </xf>
    <xf numFmtId="0" fontId="55" fillId="0" borderId="0" xfId="23" applyFont="1" applyAlignment="1">
      <alignment horizontal="center"/>
    </xf>
    <xf numFmtId="0" fontId="8" fillId="23" borderId="0" xfId="0" applyFont="1" applyFill="1" applyAlignment="1">
      <alignment horizontal="center" vertical="center"/>
    </xf>
    <xf numFmtId="175" fontId="74" fillId="45" borderId="0" xfId="15" applyNumberFormat="1" applyFont="1" applyFill="1" applyBorder="1" applyAlignment="1">
      <alignment horizontal="center"/>
    </xf>
    <xf numFmtId="0" fontId="56" fillId="0" borderId="0" xfId="23" applyFont="1"/>
    <xf numFmtId="0" fontId="72" fillId="0" borderId="0" xfId="23" applyFont="1" applyAlignment="1">
      <alignment horizontal="center" vertical="center"/>
    </xf>
    <xf numFmtId="0" fontId="73" fillId="0" borderId="0" xfId="0" applyFont="1" applyAlignment="1">
      <alignment horizontal="center"/>
    </xf>
    <xf numFmtId="0" fontId="13" fillId="7" borderId="0" xfId="23" applyFont="1" applyFill="1" applyAlignment="1">
      <alignment horizontal="center" vertical="center"/>
    </xf>
    <xf numFmtId="0" fontId="76" fillId="4" borderId="98" xfId="4" applyFont="1" applyFill="1" applyBorder="1" applyAlignment="1">
      <alignment horizontal="center" vertical="center"/>
    </xf>
    <xf numFmtId="0" fontId="45" fillId="22" borderId="59" xfId="0" applyFont="1" applyFill="1" applyBorder="1" applyAlignment="1">
      <alignment horizontal="center" vertical="center" wrapText="1"/>
    </xf>
    <xf numFmtId="0" fontId="45" fillId="15" borderId="60" xfId="0" applyFont="1" applyFill="1" applyBorder="1" applyAlignment="1">
      <alignment horizontal="center" vertical="center" wrapText="1"/>
    </xf>
    <xf numFmtId="3" fontId="1" fillId="42" borderId="38" xfId="29" applyNumberFormat="1" applyFont="1" applyFill="1" applyBorder="1" applyAlignment="1">
      <alignment horizontal="center" vertical="center"/>
    </xf>
    <xf numFmtId="9" fontId="8" fillId="16" borderId="83" xfId="15" applyFont="1" applyFill="1" applyBorder="1" applyAlignment="1">
      <alignment horizontal="center" vertical="center"/>
    </xf>
    <xf numFmtId="10" fontId="33" fillId="18" borderId="0" xfId="15" applyNumberFormat="1" applyFont="1" applyFill="1" applyAlignment="1">
      <alignment horizontal="center"/>
    </xf>
    <xf numFmtId="167" fontId="33" fillId="18" borderId="0" xfId="15" applyNumberFormat="1" applyFont="1" applyFill="1" applyAlignment="1">
      <alignment horizontal="center"/>
    </xf>
    <xf numFmtId="10" fontId="33" fillId="18" borderId="0" xfId="0" applyNumberFormat="1" applyFont="1" applyFill="1" applyAlignment="1">
      <alignment horizontal="center"/>
    </xf>
    <xf numFmtId="0" fontId="1" fillId="0" borderId="40" xfId="0" applyFont="1" applyBorder="1"/>
    <xf numFmtId="165" fontId="1" fillId="0" borderId="40" xfId="0" applyNumberFormat="1" applyFont="1" applyBorder="1" applyAlignment="1">
      <alignment horizontal="center"/>
    </xf>
    <xf numFmtId="165" fontId="1" fillId="0" borderId="0" xfId="0" applyNumberFormat="1" applyFont="1" applyAlignment="1">
      <alignment horizontal="center"/>
    </xf>
    <xf numFmtId="4" fontId="5" fillId="0" borderId="155" xfId="28" applyNumberFormat="1" applyBorder="1" applyAlignment="1">
      <alignment horizontal="center"/>
    </xf>
    <xf numFmtId="172" fontId="8" fillId="23" borderId="17" xfId="0" applyNumberFormat="1" applyFont="1" applyFill="1" applyBorder="1" applyAlignment="1">
      <alignment horizontal="center" vertical="center"/>
    </xf>
    <xf numFmtId="3" fontId="5" fillId="0" borderId="138" xfId="28" applyNumberFormat="1" applyBorder="1" applyAlignment="1">
      <alignment horizontal="center"/>
    </xf>
    <xf numFmtId="3" fontId="5" fillId="0" borderId="40" xfId="28" applyNumberFormat="1" applyBorder="1" applyAlignment="1">
      <alignment horizontal="center"/>
    </xf>
    <xf numFmtId="3" fontId="5" fillId="0" borderId="129" xfId="28" applyNumberFormat="1" applyBorder="1" applyAlignment="1">
      <alignment horizontal="center"/>
    </xf>
    <xf numFmtId="1" fontId="52" fillId="0" borderId="135" xfId="0" applyNumberFormat="1" applyFont="1" applyBorder="1" applyAlignment="1">
      <alignment horizontal="center" vertical="center"/>
    </xf>
    <xf numFmtId="1" fontId="52" fillId="0" borderId="136" xfId="0" applyNumberFormat="1" applyFont="1" applyBorder="1" applyAlignment="1">
      <alignment horizontal="center" vertical="center"/>
    </xf>
    <xf numFmtId="1" fontId="52" fillId="0" borderId="137" xfId="0" applyNumberFormat="1" applyFont="1" applyBorder="1" applyAlignment="1">
      <alignment horizontal="center" vertical="center"/>
    </xf>
    <xf numFmtId="4" fontId="5" fillId="0" borderId="139" xfId="28" applyNumberFormat="1" applyBorder="1" applyAlignment="1">
      <alignment horizontal="center"/>
    </xf>
    <xf numFmtId="4" fontId="5" fillId="0" borderId="149" xfId="28" applyNumberFormat="1" applyBorder="1" applyAlignment="1">
      <alignment horizontal="center"/>
    </xf>
    <xf numFmtId="4" fontId="5" fillId="0" borderId="150" xfId="28" applyNumberFormat="1" applyBorder="1" applyAlignment="1">
      <alignment horizontal="center"/>
    </xf>
    <xf numFmtId="0" fontId="52" fillId="0" borderId="0" xfId="0" applyFont="1" applyAlignment="1">
      <alignment horizontal="center" vertical="center"/>
    </xf>
    <xf numFmtId="0" fontId="8" fillId="0" borderId="0" xfId="23" applyAlignment="1">
      <alignment horizontal="center"/>
    </xf>
    <xf numFmtId="0" fontId="63" fillId="0" borderId="40" xfId="28" applyFont="1" applyBorder="1"/>
    <xf numFmtId="166" fontId="13" fillId="0" borderId="212" xfId="0" applyNumberFormat="1" applyFont="1" applyBorder="1" applyAlignment="1">
      <alignment horizontal="center"/>
    </xf>
    <xf numFmtId="166" fontId="13" fillId="0" borderId="35" xfId="0" applyNumberFormat="1" applyFont="1" applyBorder="1" applyAlignment="1">
      <alignment horizontal="center"/>
    </xf>
    <xf numFmtId="166" fontId="13" fillId="0" borderId="213" xfId="0" applyNumberFormat="1" applyFont="1" applyBorder="1" applyAlignment="1">
      <alignment horizontal="center"/>
    </xf>
    <xf numFmtId="0" fontId="13" fillId="0" borderId="212" xfId="0" applyFont="1" applyBorder="1" applyAlignment="1">
      <alignment horizontal="center"/>
    </xf>
    <xf numFmtId="10" fontId="0" fillId="32" borderId="62" xfId="0" applyNumberFormat="1" applyFill="1" applyBorder="1"/>
    <xf numFmtId="166" fontId="0" fillId="0" borderId="215" xfId="0" applyNumberFormat="1" applyBorder="1" applyAlignment="1">
      <alignment horizontal="center"/>
    </xf>
    <xf numFmtId="166" fontId="0" fillId="0" borderId="45" xfId="0" applyNumberFormat="1" applyBorder="1" applyAlignment="1">
      <alignment horizontal="center"/>
    </xf>
    <xf numFmtId="165" fontId="8" fillId="0" borderId="83" xfId="0" applyNumberFormat="1" applyFont="1" applyBorder="1" applyAlignment="1">
      <alignment horizontal="center"/>
    </xf>
    <xf numFmtId="1" fontId="8" fillId="0" borderId="216" xfId="0" applyNumberFormat="1" applyFont="1" applyBorder="1" applyAlignment="1">
      <alignment horizontal="center" vertical="center"/>
    </xf>
    <xf numFmtId="1" fontId="8" fillId="0" borderId="217" xfId="0" applyNumberFormat="1" applyFont="1" applyBorder="1" applyAlignment="1">
      <alignment horizontal="center" vertical="center"/>
    </xf>
    <xf numFmtId="1" fontId="8" fillId="0" borderId="218" xfId="0" applyNumberFormat="1" applyFont="1" applyBorder="1" applyAlignment="1">
      <alignment horizontal="center" vertical="center"/>
    </xf>
    <xf numFmtId="1" fontId="8" fillId="0" borderId="219" xfId="0" applyNumberFormat="1" applyFont="1" applyBorder="1" applyAlignment="1">
      <alignment horizontal="center" vertical="center"/>
    </xf>
    <xf numFmtId="1" fontId="8" fillId="0" borderId="220" xfId="0" applyNumberFormat="1" applyFont="1" applyBorder="1" applyAlignment="1">
      <alignment horizontal="center" vertical="center"/>
    </xf>
    <xf numFmtId="1" fontId="8" fillId="0" borderId="221" xfId="0" applyNumberFormat="1" applyFont="1" applyBorder="1" applyAlignment="1">
      <alignment horizontal="center" vertical="center"/>
    </xf>
    <xf numFmtId="1" fontId="8" fillId="0" borderId="222" xfId="0" applyNumberFormat="1" applyFont="1" applyBorder="1" applyAlignment="1">
      <alignment horizontal="center" vertical="center"/>
    </xf>
    <xf numFmtId="3" fontId="8" fillId="0" borderId="223" xfId="0" applyNumberFormat="1" applyFont="1" applyBorder="1" applyAlignment="1">
      <alignment horizontal="center" vertical="center"/>
    </xf>
    <xf numFmtId="1" fontId="57" fillId="0" borderId="224" xfId="0" applyNumberFormat="1" applyFont="1" applyBorder="1" applyAlignment="1">
      <alignment horizontal="center" vertical="center"/>
    </xf>
    <xf numFmtId="1" fontId="57" fillId="40" borderId="225" xfId="0" applyNumberFormat="1" applyFont="1" applyFill="1" applyBorder="1" applyAlignment="1">
      <alignment horizontal="center" vertical="center"/>
    </xf>
    <xf numFmtId="1" fontId="57" fillId="40" borderId="226" xfId="0" applyNumberFormat="1" applyFont="1" applyFill="1" applyBorder="1" applyAlignment="1">
      <alignment horizontal="center" vertical="center"/>
    </xf>
    <xf numFmtId="1" fontId="57" fillId="0" borderId="223" xfId="0" applyNumberFormat="1" applyFont="1" applyBorder="1" applyAlignment="1">
      <alignment horizontal="center" vertical="center"/>
    </xf>
    <xf numFmtId="1" fontId="57" fillId="40" borderId="223" xfId="0" applyNumberFormat="1" applyFont="1" applyFill="1" applyBorder="1" applyAlignment="1">
      <alignment horizontal="center" vertical="center"/>
    </xf>
    <xf numFmtId="1" fontId="57" fillId="40" borderId="224" xfId="0" applyNumberFormat="1" applyFont="1" applyFill="1" applyBorder="1" applyAlignment="1">
      <alignment horizontal="center" vertical="center"/>
    </xf>
    <xf numFmtId="1" fontId="57" fillId="0" borderId="226" xfId="0" applyNumberFormat="1" applyFont="1" applyBorder="1" applyAlignment="1">
      <alignment horizontal="center" vertical="center"/>
    </xf>
    <xf numFmtId="3" fontId="57" fillId="40" borderId="228" xfId="0" applyNumberFormat="1" applyFont="1" applyFill="1" applyBorder="1" applyAlignment="1">
      <alignment horizontal="center" vertical="center"/>
    </xf>
    <xf numFmtId="3" fontId="57" fillId="40" borderId="229" xfId="0" applyNumberFormat="1" applyFont="1" applyFill="1" applyBorder="1" applyAlignment="1">
      <alignment horizontal="center" vertical="center"/>
    </xf>
    <xf numFmtId="3" fontId="57" fillId="40" borderId="230" xfId="0" applyNumberFormat="1" applyFont="1" applyFill="1" applyBorder="1" applyAlignment="1">
      <alignment horizontal="center" vertical="center"/>
    </xf>
    <xf numFmtId="3" fontId="57" fillId="40" borderId="231" xfId="0" applyNumberFormat="1" applyFont="1" applyFill="1" applyBorder="1" applyAlignment="1">
      <alignment horizontal="center" vertical="center"/>
    </xf>
    <xf numFmtId="3" fontId="57" fillId="40" borderId="232" xfId="0" applyNumberFormat="1" applyFont="1" applyFill="1" applyBorder="1" applyAlignment="1">
      <alignment horizontal="center" vertical="center"/>
    </xf>
    <xf numFmtId="0" fontId="54" fillId="0" borderId="103" xfId="0" applyFont="1" applyBorder="1" applyAlignment="1">
      <alignment horizontal="center"/>
    </xf>
    <xf numFmtId="0" fontId="13" fillId="0" borderId="225" xfId="0" applyFont="1" applyBorder="1" applyAlignment="1">
      <alignment horizontal="center"/>
    </xf>
    <xf numFmtId="0" fontId="8" fillId="36" borderId="233" xfId="0" applyFont="1" applyFill="1" applyBorder="1"/>
    <xf numFmtId="0" fontId="13" fillId="0" borderId="233" xfId="0" applyFont="1" applyBorder="1"/>
    <xf numFmtId="0" fontId="8" fillId="0" borderId="233" xfId="0" applyFont="1" applyBorder="1"/>
    <xf numFmtId="0" fontId="13" fillId="0" borderId="234" xfId="0" applyFont="1" applyBorder="1" applyAlignment="1">
      <alignment horizontal="center"/>
    </xf>
    <xf numFmtId="0" fontId="8" fillId="0" borderId="134" xfId="0" applyFont="1" applyBorder="1"/>
    <xf numFmtId="9" fontId="31" fillId="37" borderId="164" xfId="15" applyFont="1" applyFill="1" applyBorder="1" applyAlignment="1">
      <alignment horizontal="center" vertical="center"/>
    </xf>
    <xf numFmtId="3" fontId="1" fillId="42" borderId="1" xfId="29" applyNumberFormat="1" applyFont="1" applyFill="1" applyBorder="1" applyAlignment="1">
      <alignment horizontal="center" vertical="center"/>
    </xf>
    <xf numFmtId="167" fontId="31" fillId="37" borderId="39" xfId="15" applyNumberFormat="1" applyFont="1" applyFill="1" applyBorder="1" applyAlignment="1">
      <alignment horizontal="center" vertical="center"/>
    </xf>
    <xf numFmtId="3" fontId="60" fillId="0" borderId="39" xfId="0" applyNumberFormat="1" applyFont="1" applyBorder="1" applyAlignment="1">
      <alignment horizontal="center" vertical="center"/>
    </xf>
    <xf numFmtId="0" fontId="54" fillId="0" borderId="236" xfId="0" applyFont="1" applyBorder="1" applyAlignment="1">
      <alignment horizontal="center"/>
    </xf>
    <xf numFmtId="0" fontId="55" fillId="0" borderId="173" xfId="0" applyFont="1" applyBorder="1" applyAlignment="1">
      <alignment horizontal="center"/>
    </xf>
    <xf numFmtId="0" fontId="13" fillId="36" borderId="233" xfId="0" applyFont="1" applyFill="1" applyBorder="1"/>
    <xf numFmtId="0" fontId="26" fillId="31" borderId="21" xfId="0" applyFont="1" applyFill="1" applyBorder="1" applyAlignment="1">
      <alignment horizontal="center"/>
    </xf>
    <xf numFmtId="14" fontId="13" fillId="0" borderId="238" xfId="0" applyNumberFormat="1" applyFont="1" applyBorder="1" applyAlignment="1">
      <alignment horizontal="center" vertical="center"/>
    </xf>
    <xf numFmtId="14" fontId="13" fillId="0" borderId="239" xfId="0" applyNumberFormat="1" applyFont="1" applyBorder="1" applyAlignment="1">
      <alignment horizontal="center" vertical="center"/>
    </xf>
    <xf numFmtId="0" fontId="8" fillId="0" borderId="243" xfId="0" applyFont="1" applyBorder="1" applyAlignment="1">
      <alignment horizontal="center" vertical="center"/>
    </xf>
    <xf numFmtId="0" fontId="0" fillId="0" borderId="244" xfId="0" applyBorder="1" applyAlignment="1">
      <alignment horizontal="center" vertical="center"/>
    </xf>
    <xf numFmtId="0" fontId="0" fillId="0" borderId="245" xfId="0" applyBorder="1"/>
    <xf numFmtId="0" fontId="0" fillId="0" borderId="245" xfId="0" quotePrefix="1" applyBorder="1"/>
    <xf numFmtId="2" fontId="0" fillId="23" borderId="246" xfId="15" applyNumberFormat="1" applyFont="1" applyFill="1" applyBorder="1" applyAlignment="1">
      <alignment horizontal="center"/>
    </xf>
    <xf numFmtId="167" fontId="0" fillId="23" borderId="246" xfId="15" applyNumberFormat="1" applyFont="1" applyFill="1" applyBorder="1" applyAlignment="1">
      <alignment horizontal="center"/>
    </xf>
    <xf numFmtId="168" fontId="0" fillId="23" borderId="246" xfId="15" applyNumberFormat="1" applyFont="1" applyFill="1" applyBorder="1" applyAlignment="1">
      <alignment horizontal="center"/>
    </xf>
    <xf numFmtId="168" fontId="0" fillId="23" borderId="246" xfId="0" applyNumberFormat="1" applyFill="1" applyBorder="1" applyAlignment="1">
      <alignment horizontal="center"/>
    </xf>
    <xf numFmtId="0" fontId="13" fillId="0" borderId="245" xfId="0" applyFont="1" applyBorder="1" applyAlignment="1">
      <alignment horizontal="center"/>
    </xf>
    <xf numFmtId="0" fontId="0" fillId="6" borderId="0" xfId="0" applyFill="1"/>
    <xf numFmtId="14" fontId="38" fillId="0" borderId="240" xfId="0" applyNumberFormat="1" applyFont="1" applyBorder="1" applyAlignment="1">
      <alignment horizontal="center" vertical="center"/>
    </xf>
    <xf numFmtId="176" fontId="8" fillId="23" borderId="17" xfId="0" applyNumberFormat="1" applyFont="1" applyFill="1" applyBorder="1" applyAlignment="1">
      <alignment horizontal="center"/>
    </xf>
    <xf numFmtId="177" fontId="8" fillId="23" borderId="17" xfId="33" applyNumberFormat="1" applyFont="1" applyFill="1" applyBorder="1" applyAlignment="1">
      <alignment horizontal="center" vertical="center"/>
    </xf>
    <xf numFmtId="10" fontId="0" fillId="23" borderId="246" xfId="15" applyNumberFormat="1" applyFont="1" applyFill="1" applyBorder="1" applyAlignment="1">
      <alignment horizontal="center"/>
    </xf>
    <xf numFmtId="4" fontId="33" fillId="0" borderId="0" xfId="0" applyNumberFormat="1" applyFont="1" applyAlignment="1">
      <alignment horizontal="center" vertical="center"/>
    </xf>
    <xf numFmtId="3" fontId="33" fillId="11" borderId="0" xfId="0" applyNumberFormat="1" applyFont="1" applyFill="1" applyAlignment="1">
      <alignment horizontal="center" vertical="center"/>
    </xf>
    <xf numFmtId="0" fontId="24" fillId="8" borderId="17" xfId="0" applyFont="1" applyFill="1" applyBorder="1" applyAlignment="1">
      <alignment horizontal="center"/>
    </xf>
    <xf numFmtId="0" fontId="8" fillId="11" borderId="17" xfId="0" applyFont="1" applyFill="1" applyBorder="1" applyAlignment="1">
      <alignment horizontal="center"/>
    </xf>
    <xf numFmtId="0" fontId="8" fillId="22" borderId="17" xfId="0" applyFont="1" applyFill="1" applyBorder="1" applyAlignment="1">
      <alignment horizontal="center"/>
    </xf>
    <xf numFmtId="0" fontId="0" fillId="7" borderId="17" xfId="0" applyFill="1" applyBorder="1" applyAlignment="1">
      <alignment vertical="center" wrapText="1"/>
    </xf>
    <xf numFmtId="3" fontId="33" fillId="18" borderId="0" xfId="0" applyNumberFormat="1" applyFont="1" applyFill="1" applyAlignment="1">
      <alignment horizontal="center" vertical="center" wrapText="1"/>
    </xf>
    <xf numFmtId="3" fontId="33" fillId="18" borderId="0" xfId="0" applyNumberFormat="1" applyFont="1" applyFill="1" applyAlignment="1">
      <alignment horizontal="center" wrapText="1"/>
    </xf>
    <xf numFmtId="167" fontId="0" fillId="0" borderId="81" xfId="15" applyNumberFormat="1" applyFont="1" applyBorder="1" applyAlignment="1">
      <alignment horizontal="center"/>
    </xf>
    <xf numFmtId="0" fontId="0" fillId="3" borderId="98" xfId="9" applyFont="1" applyBorder="1" applyAlignment="1">
      <alignment horizontal="center" vertical="center"/>
    </xf>
    <xf numFmtId="0" fontId="62" fillId="7" borderId="168" xfId="0" applyFont="1" applyFill="1" applyBorder="1" applyAlignment="1">
      <alignment vertical="center" wrapText="1"/>
    </xf>
    <xf numFmtId="0" fontId="73" fillId="23" borderId="0" xfId="0" applyFont="1" applyFill="1" applyAlignment="1">
      <alignment horizontal="center"/>
    </xf>
    <xf numFmtId="0" fontId="73" fillId="46" borderId="0" xfId="0" applyFont="1" applyFill="1" applyAlignment="1">
      <alignment horizontal="center"/>
    </xf>
    <xf numFmtId="10" fontId="73" fillId="23" borderId="0" xfId="15" applyNumberFormat="1" applyFont="1" applyFill="1" applyAlignment="1">
      <alignment horizontal="center" vertical="center"/>
    </xf>
    <xf numFmtId="2" fontId="8" fillId="23" borderId="0" xfId="23" applyNumberFormat="1" applyFill="1" applyAlignment="1">
      <alignment horizontal="center" vertical="center"/>
    </xf>
    <xf numFmtId="2" fontId="0" fillId="23" borderId="0" xfId="23" applyNumberFormat="1" applyFont="1" applyFill="1" applyAlignment="1">
      <alignment horizontal="center" vertical="center"/>
    </xf>
    <xf numFmtId="0" fontId="8" fillId="0" borderId="33" xfId="23" applyBorder="1" applyAlignment="1">
      <alignment horizontal="right"/>
    </xf>
    <xf numFmtId="0" fontId="13" fillId="13" borderId="40" xfId="23" applyFont="1" applyFill="1" applyBorder="1"/>
    <xf numFmtId="0" fontId="13" fillId="23" borderId="40" xfId="23" applyFont="1" applyFill="1" applyBorder="1" applyAlignment="1">
      <alignment horizontal="center" vertical="center"/>
    </xf>
    <xf numFmtId="0" fontId="13" fillId="23" borderId="3" xfId="23" applyFont="1" applyFill="1" applyBorder="1" applyAlignment="1">
      <alignment horizontal="center" vertical="center"/>
    </xf>
    <xf numFmtId="0" fontId="62" fillId="23" borderId="103" xfId="23" applyFont="1" applyFill="1" applyBorder="1" applyAlignment="1">
      <alignment horizontal="center" vertical="center"/>
    </xf>
    <xf numFmtId="0" fontId="62" fillId="23" borderId="2" xfId="23" applyFont="1" applyFill="1" applyBorder="1" applyAlignment="1">
      <alignment horizontal="center" vertical="center"/>
    </xf>
    <xf numFmtId="2" fontId="8" fillId="0" borderId="261" xfId="23" applyNumberFormat="1" applyBorder="1" applyAlignment="1">
      <alignment horizontal="center" vertical="center"/>
    </xf>
    <xf numFmtId="1" fontId="8" fillId="0" borderId="261" xfId="23" applyNumberFormat="1" applyBorder="1" applyAlignment="1">
      <alignment horizontal="center" vertical="center"/>
    </xf>
    <xf numFmtId="1" fontId="8" fillId="0" borderId="46" xfId="23" applyNumberFormat="1" applyBorder="1" applyAlignment="1">
      <alignment horizontal="center" vertical="center"/>
    </xf>
    <xf numFmtId="1" fontId="0" fillId="0" borderId="46" xfId="23" applyNumberFormat="1" applyFont="1" applyBorder="1" applyAlignment="1">
      <alignment horizontal="center" vertical="center"/>
    </xf>
    <xf numFmtId="1" fontId="8" fillId="0" borderId="263" xfId="23" applyNumberFormat="1" applyBorder="1" applyAlignment="1">
      <alignment horizontal="center" vertical="center"/>
    </xf>
    <xf numFmtId="0" fontId="13" fillId="0" borderId="258" xfId="0" applyFont="1" applyBorder="1" applyAlignment="1">
      <alignment wrapText="1"/>
    </xf>
    <xf numFmtId="0" fontId="13" fillId="0" borderId="70" xfId="0" applyFont="1" applyBorder="1" applyAlignment="1">
      <alignment wrapText="1"/>
    </xf>
    <xf numFmtId="0" fontId="13" fillId="0" borderId="51" xfId="0" applyFont="1" applyBorder="1" applyAlignment="1">
      <alignment wrapText="1"/>
    </xf>
    <xf numFmtId="10" fontId="62" fillId="7" borderId="49" xfId="0" applyNumberFormat="1" applyFont="1" applyFill="1" applyBorder="1" applyAlignment="1">
      <alignment horizontal="center" vertical="center"/>
    </xf>
    <xf numFmtId="10" fontId="73" fillId="7" borderId="288" xfId="23" applyNumberFormat="1" applyFont="1" applyFill="1" applyBorder="1" applyAlignment="1">
      <alignment horizontal="center"/>
    </xf>
    <xf numFmtId="0" fontId="22" fillId="0" borderId="40" xfId="0" applyFont="1" applyBorder="1" applyAlignment="1">
      <alignment horizontal="right"/>
    </xf>
    <xf numFmtId="0" fontId="33" fillId="0" borderId="289" xfId="0" applyFont="1" applyBorder="1" applyAlignment="1">
      <alignment horizontal="right"/>
    </xf>
    <xf numFmtId="0" fontId="33" fillId="0" borderId="289" xfId="0" applyFont="1" applyBorder="1"/>
    <xf numFmtId="10" fontId="22" fillId="0" borderId="40" xfId="15" applyNumberFormat="1" applyFont="1" applyBorder="1"/>
    <xf numFmtId="1" fontId="33" fillId="0" borderId="289" xfId="0" applyNumberFormat="1" applyFont="1" applyBorder="1" applyAlignment="1">
      <alignment horizontal="center"/>
    </xf>
    <xf numFmtId="2" fontId="33" fillId="0" borderId="289" xfId="15" applyNumberFormat="1" applyFont="1" applyBorder="1"/>
    <xf numFmtId="1" fontId="33" fillId="18" borderId="0" xfId="0" applyNumberFormat="1" applyFont="1" applyFill="1" applyAlignment="1">
      <alignment horizontal="center" vertical="center"/>
    </xf>
    <xf numFmtId="1" fontId="0" fillId="0" borderId="0" xfId="0" applyNumberFormat="1" applyAlignment="1">
      <alignment horizontal="center" vertical="center"/>
    </xf>
    <xf numFmtId="0" fontId="62" fillId="7" borderId="168" xfId="0" applyFont="1" applyFill="1" applyBorder="1" applyAlignment="1">
      <alignment horizontal="left" vertical="center"/>
    </xf>
    <xf numFmtId="0" fontId="62" fillId="7" borderId="168" xfId="0" applyFont="1" applyFill="1" applyBorder="1" applyAlignment="1">
      <alignment horizontal="left" vertical="center" wrapText="1"/>
    </xf>
    <xf numFmtId="2" fontId="8" fillId="23" borderId="246" xfId="15" applyNumberFormat="1" applyFont="1" applyFill="1" applyBorder="1" applyAlignment="1">
      <alignment horizontal="center"/>
    </xf>
    <xf numFmtId="0" fontId="20" fillId="0" borderId="245" xfId="0" applyFont="1" applyBorder="1" applyAlignment="1">
      <alignment vertical="center" wrapText="1"/>
    </xf>
    <xf numFmtId="0" fontId="20" fillId="0" borderId="21" xfId="0" applyFont="1" applyBorder="1" applyAlignment="1">
      <alignment vertical="center" wrapText="1"/>
    </xf>
    <xf numFmtId="0" fontId="13" fillId="7" borderId="165" xfId="0" applyFont="1" applyFill="1" applyBorder="1" applyAlignment="1">
      <alignment horizontal="left" vertical="center" wrapText="1"/>
    </xf>
    <xf numFmtId="0" fontId="0" fillId="0" borderId="61" xfId="0" applyBorder="1"/>
    <xf numFmtId="0" fontId="13" fillId="0" borderId="0" xfId="0" applyFont="1" applyAlignment="1">
      <alignment horizontal="center"/>
    </xf>
    <xf numFmtId="166" fontId="13" fillId="0" borderId="0" xfId="0" applyNumberFormat="1" applyFont="1" applyAlignment="1">
      <alignment horizontal="center"/>
    </xf>
    <xf numFmtId="10" fontId="0" fillId="0" borderId="79" xfId="0" applyNumberFormat="1" applyBorder="1" applyAlignment="1">
      <alignment horizontal="center"/>
    </xf>
    <xf numFmtId="10" fontId="13" fillId="0" borderId="35" xfId="0" applyNumberFormat="1" applyFont="1" applyBorder="1" applyAlignment="1">
      <alignment horizontal="center"/>
    </xf>
    <xf numFmtId="10" fontId="13" fillId="0" borderId="213" xfId="0" applyNumberFormat="1" applyFont="1" applyBorder="1" applyAlignment="1">
      <alignment horizontal="center"/>
    </xf>
    <xf numFmtId="0" fontId="13" fillId="0" borderId="306" xfId="0" applyFont="1" applyBorder="1" applyAlignment="1">
      <alignment horizontal="center"/>
    </xf>
    <xf numFmtId="0" fontId="13" fillId="7" borderId="307" xfId="0" applyFont="1" applyFill="1" applyBorder="1" applyAlignment="1">
      <alignment horizontal="center"/>
    </xf>
    <xf numFmtId="0" fontId="13" fillId="7" borderId="308" xfId="0" applyFont="1" applyFill="1" applyBorder="1" applyAlignment="1">
      <alignment horizontal="center"/>
    </xf>
    <xf numFmtId="9" fontId="8" fillId="0" borderId="310" xfId="0" applyNumberFormat="1" applyFont="1" applyBorder="1" applyAlignment="1">
      <alignment horizontal="center"/>
    </xf>
    <xf numFmtId="10" fontId="0" fillId="0" borderId="313" xfId="0" applyNumberFormat="1" applyBorder="1" applyAlignment="1">
      <alignment horizontal="center"/>
    </xf>
    <xf numFmtId="9" fontId="8" fillId="0" borderId="314" xfId="0" applyNumberFormat="1" applyFont="1" applyBorder="1" applyAlignment="1">
      <alignment horizontal="center"/>
    </xf>
    <xf numFmtId="9" fontId="8" fillId="0" borderId="315" xfId="0" applyNumberFormat="1" applyFont="1" applyBorder="1" applyAlignment="1">
      <alignment horizontal="center"/>
    </xf>
    <xf numFmtId="0" fontId="0" fillId="32" borderId="56" xfId="0" applyFill="1" applyBorder="1"/>
    <xf numFmtId="1" fontId="0" fillId="0" borderId="79" xfId="0" applyNumberFormat="1" applyBorder="1" applyAlignment="1">
      <alignment horizontal="center"/>
    </xf>
    <xf numFmtId="1" fontId="0" fillId="0" borderId="313" xfId="0" applyNumberFormat="1" applyBorder="1" applyAlignment="1">
      <alignment horizontal="center"/>
    </xf>
    <xf numFmtId="9" fontId="0" fillId="0" borderId="146" xfId="0" applyNumberFormat="1" applyBorder="1" applyAlignment="1">
      <alignment horizontal="center"/>
    </xf>
    <xf numFmtId="9" fontId="8" fillId="0" borderId="319" xfId="0" applyNumberFormat="1" applyFont="1" applyBorder="1" applyAlignment="1">
      <alignment horizontal="center"/>
    </xf>
    <xf numFmtId="9" fontId="8" fillId="0" borderId="320" xfId="0" applyNumberFormat="1" applyFont="1" applyBorder="1" applyAlignment="1">
      <alignment horizontal="center"/>
    </xf>
    <xf numFmtId="9" fontId="8" fillId="0" borderId="321" xfId="0" applyNumberFormat="1" applyFont="1" applyBorder="1" applyAlignment="1">
      <alignment horizontal="center"/>
    </xf>
    <xf numFmtId="9" fontId="13" fillId="0" borderId="322" xfId="0" applyNumberFormat="1" applyFont="1" applyBorder="1" applyAlignment="1">
      <alignment horizontal="center"/>
    </xf>
    <xf numFmtId="0" fontId="0" fillId="0" borderId="301" xfId="0" applyBorder="1"/>
    <xf numFmtId="0" fontId="0" fillId="32" borderId="323" xfId="0" applyFill="1" applyBorder="1"/>
    <xf numFmtId="0" fontId="13" fillId="13" borderId="324" xfId="0" applyFont="1" applyFill="1" applyBorder="1" applyAlignment="1">
      <alignment horizontal="center"/>
    </xf>
    <xf numFmtId="9" fontId="0" fillId="0" borderId="325" xfId="15" applyFont="1" applyBorder="1"/>
    <xf numFmtId="9" fontId="0" fillId="0" borderId="326" xfId="15" applyFont="1" applyBorder="1"/>
    <xf numFmtId="9" fontId="0" fillId="0" borderId="327" xfId="15" applyFont="1" applyBorder="1"/>
    <xf numFmtId="9" fontId="0" fillId="0" borderId="328" xfId="0" applyNumberFormat="1" applyBorder="1"/>
    <xf numFmtId="9" fontId="0" fillId="0" borderId="275" xfId="0" applyNumberFormat="1" applyBorder="1"/>
    <xf numFmtId="0" fontId="13" fillId="13" borderId="329" xfId="0" applyFont="1" applyFill="1" applyBorder="1" applyAlignment="1">
      <alignment horizontal="center"/>
    </xf>
    <xf numFmtId="0" fontId="0" fillId="32" borderId="330" xfId="0" applyFill="1" applyBorder="1"/>
    <xf numFmtId="9" fontId="0" fillId="0" borderId="331" xfId="15" applyFont="1" applyBorder="1"/>
    <xf numFmtId="0" fontId="0" fillId="0" borderId="275" xfId="0" applyBorder="1"/>
    <xf numFmtId="9" fontId="13" fillId="0" borderId="0" xfId="15" applyFont="1" applyBorder="1"/>
    <xf numFmtId="0" fontId="0" fillId="0" borderId="332" xfId="0" applyBorder="1"/>
    <xf numFmtId="10" fontId="13" fillId="0" borderId="40" xfId="15" applyNumberFormat="1" applyFont="1" applyBorder="1" applyAlignment="1">
      <alignment horizontal="center" vertical="center"/>
    </xf>
    <xf numFmtId="2" fontId="8" fillId="0" borderId="289" xfId="15" applyNumberFormat="1" applyFont="1" applyBorder="1" applyAlignment="1">
      <alignment horizontal="center" vertical="center"/>
    </xf>
    <xf numFmtId="0" fontId="8" fillId="0" borderId="289" xfId="0" applyFont="1" applyBorder="1" applyAlignment="1">
      <alignment horizontal="center" vertical="center"/>
    </xf>
    <xf numFmtId="1" fontId="8" fillId="0" borderId="289" xfId="0" applyNumberFormat="1" applyFont="1" applyBorder="1" applyAlignment="1">
      <alignment horizontal="center" vertical="center"/>
    </xf>
    <xf numFmtId="2" fontId="33" fillId="0" borderId="0" xfId="0" applyNumberFormat="1" applyFont="1"/>
    <xf numFmtId="2" fontId="8" fillId="0" borderId="333" xfId="15" applyNumberFormat="1" applyFont="1" applyBorder="1" applyAlignment="1">
      <alignment horizontal="center" vertical="center"/>
    </xf>
    <xf numFmtId="0" fontId="8" fillId="0" borderId="103" xfId="23" applyBorder="1" applyAlignment="1">
      <alignment horizontal="center" vertical="center"/>
    </xf>
    <xf numFmtId="10" fontId="8" fillId="0" borderId="103" xfId="23" applyNumberFormat="1" applyBorder="1" applyAlignment="1">
      <alignment horizontal="center" vertical="center"/>
    </xf>
    <xf numFmtId="10" fontId="13" fillId="0" borderId="33" xfId="15" applyNumberFormat="1" applyFont="1" applyBorder="1" applyAlignment="1">
      <alignment horizontal="center" vertical="center"/>
    </xf>
    <xf numFmtId="10" fontId="13" fillId="0" borderId="2" xfId="15" applyNumberFormat="1" applyFont="1" applyBorder="1" applyAlignment="1">
      <alignment horizontal="center" vertical="center"/>
    </xf>
    <xf numFmtId="1" fontId="13" fillId="0" borderId="333" xfId="15" applyNumberFormat="1" applyFont="1" applyBorder="1" applyAlignment="1">
      <alignment horizontal="center" vertical="center"/>
    </xf>
    <xf numFmtId="1" fontId="13" fillId="0" borderId="289" xfId="15" applyNumberFormat="1" applyFont="1" applyBorder="1" applyAlignment="1">
      <alignment horizontal="center" vertical="center"/>
    </xf>
    <xf numFmtId="1" fontId="13" fillId="0" borderId="289" xfId="0" applyNumberFormat="1" applyFont="1" applyBorder="1" applyAlignment="1">
      <alignment horizontal="center" vertical="center"/>
    </xf>
    <xf numFmtId="1" fontId="8" fillId="0" borderId="259" xfId="23" applyNumberFormat="1" applyBorder="1" applyAlignment="1">
      <alignment horizontal="center" vertical="center"/>
    </xf>
    <xf numFmtId="1" fontId="0" fillId="0" borderId="260" xfId="23" applyNumberFormat="1" applyFont="1" applyBorder="1" applyAlignment="1">
      <alignment horizontal="center" vertical="center"/>
    </xf>
    <xf numFmtId="1" fontId="0" fillId="0" borderId="262" xfId="23" applyNumberFormat="1" applyFont="1" applyBorder="1" applyAlignment="1">
      <alignment horizontal="center" vertical="center"/>
    </xf>
    <xf numFmtId="2" fontId="8" fillId="0" borderId="46" xfId="23" applyNumberFormat="1" applyBorder="1" applyAlignment="1">
      <alignment horizontal="center" vertical="center"/>
    </xf>
    <xf numFmtId="2" fontId="8" fillId="0" borderId="263" xfId="23" applyNumberFormat="1" applyBorder="1" applyAlignment="1">
      <alignment horizontal="center" vertical="center"/>
    </xf>
    <xf numFmtId="1" fontId="0" fillId="0" borderId="0" xfId="0" applyNumberFormat="1" applyAlignment="1">
      <alignment horizontal="center"/>
    </xf>
    <xf numFmtId="0" fontId="13" fillId="0" borderId="40" xfId="0" applyFont="1" applyBorder="1" applyAlignment="1">
      <alignment horizontal="center" vertical="center"/>
    </xf>
    <xf numFmtId="0" fontId="13" fillId="0" borderId="40" xfId="0" applyFont="1" applyBorder="1" applyAlignment="1">
      <alignment horizontal="right"/>
    </xf>
    <xf numFmtId="1" fontId="0" fillId="0" borderId="40" xfId="0" applyNumberFormat="1" applyBorder="1" applyAlignment="1">
      <alignment horizontal="center"/>
    </xf>
    <xf numFmtId="9" fontId="0" fillId="0" borderId="40" xfId="15" applyFont="1" applyBorder="1" applyAlignment="1">
      <alignment horizontal="center"/>
    </xf>
    <xf numFmtId="0" fontId="8" fillId="0" borderId="335" xfId="0" applyFont="1" applyBorder="1" applyAlignment="1">
      <alignment horizontal="right"/>
    </xf>
    <xf numFmtId="10" fontId="0" fillId="0" borderId="335" xfId="15" applyNumberFormat="1" applyFont="1" applyBorder="1" applyAlignment="1">
      <alignment horizontal="center"/>
    </xf>
    <xf numFmtId="167" fontId="0" fillId="0" borderId="335" xfId="15" applyNumberFormat="1" applyFont="1" applyBorder="1" applyAlignment="1">
      <alignment horizontal="center"/>
    </xf>
    <xf numFmtId="0" fontId="91" fillId="6" borderId="33" xfId="0" applyFont="1" applyFill="1" applyBorder="1" applyAlignment="1">
      <alignment horizontal="right"/>
    </xf>
    <xf numFmtId="0" fontId="0" fillId="0" borderId="0" xfId="23" applyFont="1"/>
    <xf numFmtId="1" fontId="0" fillId="0" borderId="263" xfId="23" applyNumberFormat="1" applyFont="1" applyBorder="1" applyAlignment="1">
      <alignment horizontal="center" vertical="center"/>
    </xf>
    <xf numFmtId="1" fontId="0" fillId="0" borderId="261" xfId="23" applyNumberFormat="1" applyFont="1" applyBorder="1" applyAlignment="1">
      <alignment horizontal="center" vertical="center"/>
    </xf>
    <xf numFmtId="0" fontId="8" fillId="0" borderId="336" xfId="0" applyFont="1" applyBorder="1"/>
    <xf numFmtId="0" fontId="8" fillId="0" borderId="207" xfId="0" applyFont="1" applyBorder="1"/>
    <xf numFmtId="0" fontId="8" fillId="0" borderId="338" xfId="0" applyFont="1" applyBorder="1" applyAlignment="1">
      <alignment horizontal="left"/>
    </xf>
    <xf numFmtId="10" fontId="8" fillId="0" borderId="103" xfId="0" applyNumberFormat="1" applyFont="1" applyBorder="1" applyAlignment="1">
      <alignment horizontal="center"/>
    </xf>
    <xf numFmtId="0" fontId="8" fillId="0" borderId="340" xfId="0" applyFont="1" applyBorder="1"/>
    <xf numFmtId="10" fontId="8" fillId="0" borderId="341" xfId="0" applyNumberFormat="1" applyFont="1" applyBorder="1" applyAlignment="1">
      <alignment horizontal="center"/>
    </xf>
    <xf numFmtId="0" fontId="8" fillId="0" borderId="342" xfId="0" applyFont="1" applyBorder="1"/>
    <xf numFmtId="0" fontId="8" fillId="0" borderId="338" xfId="0" applyFont="1" applyBorder="1"/>
    <xf numFmtId="0" fontId="8" fillId="0" borderId="343" xfId="0" applyFont="1" applyBorder="1"/>
    <xf numFmtId="0" fontId="8" fillId="17" borderId="0" xfId="23" applyFill="1"/>
    <xf numFmtId="1" fontId="8" fillId="0" borderId="345" xfId="23" applyNumberFormat="1" applyBorder="1" applyAlignment="1">
      <alignment horizontal="center" vertical="center"/>
    </xf>
    <xf numFmtId="1" fontId="8" fillId="0" borderId="346" xfId="23" applyNumberFormat="1" applyBorder="1" applyAlignment="1">
      <alignment horizontal="center" vertical="center"/>
    </xf>
    <xf numFmtId="1" fontId="8" fillId="0" borderId="347" xfId="23" applyNumberFormat="1" applyBorder="1" applyAlignment="1">
      <alignment horizontal="center" vertical="center"/>
    </xf>
    <xf numFmtId="10" fontId="8" fillId="0" borderId="207" xfId="0" applyNumberFormat="1" applyFont="1" applyBorder="1" applyAlignment="1">
      <alignment horizontal="center"/>
    </xf>
    <xf numFmtId="10" fontId="8" fillId="0" borderId="349" xfId="0" applyNumberFormat="1" applyFont="1" applyBorder="1" applyAlignment="1">
      <alignment horizontal="center"/>
    </xf>
    <xf numFmtId="10" fontId="8" fillId="0" borderId="350" xfId="0" applyNumberFormat="1" applyFont="1" applyBorder="1" applyAlignment="1">
      <alignment horizontal="center"/>
    </xf>
    <xf numFmtId="0" fontId="8" fillId="0" borderId="0" xfId="23" applyAlignment="1">
      <alignment vertical="center" wrapText="1"/>
    </xf>
    <xf numFmtId="0" fontId="10" fillId="0" borderId="40" xfId="10" applyBorder="1" applyAlignment="1" applyProtection="1">
      <alignment horizontal="center"/>
    </xf>
    <xf numFmtId="3" fontId="8" fillId="0" borderId="0" xfId="23" applyNumberFormat="1"/>
    <xf numFmtId="9" fontId="92" fillId="47" borderId="83" xfId="34" applyNumberFormat="1" applyBorder="1" applyAlignment="1">
      <alignment horizontal="center"/>
    </xf>
    <xf numFmtId="9" fontId="92" fillId="47" borderId="82" xfId="34" applyNumberFormat="1" applyBorder="1" applyAlignment="1">
      <alignment horizontal="center"/>
    </xf>
    <xf numFmtId="168" fontId="93" fillId="48" borderId="81" xfId="35" applyNumberFormat="1" applyBorder="1" applyAlignment="1">
      <alignment horizontal="center"/>
    </xf>
    <xf numFmtId="9" fontId="8" fillId="0" borderId="0" xfId="15" applyAlignment="1">
      <alignment horizontal="center"/>
    </xf>
    <xf numFmtId="1" fontId="8" fillId="0" borderId="103" xfId="0" applyNumberFormat="1" applyFont="1" applyBorder="1" applyAlignment="1">
      <alignment horizontal="center" vertical="center"/>
    </xf>
    <xf numFmtId="0" fontId="13" fillId="0" borderId="336" xfId="0" applyFont="1" applyBorder="1"/>
    <xf numFmtId="0" fontId="13" fillId="0" borderId="337" xfId="0" applyFont="1" applyBorder="1" applyAlignment="1">
      <alignment horizontal="center"/>
    </xf>
    <xf numFmtId="0" fontId="13" fillId="0" borderId="348" xfId="0" applyFont="1" applyBorder="1" applyAlignment="1">
      <alignment horizontal="center"/>
    </xf>
    <xf numFmtId="1" fontId="8" fillId="0" borderId="349" xfId="0" applyNumberFormat="1" applyFont="1" applyBorder="1" applyAlignment="1">
      <alignment horizontal="center" vertical="center"/>
    </xf>
    <xf numFmtId="1" fontId="8" fillId="0" borderId="207" xfId="0" applyNumberFormat="1" applyFont="1" applyBorder="1" applyAlignment="1">
      <alignment horizontal="center" vertical="center"/>
    </xf>
    <xf numFmtId="0" fontId="13" fillId="0" borderId="163" xfId="0" applyFont="1" applyBorder="1" applyAlignment="1">
      <alignment horizontal="center"/>
    </xf>
    <xf numFmtId="0" fontId="13" fillId="0" borderId="106" xfId="0" applyFont="1" applyBorder="1" applyAlignment="1">
      <alignment horizontal="center"/>
    </xf>
    <xf numFmtId="0" fontId="10" fillId="0" borderId="40" xfId="10" applyBorder="1" applyAlignment="1" applyProtection="1">
      <alignment horizontal="center" wrapText="1"/>
    </xf>
    <xf numFmtId="10" fontId="0" fillId="0" borderId="0" xfId="15" applyNumberFormat="1" applyFont="1" applyAlignment="1">
      <alignment horizontal="center" vertical="center"/>
    </xf>
    <xf numFmtId="1" fontId="8" fillId="0" borderId="351" xfId="23" applyNumberFormat="1" applyBorder="1" applyAlignment="1">
      <alignment horizontal="center" vertical="center"/>
    </xf>
    <xf numFmtId="1" fontId="8" fillId="0" borderId="227" xfId="0" quotePrefix="1" applyNumberFormat="1" applyFont="1" applyBorder="1" applyAlignment="1">
      <alignment horizontal="center" vertical="center"/>
    </xf>
    <xf numFmtId="1" fontId="8" fillId="0" borderId="40" xfId="0" quotePrefix="1" applyNumberFormat="1" applyFont="1" applyBorder="1" applyAlignment="1">
      <alignment horizontal="center" vertical="center"/>
    </xf>
    <xf numFmtId="1" fontId="8" fillId="0" borderId="39" xfId="0" quotePrefix="1" applyNumberFormat="1" applyFont="1" applyBorder="1" applyAlignment="1">
      <alignment horizontal="center" vertical="center"/>
    </xf>
    <xf numFmtId="1" fontId="8" fillId="0" borderId="211" xfId="0" quotePrefix="1" applyNumberFormat="1" applyFont="1" applyBorder="1" applyAlignment="1">
      <alignment horizontal="center" vertical="center"/>
    </xf>
    <xf numFmtId="1" fontId="8" fillId="0" borderId="224" xfId="0" quotePrefix="1" applyNumberFormat="1" applyFont="1" applyBorder="1" applyAlignment="1">
      <alignment horizontal="center" vertical="center"/>
    </xf>
    <xf numFmtId="1" fontId="60" fillId="37" borderId="152" xfId="0" applyNumberFormat="1" applyFont="1" applyFill="1" applyBorder="1" applyAlignment="1">
      <alignment horizontal="center" vertical="center"/>
    </xf>
    <xf numFmtId="1" fontId="60" fillId="0" borderId="38" xfId="0" applyNumberFormat="1" applyFont="1" applyBorder="1" applyAlignment="1">
      <alignment horizontal="center" vertical="center"/>
    </xf>
    <xf numFmtId="1" fontId="57" fillId="39" borderId="40" xfId="0" quotePrefix="1" applyNumberFormat="1" applyFont="1" applyFill="1" applyBorder="1" applyAlignment="1">
      <alignment horizontal="center" vertical="center"/>
    </xf>
    <xf numFmtId="1" fontId="57" fillId="39" borderId="40" xfId="0" applyNumberFormat="1" applyFont="1" applyFill="1" applyBorder="1" applyAlignment="1">
      <alignment horizontal="center" vertical="center"/>
    </xf>
    <xf numFmtId="1" fontId="67" fillId="37" borderId="39" xfId="0" applyNumberFormat="1" applyFont="1" applyFill="1" applyBorder="1" applyAlignment="1">
      <alignment horizontal="center" vertical="center"/>
    </xf>
    <xf numFmtId="1" fontId="67" fillId="37" borderId="40" xfId="0" applyNumberFormat="1" applyFont="1" applyFill="1" applyBorder="1" applyAlignment="1">
      <alignment horizontal="center" vertical="center"/>
    </xf>
    <xf numFmtId="1" fontId="67" fillId="37" borderId="38" xfId="0" applyNumberFormat="1" applyFont="1" applyFill="1" applyBorder="1" applyAlignment="1">
      <alignment horizontal="center" vertical="center"/>
    </xf>
    <xf numFmtId="1" fontId="60" fillId="0" borderId="39" xfId="0" applyNumberFormat="1" applyFont="1" applyBorder="1" applyAlignment="1">
      <alignment horizontal="center" vertical="center"/>
    </xf>
    <xf numFmtId="1" fontId="24" fillId="37" borderId="39" xfId="0" applyNumberFormat="1" applyFont="1" applyFill="1" applyBorder="1" applyAlignment="1">
      <alignment horizontal="center" vertical="center"/>
    </xf>
    <xf numFmtId="1" fontId="24" fillId="37" borderId="40" xfId="0" applyNumberFormat="1" applyFont="1" applyFill="1" applyBorder="1" applyAlignment="1">
      <alignment horizontal="center" vertical="center"/>
    </xf>
    <xf numFmtId="1" fontId="24" fillId="37" borderId="38" xfId="0" applyNumberFormat="1" applyFont="1" applyFill="1" applyBorder="1" applyAlignment="1">
      <alignment horizontal="center" vertical="center"/>
    </xf>
    <xf numFmtId="1" fontId="60" fillId="37" borderId="39" xfId="0" applyNumberFormat="1" applyFont="1" applyFill="1" applyBorder="1" applyAlignment="1">
      <alignment horizontal="center" vertical="center"/>
    </xf>
    <xf numFmtId="1" fontId="60" fillId="37" borderId="40" xfId="0" applyNumberFormat="1" applyFont="1" applyFill="1" applyBorder="1" applyAlignment="1">
      <alignment horizontal="center" vertical="center"/>
    </xf>
    <xf numFmtId="1" fontId="60" fillId="37" borderId="38" xfId="0" applyNumberFormat="1" applyFont="1" applyFill="1" applyBorder="1" applyAlignment="1">
      <alignment horizontal="center" vertical="center"/>
    </xf>
    <xf numFmtId="1" fontId="67" fillId="37" borderId="39" xfId="0" quotePrefix="1" applyNumberFormat="1" applyFont="1" applyFill="1" applyBorder="1" applyAlignment="1">
      <alignment horizontal="center" vertical="center"/>
    </xf>
    <xf numFmtId="1" fontId="67" fillId="37" borderId="40" xfId="0" quotePrefix="1" applyNumberFormat="1" applyFont="1" applyFill="1" applyBorder="1" applyAlignment="1">
      <alignment horizontal="center" vertical="center"/>
    </xf>
    <xf numFmtId="1" fontId="67" fillId="37" borderId="38" xfId="0" quotePrefix="1" applyNumberFormat="1" applyFont="1" applyFill="1" applyBorder="1" applyAlignment="1">
      <alignment horizontal="center" vertical="center"/>
    </xf>
    <xf numFmtId="1" fontId="60" fillId="37" borderId="235" xfId="0" applyNumberFormat="1" applyFont="1" applyFill="1" applyBorder="1" applyAlignment="1">
      <alignment horizontal="center" vertical="center"/>
    </xf>
    <xf numFmtId="0" fontId="13" fillId="7" borderId="0" xfId="23" applyFont="1" applyFill="1"/>
    <xf numFmtId="1" fontId="8" fillId="0" borderId="352" xfId="23" applyNumberFormat="1" applyBorder="1" applyAlignment="1">
      <alignment horizontal="center" vertical="center"/>
    </xf>
    <xf numFmtId="1" fontId="8" fillId="0" borderId="353" xfId="23" applyNumberFormat="1" applyBorder="1" applyAlignment="1">
      <alignment horizontal="center" vertical="center"/>
    </xf>
    <xf numFmtId="1" fontId="8" fillId="0" borderId="354" xfId="23" applyNumberFormat="1" applyBorder="1" applyAlignment="1">
      <alignment horizontal="center" vertical="center"/>
    </xf>
    <xf numFmtId="0" fontId="13" fillId="0" borderId="0" xfId="23" applyFont="1" applyAlignment="1">
      <alignment horizontal="right"/>
    </xf>
    <xf numFmtId="1" fontId="8" fillId="0" borderId="355" xfId="23" applyNumberFormat="1" applyBorder="1" applyAlignment="1">
      <alignment horizontal="center" vertical="center"/>
    </xf>
    <xf numFmtId="1" fontId="8" fillId="0" borderId="356" xfId="23" applyNumberFormat="1" applyBorder="1" applyAlignment="1">
      <alignment horizontal="center" vertical="center"/>
    </xf>
    <xf numFmtId="177" fontId="0" fillId="0" borderId="0" xfId="0" applyNumberFormat="1"/>
    <xf numFmtId="1" fontId="0" fillId="0" borderId="0" xfId="0" applyNumberFormat="1"/>
    <xf numFmtId="0" fontId="8" fillId="0" borderId="0" xfId="23" applyAlignment="1">
      <alignment horizontal="center" vertical="center"/>
    </xf>
    <xf numFmtId="0" fontId="8" fillId="0" borderId="40" xfId="23" applyBorder="1" applyAlignment="1">
      <alignment horizontal="center" vertical="center"/>
    </xf>
    <xf numFmtId="0" fontId="8" fillId="0" borderId="40" xfId="23" applyBorder="1" applyAlignment="1">
      <alignment horizontal="center"/>
    </xf>
    <xf numFmtId="0" fontId="8" fillId="0" borderId="33" xfId="23" applyBorder="1"/>
    <xf numFmtId="0" fontId="8" fillId="0" borderId="40" xfId="23" applyBorder="1"/>
    <xf numFmtId="10" fontId="8" fillId="0" borderId="40" xfId="15" applyNumberFormat="1" applyBorder="1" applyAlignment="1">
      <alignment horizontal="center" vertical="center"/>
    </xf>
    <xf numFmtId="0" fontId="8" fillId="0" borderId="361" xfId="23" applyBorder="1"/>
    <xf numFmtId="0" fontId="8" fillId="0" borderId="260" xfId="23" applyBorder="1" applyAlignment="1">
      <alignment horizontal="center" vertical="center"/>
    </xf>
    <xf numFmtId="0" fontId="8" fillId="0" borderId="359" xfId="23" applyBorder="1" applyAlignment="1">
      <alignment horizontal="center" vertical="center"/>
    </xf>
    <xf numFmtId="0" fontId="8" fillId="0" borderId="344" xfId="23" applyBorder="1"/>
    <xf numFmtId="10" fontId="8" fillId="0" borderId="360" xfId="15" applyNumberFormat="1" applyBorder="1" applyAlignment="1">
      <alignment horizontal="center"/>
    </xf>
    <xf numFmtId="10" fontId="8" fillId="0" borderId="346" xfId="15" applyNumberFormat="1" applyBorder="1" applyAlignment="1">
      <alignment horizontal="center"/>
    </xf>
    <xf numFmtId="10" fontId="8" fillId="0" borderId="362" xfId="15" applyNumberFormat="1" applyBorder="1" applyAlignment="1">
      <alignment horizontal="center"/>
    </xf>
    <xf numFmtId="0" fontId="8" fillId="0" borderId="363" xfId="23" applyBorder="1" applyAlignment="1">
      <alignment horizontal="center" vertical="center"/>
    </xf>
    <xf numFmtId="10" fontId="8" fillId="0" borderId="347" xfId="15" applyNumberFormat="1" applyBorder="1" applyAlignment="1">
      <alignment horizontal="center" vertical="center"/>
    </xf>
    <xf numFmtId="0" fontId="8" fillId="0" borderId="364" xfId="23" applyBorder="1"/>
    <xf numFmtId="167" fontId="8" fillId="0" borderId="364" xfId="15" applyNumberFormat="1" applyBorder="1" applyAlignment="1">
      <alignment horizontal="center" vertical="center"/>
    </xf>
    <xf numFmtId="0" fontId="8" fillId="0" borderId="365" xfId="23" applyBorder="1"/>
    <xf numFmtId="167" fontId="8" fillId="0" borderId="365" xfId="15" applyNumberFormat="1" applyBorder="1" applyAlignment="1">
      <alignment horizontal="center"/>
    </xf>
    <xf numFmtId="10" fontId="8" fillId="0" borderId="365" xfId="15" applyNumberFormat="1" applyBorder="1" applyAlignment="1">
      <alignment horizontal="center" vertical="center"/>
    </xf>
    <xf numFmtId="0" fontId="13" fillId="0" borderId="365" xfId="23" applyFont="1" applyBorder="1" applyAlignment="1">
      <alignment horizontal="left"/>
    </xf>
    <xf numFmtId="2" fontId="13" fillId="0" borderId="365" xfId="15" applyNumberFormat="1" applyFont="1" applyBorder="1" applyAlignment="1">
      <alignment horizontal="center" vertical="center"/>
    </xf>
    <xf numFmtId="0" fontId="13" fillId="0" borderId="40" xfId="23" applyFont="1" applyBorder="1" applyAlignment="1">
      <alignment horizontal="center" vertical="center"/>
    </xf>
    <xf numFmtId="0" fontId="13" fillId="0" borderId="367" xfId="23" applyFont="1" applyBorder="1"/>
    <xf numFmtId="0" fontId="8" fillId="0" borderId="51" xfId="23" applyBorder="1" applyAlignment="1">
      <alignment horizontal="center" vertical="center"/>
    </xf>
    <xf numFmtId="0" fontId="8" fillId="0" borderId="46" xfId="23" applyBorder="1" applyAlignment="1">
      <alignment horizontal="center" vertical="center"/>
    </xf>
    <xf numFmtId="0" fontId="8" fillId="0" borderId="263" xfId="23" applyBorder="1" applyAlignment="1">
      <alignment horizontal="center" vertical="center"/>
    </xf>
    <xf numFmtId="0" fontId="102" fillId="0" borderId="0" xfId="0" applyFont="1"/>
    <xf numFmtId="10" fontId="8" fillId="0" borderId="51" xfId="15" applyNumberFormat="1" applyBorder="1" applyAlignment="1">
      <alignment horizontal="center"/>
    </xf>
    <xf numFmtId="10" fontId="8" fillId="0" borderId="46" xfId="15" applyNumberFormat="1" applyBorder="1" applyAlignment="1">
      <alignment horizontal="center"/>
    </xf>
    <xf numFmtId="10" fontId="8" fillId="0" borderId="263" xfId="15" applyNumberFormat="1" applyBorder="1" applyAlignment="1">
      <alignment horizontal="center" vertical="center"/>
    </xf>
    <xf numFmtId="0" fontId="103" fillId="0" borderId="366" xfId="23" applyFont="1" applyBorder="1" applyAlignment="1">
      <alignment horizontal="right"/>
    </xf>
    <xf numFmtId="0" fontId="104" fillId="0" borderId="366" xfId="23" applyFont="1" applyBorder="1" applyAlignment="1">
      <alignment horizontal="right"/>
    </xf>
    <xf numFmtId="0" fontId="104" fillId="0" borderId="344" xfId="23" applyFont="1" applyBorder="1" applyAlignment="1">
      <alignment horizontal="right"/>
    </xf>
    <xf numFmtId="0" fontId="103" fillId="0" borderId="51" xfId="23" applyFont="1" applyBorder="1" applyAlignment="1">
      <alignment horizontal="center" vertical="center"/>
    </xf>
    <xf numFmtId="0" fontId="103" fillId="0" borderId="46" xfId="23" applyFont="1" applyBorder="1" applyAlignment="1">
      <alignment horizontal="center" vertical="center"/>
    </xf>
    <xf numFmtId="0" fontId="103" fillId="0" borderId="263" xfId="23" applyFont="1" applyBorder="1" applyAlignment="1">
      <alignment horizontal="center" vertical="center"/>
    </xf>
    <xf numFmtId="10" fontId="103" fillId="0" borderId="263" xfId="15" applyNumberFormat="1" applyFont="1" applyBorder="1" applyAlignment="1">
      <alignment horizontal="center" vertical="center"/>
    </xf>
    <xf numFmtId="10" fontId="103" fillId="0" borderId="347" xfId="15" applyNumberFormat="1" applyFont="1" applyBorder="1" applyAlignment="1">
      <alignment horizontal="center" vertical="center"/>
    </xf>
    <xf numFmtId="0" fontId="8" fillId="0" borderId="262" xfId="23" applyBorder="1" applyAlignment="1">
      <alignment horizontal="center"/>
    </xf>
    <xf numFmtId="0" fontId="103" fillId="0" borderId="0" xfId="23" applyFont="1" applyAlignment="1">
      <alignment horizontal="center" vertical="center"/>
    </xf>
    <xf numFmtId="10" fontId="103" fillId="0" borderId="51" xfId="15" applyNumberFormat="1" applyFont="1" applyBorder="1" applyAlignment="1">
      <alignment horizontal="center" vertical="center"/>
    </xf>
    <xf numFmtId="10" fontId="103" fillId="0" borderId="46" xfId="15" applyNumberFormat="1" applyFont="1" applyBorder="1" applyAlignment="1">
      <alignment horizontal="center" vertical="center"/>
    </xf>
    <xf numFmtId="10" fontId="103" fillId="0" borderId="360" xfId="15" applyNumberFormat="1" applyFont="1" applyBorder="1" applyAlignment="1">
      <alignment horizontal="center" vertical="center"/>
    </xf>
    <xf numFmtId="10" fontId="103" fillId="0" borderId="346" xfId="15" applyNumberFormat="1" applyFont="1" applyBorder="1" applyAlignment="1">
      <alignment horizontal="center" vertical="center"/>
    </xf>
    <xf numFmtId="10" fontId="103" fillId="0" borderId="362" xfId="15" applyNumberFormat="1" applyFont="1" applyBorder="1" applyAlignment="1">
      <alignment horizontal="center" vertical="center"/>
    </xf>
    <xf numFmtId="0" fontId="8" fillId="0" borderId="359" xfId="23" applyBorder="1" applyAlignment="1">
      <alignment horizontal="center"/>
    </xf>
    <xf numFmtId="178" fontId="8" fillId="0" borderId="0" xfId="23" applyNumberFormat="1"/>
    <xf numFmtId="2" fontId="8" fillId="0" borderId="0" xfId="23" applyNumberFormat="1"/>
    <xf numFmtId="0" fontId="13" fillId="0" borderId="0" xfId="23" applyFont="1" applyAlignment="1">
      <alignment horizontal="left"/>
    </xf>
    <xf numFmtId="2" fontId="13" fillId="0" borderId="0" xfId="15" applyNumberFormat="1" applyFont="1" applyBorder="1" applyAlignment="1">
      <alignment horizontal="center" vertical="center"/>
    </xf>
    <xf numFmtId="0" fontId="8" fillId="0" borderId="365" xfId="23" applyBorder="1" applyAlignment="1">
      <alignment horizontal="center"/>
    </xf>
    <xf numFmtId="9" fontId="8" fillId="0" borderId="365" xfId="15" applyBorder="1"/>
    <xf numFmtId="0" fontId="13" fillId="0" borderId="365" xfId="23" applyFont="1" applyBorder="1" applyAlignment="1">
      <alignment horizontal="left" vertical="top" wrapText="1"/>
    </xf>
    <xf numFmtId="2" fontId="13" fillId="0" borderId="365" xfId="23" applyNumberFormat="1" applyFont="1" applyBorder="1" applyAlignment="1">
      <alignment horizontal="center" vertical="center"/>
    </xf>
    <xf numFmtId="0" fontId="8" fillId="0" borderId="365" xfId="23" applyBorder="1" applyAlignment="1">
      <alignment wrapText="1"/>
    </xf>
    <xf numFmtId="167" fontId="8" fillId="0" borderId="365" xfId="15" applyNumberFormat="1" applyBorder="1" applyAlignment="1">
      <alignment horizontal="center" vertical="center"/>
    </xf>
    <xf numFmtId="2" fontId="26" fillId="0" borderId="0" xfId="15" applyNumberFormat="1" applyFont="1" applyBorder="1" applyAlignment="1">
      <alignment horizontal="center" vertical="center"/>
    </xf>
    <xf numFmtId="10" fontId="8" fillId="0" borderId="0" xfId="23" applyNumberFormat="1" applyAlignment="1">
      <alignment horizontal="center" vertical="center"/>
    </xf>
    <xf numFmtId="0" fontId="88" fillId="0" borderId="40" xfId="23" applyFont="1" applyBorder="1" applyAlignment="1">
      <alignment horizontal="center" vertical="center"/>
    </xf>
    <xf numFmtId="9" fontId="8" fillId="0" borderId="40" xfId="23" applyNumberFormat="1" applyBorder="1" applyAlignment="1">
      <alignment horizontal="center" vertical="center"/>
    </xf>
    <xf numFmtId="167" fontId="8" fillId="0" borderId="40" xfId="23" applyNumberFormat="1" applyBorder="1" applyAlignment="1">
      <alignment horizontal="center" vertical="center"/>
    </xf>
    <xf numFmtId="0" fontId="101" fillId="0" borderId="0" xfId="23" applyFont="1" applyAlignment="1">
      <alignment horizontal="center" vertical="center"/>
    </xf>
    <xf numFmtId="10" fontId="105" fillId="0" borderId="260" xfId="15" applyNumberFormat="1" applyFont="1" applyBorder="1" applyAlignment="1">
      <alignment horizontal="center" vertical="center"/>
    </xf>
    <xf numFmtId="10" fontId="105" fillId="0" borderId="262" xfId="15" applyNumberFormat="1" applyFont="1" applyBorder="1" applyAlignment="1">
      <alignment horizontal="center" vertical="center"/>
    </xf>
    <xf numFmtId="10" fontId="8" fillId="0" borderId="359" xfId="15" applyNumberFormat="1" applyFont="1" applyBorder="1" applyAlignment="1">
      <alignment horizontal="center" vertical="center"/>
    </xf>
    <xf numFmtId="10" fontId="8" fillId="0" borderId="260" xfId="15" applyNumberFormat="1" applyFont="1" applyBorder="1" applyAlignment="1">
      <alignment horizontal="center" vertical="center"/>
    </xf>
    <xf numFmtId="0" fontId="8" fillId="0" borderId="360" xfId="23" applyBorder="1" applyAlignment="1">
      <alignment horizontal="center" vertical="center"/>
    </xf>
    <xf numFmtId="0" fontId="8" fillId="0" borderId="346" xfId="23" applyBorder="1" applyAlignment="1">
      <alignment horizontal="center" vertical="center"/>
    </xf>
    <xf numFmtId="0" fontId="8" fillId="0" borderId="347" xfId="23" applyBorder="1" applyAlignment="1">
      <alignment horizontal="center" vertical="center"/>
    </xf>
    <xf numFmtId="10" fontId="105" fillId="0" borderId="359" xfId="15" applyNumberFormat="1" applyFont="1" applyBorder="1" applyAlignment="1">
      <alignment horizontal="center" vertical="center"/>
    </xf>
    <xf numFmtId="10" fontId="8" fillId="0" borderId="262" xfId="15" applyNumberFormat="1" applyFont="1" applyBorder="1" applyAlignment="1">
      <alignment horizontal="center" vertical="center"/>
    </xf>
    <xf numFmtId="2" fontId="8" fillId="0" borderId="51" xfId="23" applyNumberFormat="1" applyBorder="1" applyAlignment="1">
      <alignment horizontal="center" vertical="center"/>
    </xf>
    <xf numFmtId="0" fontId="13" fillId="0" borderId="361" xfId="23" applyFont="1" applyBorder="1" applyAlignment="1">
      <alignment horizontal="center" vertical="center"/>
    </xf>
    <xf numFmtId="0" fontId="13" fillId="0" borderId="366" xfId="23" applyFont="1" applyBorder="1" applyAlignment="1">
      <alignment horizontal="center" vertical="center"/>
    </xf>
    <xf numFmtId="0" fontId="13" fillId="0" borderId="366" xfId="23" applyFont="1" applyBorder="1" applyAlignment="1">
      <alignment horizontal="center" vertical="center" wrapText="1"/>
    </xf>
    <xf numFmtId="0" fontId="13" fillId="0" borderId="344" xfId="23" applyFont="1" applyBorder="1" applyAlignment="1">
      <alignment horizontal="center" vertical="center"/>
    </xf>
    <xf numFmtId="2" fontId="8" fillId="0" borderId="360" xfId="23" applyNumberFormat="1" applyBorder="1" applyAlignment="1">
      <alignment horizontal="center" vertical="center"/>
    </xf>
    <xf numFmtId="2" fontId="8" fillId="0" borderId="346" xfId="23" applyNumberFormat="1" applyBorder="1" applyAlignment="1">
      <alignment horizontal="center" vertical="center"/>
    </xf>
    <xf numFmtId="2" fontId="8" fillId="0" borderId="347" xfId="23" applyNumberFormat="1" applyBorder="1" applyAlignment="1">
      <alignment horizontal="center" vertical="center"/>
    </xf>
    <xf numFmtId="0" fontId="13" fillId="0" borderId="371" xfId="0" applyFont="1" applyBorder="1" applyAlignment="1">
      <alignment horizontal="center"/>
    </xf>
    <xf numFmtId="0" fontId="0" fillId="0" borderId="371" xfId="0" applyBorder="1" applyAlignment="1">
      <alignment horizontal="center" vertical="center"/>
    </xf>
    <xf numFmtId="171" fontId="0" fillId="16" borderId="83" xfId="0" applyNumberFormat="1" applyFill="1" applyBorder="1" applyAlignment="1">
      <alignment horizontal="center"/>
    </xf>
    <xf numFmtId="2" fontId="25" fillId="17" borderId="182" xfId="15" applyNumberFormat="1" applyFont="1" applyFill="1" applyBorder="1" applyAlignment="1">
      <alignment horizontal="center"/>
    </xf>
    <xf numFmtId="0" fontId="106" fillId="0" borderId="0" xfId="0" applyFont="1" applyAlignment="1">
      <alignment vertical="center"/>
    </xf>
    <xf numFmtId="0" fontId="107" fillId="0" borderId="0" xfId="0" applyFont="1"/>
    <xf numFmtId="9" fontId="33" fillId="0" borderId="0" xfId="15" applyFont="1"/>
    <xf numFmtId="9" fontId="33" fillId="0" borderId="0" xfId="0" applyNumberFormat="1" applyFont="1"/>
    <xf numFmtId="0" fontId="8" fillId="41" borderId="0" xfId="0" applyFont="1" applyFill="1"/>
    <xf numFmtId="49" fontId="52" fillId="0" borderId="40" xfId="0" applyNumberFormat="1" applyFont="1" applyBorder="1" applyAlignment="1">
      <alignment horizontal="left"/>
    </xf>
    <xf numFmtId="0" fontId="8" fillId="51" borderId="40" xfId="0" applyFont="1" applyFill="1" applyBorder="1"/>
    <xf numFmtId="0" fontId="8" fillId="0" borderId="2" xfId="0" applyFont="1" applyBorder="1"/>
    <xf numFmtId="0" fontId="8" fillId="0" borderId="4" xfId="0" applyFont="1" applyBorder="1"/>
    <xf numFmtId="0" fontId="54" fillId="50" borderId="2" xfId="0" applyFont="1" applyFill="1" applyBorder="1" applyAlignment="1">
      <alignment horizontal="center" vertical="center"/>
    </xf>
    <xf numFmtId="49" fontId="52" fillId="52" borderId="40" xfId="0" applyNumberFormat="1" applyFont="1" applyFill="1" applyBorder="1" applyAlignment="1">
      <alignment horizontal="left"/>
    </xf>
    <xf numFmtId="15" fontId="52" fillId="52" borderId="40" xfId="0" applyNumberFormat="1" applyFont="1" applyFill="1" applyBorder="1" applyAlignment="1">
      <alignment horizontal="left"/>
    </xf>
    <xf numFmtId="49" fontId="52" fillId="53" borderId="40" xfId="0" applyNumberFormat="1" applyFont="1" applyFill="1" applyBorder="1" applyAlignment="1">
      <alignment horizontal="left"/>
    </xf>
    <xf numFmtId="15" fontId="52" fillId="53" borderId="40" xfId="0" applyNumberFormat="1" applyFont="1" applyFill="1" applyBorder="1" applyAlignment="1">
      <alignment horizontal="left"/>
    </xf>
    <xf numFmtId="15" fontId="54" fillId="19" borderId="40" xfId="0" applyNumberFormat="1" applyFont="1" applyFill="1" applyBorder="1" applyAlignment="1">
      <alignment horizontal="center"/>
    </xf>
    <xf numFmtId="15" fontId="52" fillId="19" borderId="40" xfId="0" applyNumberFormat="1" applyFont="1" applyFill="1" applyBorder="1" applyAlignment="1">
      <alignment horizontal="center" vertical="center"/>
    </xf>
    <xf numFmtId="171" fontId="8" fillId="0" borderId="40" xfId="23" applyNumberFormat="1" applyBorder="1" applyAlignment="1">
      <alignment horizontal="center" vertical="center"/>
    </xf>
    <xf numFmtId="171" fontId="8" fillId="0" borderId="33" xfId="0" applyNumberFormat="1" applyFont="1" applyBorder="1" applyAlignment="1">
      <alignment horizontal="center"/>
    </xf>
    <xf numFmtId="0" fontId="13" fillId="54" borderId="103" xfId="0" applyFont="1" applyFill="1" applyBorder="1"/>
    <xf numFmtId="3" fontId="13" fillId="54" borderId="103" xfId="0" applyNumberFormat="1" applyFont="1" applyFill="1" applyBorder="1" applyAlignment="1">
      <alignment horizontal="center"/>
    </xf>
    <xf numFmtId="0" fontId="13" fillId="51" borderId="103" xfId="0" applyFont="1" applyFill="1" applyBorder="1" applyAlignment="1">
      <alignment horizontal="center" vertical="center"/>
    </xf>
    <xf numFmtId="49" fontId="8" fillId="0" borderId="40" xfId="23" applyNumberFormat="1" applyBorder="1" applyAlignment="1">
      <alignment horizontal="center" vertical="center"/>
    </xf>
    <xf numFmtId="1" fontId="8" fillId="0" borderId="0" xfId="23" applyNumberFormat="1" applyAlignment="1">
      <alignment horizontal="center" vertical="center"/>
    </xf>
    <xf numFmtId="171" fontId="8" fillId="0" borderId="0" xfId="23" applyNumberFormat="1"/>
    <xf numFmtId="0" fontId="33" fillId="0" borderId="0" xfId="0" applyFont="1" applyAlignment="1">
      <alignment horizontal="center"/>
    </xf>
    <xf numFmtId="3" fontId="57" fillId="0" borderId="374" xfId="0" applyNumberFormat="1" applyFont="1" applyBorder="1" applyAlignment="1">
      <alignment horizontal="center" vertical="center"/>
    </xf>
    <xf numFmtId="3" fontId="57" fillId="0" borderId="375" xfId="0" applyNumberFormat="1" applyFont="1" applyBorder="1" applyAlignment="1">
      <alignment horizontal="center" vertical="center"/>
    </xf>
    <xf numFmtId="3" fontId="57" fillId="0" borderId="376" xfId="0" applyNumberFormat="1" applyFont="1" applyBorder="1" applyAlignment="1">
      <alignment horizontal="center" vertical="center"/>
    </xf>
    <xf numFmtId="3" fontId="57" fillId="39" borderId="223" xfId="0" applyNumberFormat="1" applyFont="1" applyFill="1" applyBorder="1" applyAlignment="1">
      <alignment horizontal="center" vertical="center"/>
    </xf>
    <xf numFmtId="3" fontId="57" fillId="39" borderId="224" xfId="0" applyNumberFormat="1" applyFont="1" applyFill="1" applyBorder="1" applyAlignment="1">
      <alignment horizontal="center" vertical="center"/>
    </xf>
    <xf numFmtId="1" fontId="57" fillId="39" borderId="223" xfId="0" quotePrefix="1" applyNumberFormat="1" applyFont="1" applyFill="1" applyBorder="1" applyAlignment="1">
      <alignment horizontal="center" vertical="center"/>
    </xf>
    <xf numFmtId="1" fontId="57" fillId="39" borderId="224" xfId="0" quotePrefix="1" applyNumberFormat="1" applyFont="1" applyFill="1" applyBorder="1" applyAlignment="1">
      <alignment horizontal="center" vertical="center"/>
    </xf>
    <xf numFmtId="1" fontId="57" fillId="39" borderId="223" xfId="0" applyNumberFormat="1" applyFont="1" applyFill="1" applyBorder="1" applyAlignment="1">
      <alignment horizontal="center" vertical="center"/>
    </xf>
    <xf numFmtId="1" fontId="57" fillId="39" borderId="224" xfId="0" applyNumberFormat="1" applyFont="1" applyFill="1" applyBorder="1" applyAlignment="1">
      <alignment horizontal="center" vertical="center"/>
    </xf>
    <xf numFmtId="3" fontId="57" fillId="39" borderId="224" xfId="0" quotePrefix="1" applyNumberFormat="1" applyFont="1" applyFill="1" applyBorder="1" applyAlignment="1">
      <alignment horizontal="center" vertical="center"/>
    </xf>
    <xf numFmtId="3" fontId="57" fillId="39" borderId="223" xfId="0" quotePrefix="1" applyNumberFormat="1" applyFont="1" applyFill="1" applyBorder="1" applyAlignment="1">
      <alignment horizontal="center" vertical="center"/>
    </xf>
    <xf numFmtId="3" fontId="57" fillId="0" borderId="223" xfId="0" applyNumberFormat="1" applyFont="1" applyBorder="1" applyAlignment="1">
      <alignment horizontal="center" vertical="center"/>
    </xf>
    <xf numFmtId="3" fontId="57" fillId="0" borderId="224" xfId="0" applyNumberFormat="1" applyFont="1" applyBorder="1" applyAlignment="1">
      <alignment horizontal="center" vertical="center"/>
    </xf>
    <xf numFmtId="2" fontId="8" fillId="0" borderId="40" xfId="0" applyNumberFormat="1" applyFont="1" applyBorder="1" applyAlignment="1">
      <alignment horizontal="center" vertical="center"/>
    </xf>
    <xf numFmtId="10" fontId="73" fillId="23" borderId="0" xfId="23" applyNumberFormat="1" applyFont="1" applyFill="1" applyAlignment="1">
      <alignment horizontal="center" vertical="center"/>
    </xf>
    <xf numFmtId="10" fontId="73" fillId="46" borderId="0" xfId="23" applyNumberFormat="1" applyFont="1" applyFill="1" applyAlignment="1">
      <alignment horizontal="center" vertical="center"/>
    </xf>
    <xf numFmtId="10" fontId="73" fillId="46" borderId="0" xfId="15" applyNumberFormat="1" applyFont="1" applyFill="1" applyAlignment="1">
      <alignment horizontal="center" vertical="center"/>
    </xf>
    <xf numFmtId="10" fontId="108" fillId="46" borderId="0" xfId="23" applyNumberFormat="1" applyFont="1" applyFill="1" applyAlignment="1">
      <alignment horizontal="center" vertical="center"/>
    </xf>
    <xf numFmtId="0" fontId="110" fillId="0" borderId="0" xfId="10" applyFont="1" applyAlignment="1" applyProtection="1">
      <alignment horizontal="left"/>
    </xf>
    <xf numFmtId="0" fontId="22" fillId="0" borderId="0" xfId="0" applyFont="1" applyAlignment="1">
      <alignment horizontal="right"/>
    </xf>
    <xf numFmtId="0" fontId="33" fillId="0" borderId="0" xfId="0" applyFont="1" applyAlignment="1">
      <alignment horizontal="right"/>
    </xf>
    <xf numFmtId="2" fontId="33" fillId="0" borderId="0" xfId="15" applyNumberFormat="1" applyFont="1" applyAlignment="1">
      <alignment horizontal="center"/>
    </xf>
    <xf numFmtId="2" fontId="33" fillId="0" borderId="0" xfId="15" applyNumberFormat="1" applyFont="1" applyAlignment="1">
      <alignment horizontal="left"/>
    </xf>
    <xf numFmtId="2" fontId="22" fillId="0" borderId="0" xfId="15" applyNumberFormat="1" applyFont="1"/>
    <xf numFmtId="2" fontId="33" fillId="0" borderId="0" xfId="0" applyNumberFormat="1" applyFont="1" applyAlignment="1">
      <alignment horizontal="center"/>
    </xf>
    <xf numFmtId="2" fontId="33" fillId="0" borderId="0" xfId="0" applyNumberFormat="1" applyFont="1" applyAlignment="1">
      <alignment horizontal="left"/>
    </xf>
    <xf numFmtId="10" fontId="111" fillId="23" borderId="0" xfId="23" applyNumberFormat="1" applyFont="1" applyFill="1" applyAlignment="1">
      <alignment horizontal="center" vertical="center"/>
    </xf>
    <xf numFmtId="10" fontId="8" fillId="46" borderId="0" xfId="23" applyNumberFormat="1" applyFill="1" applyAlignment="1">
      <alignment horizontal="right" vertical="center"/>
    </xf>
    <xf numFmtId="10" fontId="0" fillId="46" borderId="0" xfId="23" applyNumberFormat="1" applyFont="1" applyFill="1" applyAlignment="1">
      <alignment horizontal="right" vertical="center"/>
    </xf>
    <xf numFmtId="10" fontId="8" fillId="23" borderId="0" xfId="23" applyNumberFormat="1" applyFill="1" applyAlignment="1">
      <alignment horizontal="right" vertical="center"/>
    </xf>
    <xf numFmtId="10" fontId="0" fillId="23" borderId="0" xfId="23" applyNumberFormat="1" applyFont="1" applyFill="1" applyAlignment="1">
      <alignment horizontal="right" vertical="center"/>
    </xf>
    <xf numFmtId="2" fontId="0" fillId="46" borderId="0" xfId="23" applyNumberFormat="1" applyFont="1" applyFill="1" applyAlignment="1">
      <alignment horizontal="right" vertical="center"/>
    </xf>
    <xf numFmtId="2" fontId="8" fillId="23" borderId="0" xfId="23" applyNumberFormat="1" applyFill="1" applyAlignment="1">
      <alignment horizontal="right" vertical="center"/>
    </xf>
    <xf numFmtId="175" fontId="74" fillId="45" borderId="0" xfId="15" applyNumberFormat="1" applyFont="1" applyFill="1" applyBorder="1" applyAlignment="1">
      <alignment horizontal="center" vertical="center"/>
    </xf>
    <xf numFmtId="175" fontId="74" fillId="45" borderId="0" xfId="15" quotePrefix="1" applyNumberFormat="1" applyFont="1" applyFill="1" applyBorder="1" applyAlignment="1">
      <alignment horizontal="center" vertical="center"/>
    </xf>
    <xf numFmtId="2" fontId="74" fillId="45" borderId="0" xfId="15" applyNumberFormat="1" applyFont="1" applyFill="1" applyAlignment="1">
      <alignment horizontal="center" vertical="center"/>
    </xf>
    <xf numFmtId="1" fontId="8" fillId="0" borderId="384" xfId="0" applyNumberFormat="1" applyFont="1" applyBorder="1" applyAlignment="1">
      <alignment horizontal="center" vertical="center"/>
    </xf>
    <xf numFmtId="10" fontId="8" fillId="0" borderId="384" xfId="0" applyNumberFormat="1" applyFont="1" applyBorder="1" applyAlignment="1">
      <alignment horizontal="center"/>
    </xf>
    <xf numFmtId="0" fontId="13" fillId="0" borderId="384" xfId="0" applyFont="1" applyBorder="1" applyAlignment="1">
      <alignment horizontal="center"/>
    </xf>
    <xf numFmtId="0" fontId="13" fillId="0" borderId="207" xfId="0" applyFont="1" applyBorder="1" applyAlignment="1">
      <alignment horizontal="center"/>
    </xf>
    <xf numFmtId="0" fontId="13" fillId="0" borderId="103" xfId="0" applyFont="1" applyBorder="1" applyAlignment="1">
      <alignment horizontal="center"/>
    </xf>
    <xf numFmtId="1" fontId="33" fillId="0" borderId="0" xfId="0" applyNumberFormat="1" applyFont="1" applyAlignment="1">
      <alignment horizontal="center" vertical="center"/>
    </xf>
    <xf numFmtId="1" fontId="92" fillId="47" borderId="0" xfId="34" applyNumberFormat="1" applyAlignment="1">
      <alignment horizontal="center" vertical="center"/>
    </xf>
    <xf numFmtId="1" fontId="109" fillId="55" borderId="0" xfId="36" applyNumberFormat="1" applyAlignment="1">
      <alignment horizontal="center" vertical="center"/>
    </xf>
    <xf numFmtId="2" fontId="0" fillId="0" borderId="0" xfId="0" applyNumberFormat="1" applyAlignment="1">
      <alignment horizontal="center"/>
    </xf>
    <xf numFmtId="2" fontId="0" fillId="0" borderId="0" xfId="0" applyNumberFormat="1"/>
    <xf numFmtId="0" fontId="13" fillId="51" borderId="39" xfId="0" applyFont="1" applyFill="1" applyBorder="1" applyAlignment="1">
      <alignment horizontal="center" vertical="center"/>
    </xf>
    <xf numFmtId="0" fontId="13" fillId="51" borderId="1" xfId="0" applyFont="1" applyFill="1" applyBorder="1" applyAlignment="1">
      <alignment horizontal="center" vertical="center"/>
    </xf>
    <xf numFmtId="49" fontId="52" fillId="7" borderId="40" xfId="0" applyNumberFormat="1" applyFont="1" applyFill="1" applyBorder="1" applyAlignment="1">
      <alignment horizontal="left"/>
    </xf>
    <xf numFmtId="2" fontId="22" fillId="7" borderId="0" xfId="15" applyNumberFormat="1" applyFont="1" applyFill="1"/>
    <xf numFmtId="1" fontId="52" fillId="11" borderId="138" xfId="0" applyNumberFormat="1" applyFont="1" applyFill="1" applyBorder="1" applyAlignment="1">
      <alignment horizontal="center" vertical="center"/>
    </xf>
    <xf numFmtId="1" fontId="57" fillId="11" borderId="223" xfId="0" applyNumberFormat="1" applyFont="1" applyFill="1" applyBorder="1" applyAlignment="1">
      <alignment horizontal="center" vertical="center"/>
    </xf>
    <xf numFmtId="2" fontId="52" fillId="0" borderId="0" xfId="0" applyNumberFormat="1" applyFont="1"/>
    <xf numFmtId="49" fontId="8" fillId="13" borderId="40" xfId="23" applyNumberFormat="1" applyFill="1" applyBorder="1"/>
    <xf numFmtId="171" fontId="8" fillId="13" borderId="40" xfId="23" applyNumberFormat="1" applyFill="1" applyBorder="1" applyAlignment="1">
      <alignment horizontal="center" vertical="center"/>
    </xf>
    <xf numFmtId="49" fontId="8" fillId="53" borderId="40" xfId="23" applyNumberFormat="1" applyFill="1" applyBorder="1"/>
    <xf numFmtId="171" fontId="8" fillId="53" borderId="40" xfId="23" applyNumberFormat="1" applyFill="1" applyBorder="1" applyAlignment="1">
      <alignment horizontal="center" vertical="center"/>
    </xf>
    <xf numFmtId="0" fontId="112" fillId="0" borderId="207" xfId="0" applyFont="1" applyBorder="1" applyAlignment="1">
      <alignment horizontal="center" vertical="center"/>
    </xf>
    <xf numFmtId="0" fontId="112" fillId="0" borderId="0" xfId="0" applyFont="1" applyAlignment="1">
      <alignment horizontal="center" vertical="center"/>
    </xf>
    <xf numFmtId="0" fontId="0" fillId="0" borderId="44" xfId="0" applyBorder="1"/>
    <xf numFmtId="0" fontId="47" fillId="9" borderId="53" xfId="0" applyFont="1" applyFill="1" applyBorder="1" applyAlignment="1">
      <alignment horizontal="center" vertical="center" wrapText="1"/>
    </xf>
    <xf numFmtId="0" fontId="47" fillId="22" borderId="53" xfId="0" applyFont="1" applyFill="1" applyBorder="1" applyAlignment="1">
      <alignment horizontal="center" vertical="center" wrapText="1"/>
    </xf>
    <xf numFmtId="0" fontId="47" fillId="14" borderId="53" xfId="0" applyFont="1" applyFill="1" applyBorder="1" applyAlignment="1">
      <alignment horizontal="center" vertical="center" wrapText="1"/>
    </xf>
    <xf numFmtId="0" fontId="47" fillId="15" borderId="53" xfId="0" applyFont="1" applyFill="1" applyBorder="1" applyAlignment="1">
      <alignment horizontal="center" vertical="center" wrapText="1"/>
    </xf>
    <xf numFmtId="0" fontId="113" fillId="10" borderId="53" xfId="0" applyFont="1" applyFill="1" applyBorder="1" applyAlignment="1">
      <alignment horizontal="center" vertical="center" wrapText="1"/>
    </xf>
    <xf numFmtId="0" fontId="0" fillId="0" borderId="54" xfId="0" applyBorder="1"/>
    <xf numFmtId="0" fontId="0" fillId="0" borderId="55" xfId="0" applyBorder="1"/>
    <xf numFmtId="0" fontId="0" fillId="0" borderId="56" xfId="0" applyBorder="1"/>
    <xf numFmtId="0" fontId="0" fillId="0" borderId="390" xfId="0" applyBorder="1"/>
    <xf numFmtId="0" fontId="0" fillId="0" borderId="391" xfId="0" applyBorder="1"/>
    <xf numFmtId="0" fontId="0" fillId="0" borderId="392" xfId="0" applyBorder="1"/>
    <xf numFmtId="0" fontId="0" fillId="0" borderId="393" xfId="0" applyBorder="1"/>
    <xf numFmtId="0" fontId="0" fillId="0" borderId="394" xfId="0" applyBorder="1"/>
    <xf numFmtId="0" fontId="0" fillId="0" borderId="395" xfId="0" applyBorder="1"/>
    <xf numFmtId="0" fontId="0" fillId="0" borderId="396" xfId="0" applyBorder="1"/>
    <xf numFmtId="0" fontId="0" fillId="0" borderId="57" xfId="0" applyBorder="1"/>
    <xf numFmtId="0" fontId="0" fillId="0" borderId="62" xfId="0" applyBorder="1"/>
    <xf numFmtId="167" fontId="0" fillId="0" borderId="0" xfId="15" applyNumberFormat="1" applyFont="1"/>
    <xf numFmtId="0" fontId="13" fillId="0" borderId="249" xfId="0" applyFont="1" applyBorder="1" applyAlignment="1">
      <alignment wrapText="1"/>
    </xf>
    <xf numFmtId="0" fontId="13" fillId="0" borderId="250" xfId="0" applyFont="1" applyBorder="1" applyAlignment="1">
      <alignment wrapText="1"/>
    </xf>
    <xf numFmtId="0" fontId="13" fillId="0" borderId="251" xfId="0" applyFont="1" applyBorder="1" applyAlignment="1">
      <alignment wrapText="1"/>
    </xf>
    <xf numFmtId="0" fontId="13" fillId="0" borderId="264" xfId="0" applyFont="1" applyBorder="1" applyAlignment="1">
      <alignment horizontal="center" wrapText="1"/>
    </xf>
    <xf numFmtId="0" fontId="13" fillId="0" borderId="265" xfId="0" applyFont="1" applyBorder="1" applyAlignment="1">
      <alignment horizontal="center" wrapText="1"/>
    </xf>
    <xf numFmtId="0" fontId="13" fillId="0" borderId="266" xfId="0" applyFont="1" applyBorder="1" applyAlignment="1">
      <alignment horizontal="center" wrapText="1"/>
    </xf>
    <xf numFmtId="0" fontId="13" fillId="0" borderId="270" xfId="0" applyFont="1" applyBorder="1" applyAlignment="1">
      <alignment horizontal="center" wrapText="1"/>
    </xf>
    <xf numFmtId="0" fontId="13" fillId="0" borderId="271" xfId="0" applyFont="1" applyBorder="1" applyAlignment="1">
      <alignment horizontal="center" wrapText="1"/>
    </xf>
    <xf numFmtId="0" fontId="13" fillId="0" borderId="272" xfId="0" applyFont="1" applyBorder="1" applyAlignment="1">
      <alignment horizontal="center" wrapText="1"/>
    </xf>
    <xf numFmtId="0" fontId="13" fillId="0" borderId="267" xfId="0" applyFont="1" applyBorder="1" applyAlignment="1">
      <alignment horizontal="center" vertical="center" wrapText="1"/>
    </xf>
    <xf numFmtId="0" fontId="13" fillId="0" borderId="268" xfId="0" applyFont="1" applyBorder="1" applyAlignment="1">
      <alignment horizontal="center" vertical="center" wrapText="1"/>
    </xf>
    <xf numFmtId="0" fontId="13" fillId="0" borderId="269" xfId="0" applyFont="1" applyBorder="1" applyAlignment="1">
      <alignment horizontal="center" vertical="center" wrapText="1"/>
    </xf>
    <xf numFmtId="0" fontId="13" fillId="0" borderId="267" xfId="0" applyFont="1" applyBorder="1" applyAlignment="1">
      <alignment horizontal="center" wrapText="1"/>
    </xf>
    <xf numFmtId="0" fontId="13" fillId="0" borderId="268" xfId="0" applyFont="1" applyBorder="1" applyAlignment="1">
      <alignment horizontal="center" wrapText="1"/>
    </xf>
    <xf numFmtId="0" fontId="13" fillId="0" borderId="269" xfId="0" applyFont="1" applyBorder="1" applyAlignment="1">
      <alignment horizontal="center" wrapText="1"/>
    </xf>
    <xf numFmtId="0" fontId="13" fillId="0" borderId="282" xfId="0" applyFont="1" applyBorder="1" applyAlignment="1">
      <alignment horizontal="center" vertical="center" wrapText="1"/>
    </xf>
    <xf numFmtId="0" fontId="13" fillId="0" borderId="277" xfId="0" applyFont="1" applyBorder="1" applyAlignment="1">
      <alignment horizontal="center" vertical="center" wrapText="1"/>
    </xf>
    <xf numFmtId="0" fontId="13" fillId="0" borderId="278" xfId="0" applyFont="1" applyBorder="1" applyAlignment="1">
      <alignment horizontal="center" vertical="center" wrapText="1"/>
    </xf>
    <xf numFmtId="0" fontId="13" fillId="0" borderId="283" xfId="0" applyFont="1" applyBorder="1" applyAlignment="1">
      <alignment horizontal="center" vertical="center" wrapText="1"/>
    </xf>
    <xf numFmtId="0" fontId="13" fillId="0" borderId="280" xfId="0" applyFont="1" applyBorder="1" applyAlignment="1">
      <alignment horizontal="center" vertical="center" wrapText="1"/>
    </xf>
    <xf numFmtId="0" fontId="13" fillId="0" borderId="281" xfId="0" applyFont="1" applyBorder="1" applyAlignment="1">
      <alignment horizontal="center" vertical="center" wrapText="1"/>
    </xf>
    <xf numFmtId="0" fontId="13" fillId="0" borderId="249" xfId="0" applyFont="1" applyBorder="1" applyAlignment="1">
      <alignment horizontal="center" vertical="center" wrapText="1"/>
    </xf>
    <xf numFmtId="0" fontId="13" fillId="0" borderId="250" xfId="0" applyFont="1" applyBorder="1" applyAlignment="1">
      <alignment horizontal="center" vertical="center" wrapText="1"/>
    </xf>
    <xf numFmtId="0" fontId="13" fillId="0" borderId="256" xfId="0" applyFont="1" applyBorder="1" applyAlignment="1">
      <alignment horizontal="center" vertical="center" wrapText="1"/>
    </xf>
    <xf numFmtId="0" fontId="13" fillId="0" borderId="255" xfId="0" applyFont="1" applyBorder="1" applyAlignment="1">
      <alignment horizontal="center" vertical="center" wrapText="1"/>
    </xf>
    <xf numFmtId="0" fontId="62" fillId="0" borderId="276" xfId="0" applyFont="1" applyBorder="1" applyAlignment="1">
      <alignment horizontal="center" vertical="center" wrapText="1"/>
    </xf>
    <xf numFmtId="0" fontId="62" fillId="0" borderId="277" xfId="0" applyFont="1" applyBorder="1" applyAlignment="1">
      <alignment horizontal="center" vertical="center" wrapText="1"/>
    </xf>
    <xf numFmtId="0" fontId="62" fillId="0" borderId="278" xfId="0" applyFont="1" applyBorder="1" applyAlignment="1">
      <alignment horizontal="center" vertical="center" wrapText="1"/>
    </xf>
    <xf numFmtId="0" fontId="62" fillId="0" borderId="279" xfId="0" applyFont="1" applyBorder="1" applyAlignment="1">
      <alignment horizontal="center" vertical="center" wrapText="1"/>
    </xf>
    <xf numFmtId="0" fontId="62" fillId="0" borderId="280" xfId="0" applyFont="1" applyBorder="1" applyAlignment="1">
      <alignment horizontal="center" vertical="center" wrapText="1"/>
    </xf>
    <xf numFmtId="0" fontId="62" fillId="0" borderId="281" xfId="0" applyFont="1" applyBorder="1" applyAlignment="1">
      <alignment horizontal="center" vertical="center" wrapText="1"/>
    </xf>
    <xf numFmtId="0" fontId="13" fillId="0" borderId="284" xfId="0" applyFont="1" applyBorder="1" applyAlignment="1">
      <alignment horizontal="center" vertical="center" wrapText="1"/>
    </xf>
    <xf numFmtId="0" fontId="13" fillId="0" borderId="285" xfId="0" applyFont="1" applyBorder="1" applyAlignment="1">
      <alignment horizontal="center" vertical="center" wrapText="1"/>
    </xf>
    <xf numFmtId="0" fontId="13" fillId="0" borderId="286" xfId="0" applyFont="1" applyBorder="1" applyAlignment="1">
      <alignment horizontal="center" vertical="center" wrapText="1"/>
    </xf>
    <xf numFmtId="0" fontId="13" fillId="0" borderId="287" xfId="0" applyFont="1" applyBorder="1" applyAlignment="1">
      <alignment horizontal="center" vertical="center" wrapText="1"/>
    </xf>
    <xf numFmtId="0" fontId="47" fillId="8" borderId="53" xfId="0" applyFont="1" applyFill="1" applyBorder="1" applyAlignment="1">
      <alignment horizontal="center" vertical="center" wrapText="1"/>
    </xf>
    <xf numFmtId="0" fontId="45" fillId="4" borderId="50" xfId="0" applyFont="1" applyFill="1" applyBorder="1" applyAlignment="1">
      <alignment horizontal="center"/>
    </xf>
    <xf numFmtId="0" fontId="45" fillId="4" borderId="70" xfId="0" applyFont="1" applyFill="1" applyBorder="1" applyAlignment="1">
      <alignment horizontal="center"/>
    </xf>
    <xf numFmtId="0" fontId="45" fillId="4" borderId="253" xfId="0" applyFont="1" applyFill="1" applyBorder="1" applyAlignment="1">
      <alignment horizontal="center"/>
    </xf>
    <xf numFmtId="0" fontId="26" fillId="31" borderId="46" xfId="0" applyFont="1" applyFill="1" applyBorder="1" applyAlignment="1">
      <alignment horizontal="center"/>
    </xf>
    <xf numFmtId="0" fontId="26" fillId="31" borderId="254" xfId="0" applyFont="1" applyFill="1" applyBorder="1" applyAlignment="1">
      <alignment horizontal="center"/>
    </xf>
    <xf numFmtId="0" fontId="81" fillId="7" borderId="51" xfId="0" applyFont="1" applyFill="1" applyBorder="1" applyAlignment="1">
      <alignment horizontal="center"/>
    </xf>
    <xf numFmtId="0" fontId="26" fillId="7" borderId="46" xfId="0" applyFont="1" applyFill="1" applyBorder="1" applyAlignment="1">
      <alignment horizontal="center"/>
    </xf>
    <xf numFmtId="0" fontId="81" fillId="7" borderId="70" xfId="0" applyFont="1" applyFill="1" applyBorder="1" applyAlignment="1">
      <alignment horizontal="center"/>
    </xf>
    <xf numFmtId="0" fontId="61" fillId="7" borderId="70" xfId="0" applyFont="1" applyFill="1" applyBorder="1" applyAlignment="1">
      <alignment horizontal="center"/>
    </xf>
    <xf numFmtId="0" fontId="61" fillId="7" borderId="51" xfId="0" applyFont="1" applyFill="1" applyBorder="1" applyAlignment="1">
      <alignment horizontal="center"/>
    </xf>
    <xf numFmtId="0" fontId="26" fillId="31" borderId="257" xfId="0" applyFont="1" applyFill="1" applyBorder="1" applyAlignment="1">
      <alignment horizontal="center"/>
    </xf>
    <xf numFmtId="0" fontId="81" fillId="7" borderId="50" xfId="0" applyFont="1" applyFill="1" applyBorder="1" applyAlignment="1">
      <alignment horizontal="center"/>
    </xf>
    <xf numFmtId="0" fontId="81" fillId="7" borderId="50" xfId="0" applyFont="1" applyFill="1" applyBorder="1" applyAlignment="1">
      <alignment horizontal="center" vertical="center"/>
    </xf>
    <xf numFmtId="0" fontId="61" fillId="7" borderId="70" xfId="0" applyFont="1" applyFill="1" applyBorder="1" applyAlignment="1">
      <alignment horizontal="center" vertical="center"/>
    </xf>
    <xf numFmtId="0" fontId="61" fillId="7" borderId="51" xfId="0" applyFont="1" applyFill="1" applyBorder="1" applyAlignment="1">
      <alignment horizontal="center" vertical="center"/>
    </xf>
    <xf numFmtId="0" fontId="61" fillId="7" borderId="50" xfId="0" applyFont="1" applyFill="1" applyBorder="1" applyAlignment="1">
      <alignment horizontal="center"/>
    </xf>
    <xf numFmtId="0" fontId="0" fillId="0" borderId="10" xfId="0" applyBorder="1"/>
    <xf numFmtId="0" fontId="8" fillId="0" borderId="2" xfId="0" applyFont="1" applyBorder="1" applyAlignment="1">
      <alignment horizontal="left" vertical="top" wrapText="1"/>
    </xf>
    <xf numFmtId="0" fontId="8" fillId="0" borderId="48" xfId="0" applyFont="1" applyBorder="1" applyAlignment="1">
      <alignment horizontal="left" vertical="top" wrapText="1"/>
    </xf>
    <xf numFmtId="0" fontId="0" fillId="0" borderId="203" xfId="0" applyBorder="1" applyAlignment="1">
      <alignment horizontal="left" vertical="top" wrapText="1"/>
    </xf>
    <xf numFmtId="0" fontId="8" fillId="0" borderId="40" xfId="0" applyFont="1" applyBorder="1" applyAlignment="1">
      <alignment horizontal="left" vertical="top" wrapText="1"/>
    </xf>
    <xf numFmtId="0" fontId="8" fillId="0" borderId="47" xfId="0" applyFont="1" applyBorder="1" applyAlignment="1">
      <alignment horizontal="left" vertical="top" wrapText="1"/>
    </xf>
    <xf numFmtId="0" fontId="0" fillId="0" borderId="204" xfId="0" applyBorder="1" applyAlignment="1">
      <alignment horizontal="left" vertical="top" wrapText="1"/>
    </xf>
    <xf numFmtId="0" fontId="0" fillId="0" borderId="205" xfId="0" applyBorder="1" applyAlignment="1">
      <alignment horizontal="left" vertical="top" wrapText="1"/>
    </xf>
    <xf numFmtId="0" fontId="0" fillId="0" borderId="206" xfId="0" applyBorder="1" applyAlignment="1">
      <alignment horizontal="left" vertical="top" wrapText="1"/>
    </xf>
    <xf numFmtId="0" fontId="45" fillId="30" borderId="252" xfId="0" applyFont="1" applyFill="1" applyBorder="1" applyAlignment="1">
      <alignment horizontal="center"/>
    </xf>
    <xf numFmtId="0" fontId="45" fillId="30" borderId="70" xfId="0" applyFont="1" applyFill="1" applyBorder="1" applyAlignment="1">
      <alignment horizontal="center"/>
    </xf>
    <xf numFmtId="0" fontId="45" fillId="30" borderId="51" xfId="0" applyFont="1" applyFill="1" applyBorder="1" applyAlignment="1">
      <alignment horizontal="center"/>
    </xf>
    <xf numFmtId="0" fontId="83" fillId="7" borderId="21" xfId="0" applyFont="1" applyFill="1" applyBorder="1" applyAlignment="1">
      <alignment horizontal="center" vertical="center" wrapText="1"/>
    </xf>
    <xf numFmtId="0" fontId="83" fillId="7" borderId="20" xfId="0" applyFont="1" applyFill="1" applyBorder="1" applyAlignment="1">
      <alignment horizontal="center" vertical="center" wrapText="1"/>
    </xf>
    <xf numFmtId="0" fontId="0" fillId="7" borderId="21" xfId="0" applyFill="1" applyBorder="1" applyAlignment="1">
      <alignment horizontal="center" vertical="center" wrapText="1"/>
    </xf>
    <xf numFmtId="0" fontId="0" fillId="7" borderId="20" xfId="0" applyFill="1" applyBorder="1" applyAlignment="1">
      <alignment horizontal="center" vertical="center" wrapText="1"/>
    </xf>
    <xf numFmtId="0" fontId="45" fillId="4" borderId="202" xfId="0" applyFont="1" applyFill="1" applyBorder="1" applyAlignment="1">
      <alignment horizontal="center"/>
    </xf>
    <xf numFmtId="0" fontId="45" fillId="4" borderId="46" xfId="0" applyFont="1" applyFill="1" applyBorder="1" applyAlignment="1">
      <alignment horizontal="center"/>
    </xf>
    <xf numFmtId="0" fontId="45" fillId="4" borderId="165" xfId="0" applyFont="1" applyFill="1" applyBorder="1" applyAlignment="1">
      <alignment horizontal="center"/>
    </xf>
    <xf numFmtId="0" fontId="45" fillId="4" borderId="109" xfId="0" applyFont="1" applyFill="1" applyBorder="1" applyAlignment="1">
      <alignment horizontal="center"/>
    </xf>
    <xf numFmtId="0" fontId="45" fillId="4" borderId="28" xfId="0" applyFont="1" applyFill="1" applyBorder="1" applyAlignment="1">
      <alignment horizontal="center"/>
    </xf>
    <xf numFmtId="0" fontId="45" fillId="4" borderId="22" xfId="0" applyFont="1" applyFill="1" applyBorder="1" applyAlignment="1">
      <alignment horizontal="center"/>
    </xf>
    <xf numFmtId="0" fontId="45" fillId="4" borderId="23" xfId="0" applyFont="1" applyFill="1" applyBorder="1" applyAlignment="1">
      <alignment horizontal="center"/>
    </xf>
    <xf numFmtId="0" fontId="8" fillId="7" borderId="178" xfId="0" applyFont="1" applyFill="1" applyBorder="1" applyAlignment="1">
      <alignment horizontal="center" vertical="center"/>
    </xf>
    <xf numFmtId="0" fontId="0" fillId="7" borderId="179" xfId="0" applyFill="1" applyBorder="1" applyAlignment="1">
      <alignment horizontal="center" vertical="center"/>
    </xf>
    <xf numFmtId="0" fontId="0" fillId="7" borderId="180" xfId="0" applyFill="1" applyBorder="1" applyAlignment="1">
      <alignment horizontal="center" vertical="center"/>
    </xf>
    <xf numFmtId="0" fontId="0" fillId="7" borderId="178" xfId="0" applyFill="1" applyBorder="1" applyAlignment="1">
      <alignment horizontal="center" vertical="center"/>
    </xf>
    <xf numFmtId="0" fontId="8" fillId="0" borderId="17" xfId="0" applyFont="1" applyBorder="1" applyAlignment="1">
      <alignment horizontal="left" vertical="center"/>
    </xf>
    <xf numFmtId="0" fontId="8" fillId="0" borderId="17" xfId="0" applyFont="1" applyBorder="1" applyAlignment="1">
      <alignment horizontal="left"/>
    </xf>
    <xf numFmtId="0" fontId="45" fillId="4" borderId="115" xfId="0" applyFont="1" applyFill="1" applyBorder="1" applyAlignment="1">
      <alignment horizontal="center"/>
    </xf>
    <xf numFmtId="0" fontId="45" fillId="4" borderId="166" xfId="0" applyFont="1" applyFill="1" applyBorder="1" applyAlignment="1">
      <alignment horizontal="center"/>
    </xf>
    <xf numFmtId="0" fontId="45" fillId="4" borderId="167" xfId="0" applyFont="1" applyFill="1" applyBorder="1" applyAlignment="1">
      <alignment horizontal="center"/>
    </xf>
    <xf numFmtId="0" fontId="45" fillId="4" borderId="10" xfId="0" applyFont="1" applyFill="1" applyBorder="1" applyAlignment="1">
      <alignment horizontal="center"/>
    </xf>
    <xf numFmtId="0" fontId="45" fillId="4" borderId="0" xfId="0" applyFont="1" applyFill="1" applyAlignment="1">
      <alignment horizontal="center"/>
    </xf>
    <xf numFmtId="0" fontId="45" fillId="4" borderId="110" xfId="0" applyFont="1" applyFill="1" applyBorder="1" applyAlignment="1">
      <alignment horizontal="center"/>
    </xf>
    <xf numFmtId="0" fontId="26" fillId="31" borderId="125" xfId="0" applyFont="1" applyFill="1" applyBorder="1" applyAlignment="1">
      <alignment horizontal="center"/>
    </xf>
    <xf numFmtId="0" fontId="26" fillId="31" borderId="109" xfId="0" applyFont="1" applyFill="1" applyBorder="1" applyAlignment="1">
      <alignment horizontal="center"/>
    </xf>
    <xf numFmtId="0" fontId="26" fillId="31" borderId="173" xfId="0" applyFont="1" applyFill="1" applyBorder="1" applyAlignment="1">
      <alignment horizontal="center"/>
    </xf>
    <xf numFmtId="9" fontId="43" fillId="11" borderId="174" xfId="15" applyFont="1" applyFill="1" applyBorder="1" applyAlignment="1">
      <alignment horizontal="center" vertical="center"/>
    </xf>
    <xf numFmtId="9" fontId="43" fillId="11" borderId="181" xfId="15" applyFont="1" applyFill="1" applyBorder="1" applyAlignment="1">
      <alignment horizontal="center" vertical="center"/>
    </xf>
    <xf numFmtId="166" fontId="9" fillId="11" borderId="133" xfId="0" applyNumberFormat="1" applyFont="1" applyFill="1" applyBorder="1" applyAlignment="1">
      <alignment horizontal="center" vertical="center"/>
    </xf>
    <xf numFmtId="166" fontId="9" fillId="11" borderId="110" xfId="0" applyNumberFormat="1" applyFont="1" applyFill="1" applyBorder="1" applyAlignment="1">
      <alignment horizontal="center" vertical="center"/>
    </xf>
    <xf numFmtId="166" fontId="9" fillId="11" borderId="134" xfId="0" applyNumberFormat="1" applyFont="1" applyFill="1" applyBorder="1" applyAlignment="1">
      <alignment horizontal="center" vertical="center"/>
    </xf>
    <xf numFmtId="167" fontId="43" fillId="11" borderId="115" xfId="15" applyNumberFormat="1" applyFont="1" applyFill="1" applyBorder="1" applyAlignment="1">
      <alignment horizontal="center" vertical="center"/>
    </xf>
    <xf numFmtId="167" fontId="43" fillId="11" borderId="133" xfId="15" applyNumberFormat="1" applyFont="1" applyFill="1" applyBorder="1" applyAlignment="1">
      <alignment horizontal="center" vertical="center"/>
    </xf>
    <xf numFmtId="167" fontId="43" fillId="11" borderId="112" xfId="15" applyNumberFormat="1" applyFont="1" applyFill="1" applyBorder="1" applyAlignment="1">
      <alignment horizontal="center" vertical="center"/>
    </xf>
    <xf numFmtId="167" fontId="43" fillId="11" borderId="134" xfId="15" applyNumberFormat="1" applyFont="1" applyFill="1" applyBorder="1" applyAlignment="1">
      <alignment horizontal="center" vertical="center"/>
    </xf>
    <xf numFmtId="0" fontId="9" fillId="0" borderId="241" xfId="0" applyFont="1" applyBorder="1" applyAlignment="1">
      <alignment horizontal="center" vertical="center"/>
    </xf>
    <xf numFmtId="0" fontId="9" fillId="0" borderId="55" xfId="0" applyFont="1" applyBorder="1" applyAlignment="1">
      <alignment horizontal="center" vertical="center"/>
    </xf>
    <xf numFmtId="0" fontId="9" fillId="0" borderId="242" xfId="0" applyFont="1" applyBorder="1" applyAlignment="1">
      <alignment horizontal="center" vertical="center"/>
    </xf>
    <xf numFmtId="0" fontId="26" fillId="31" borderId="28" xfId="0" applyFont="1" applyFill="1" applyBorder="1" applyAlignment="1">
      <alignment horizontal="center"/>
    </xf>
    <xf numFmtId="0" fontId="26" fillId="31" borderId="22" xfId="0" applyFont="1" applyFill="1" applyBorder="1" applyAlignment="1">
      <alignment horizontal="center"/>
    </xf>
    <xf numFmtId="0" fontId="26" fillId="31" borderId="21" xfId="0" applyFont="1" applyFill="1" applyBorder="1" applyAlignment="1">
      <alignment horizontal="center"/>
    </xf>
    <xf numFmtId="0" fontId="26" fillId="31" borderId="19" xfId="0" applyFont="1" applyFill="1" applyBorder="1" applyAlignment="1">
      <alignment horizontal="center"/>
    </xf>
    <xf numFmtId="14" fontId="13" fillId="0" borderId="21" xfId="0" applyNumberFormat="1" applyFont="1" applyBorder="1" applyAlignment="1">
      <alignment horizontal="center"/>
    </xf>
    <xf numFmtId="14" fontId="13" fillId="0" borderId="20" xfId="0" applyNumberFormat="1" applyFont="1" applyBorder="1" applyAlignment="1">
      <alignment horizontal="center"/>
    </xf>
    <xf numFmtId="0" fontId="8" fillId="0" borderId="17" xfId="0" quotePrefix="1" applyFont="1" applyBorder="1" applyAlignment="1">
      <alignment horizontal="left"/>
    </xf>
    <xf numFmtId="0" fontId="65" fillId="7" borderId="17" xfId="0" applyFont="1" applyFill="1" applyBorder="1" applyAlignment="1">
      <alignment horizontal="center" vertical="center" wrapText="1"/>
    </xf>
    <xf numFmtId="0" fontId="45" fillId="30" borderId="24" xfId="0" applyFont="1" applyFill="1" applyBorder="1" applyAlignment="1">
      <alignment horizontal="center" vertical="center" wrapText="1"/>
    </xf>
    <xf numFmtId="0" fontId="45" fillId="30" borderId="17" xfId="0" applyFont="1" applyFill="1" applyBorder="1" applyAlignment="1">
      <alignment horizontal="center" vertical="center" wrapText="1"/>
    </xf>
    <xf numFmtId="0" fontId="45" fillId="30" borderId="237" xfId="0" applyFont="1" applyFill="1" applyBorder="1" applyAlignment="1">
      <alignment horizontal="center" vertical="center" wrapText="1"/>
    </xf>
    <xf numFmtId="0" fontId="45" fillId="30" borderId="246" xfId="0" applyFont="1" applyFill="1" applyBorder="1" applyAlignment="1">
      <alignment horizontal="center" vertical="center" wrapText="1"/>
    </xf>
    <xf numFmtId="0" fontId="45" fillId="4" borderId="41" xfId="0" applyFont="1" applyFill="1" applyBorder="1" applyAlignment="1">
      <alignment horizontal="center"/>
    </xf>
    <xf numFmtId="0" fontId="45" fillId="4" borderId="42" xfId="0" applyFont="1" applyFill="1" applyBorder="1" applyAlignment="1">
      <alignment horizontal="center"/>
    </xf>
    <xf numFmtId="0" fontId="45" fillId="4" borderId="43" xfId="0" applyFont="1" applyFill="1" applyBorder="1" applyAlignment="1">
      <alignment horizontal="center"/>
    </xf>
    <xf numFmtId="0" fontId="13" fillId="0" borderId="19" xfId="0" applyFont="1" applyBorder="1" applyAlignment="1">
      <alignment horizontal="center"/>
    </xf>
    <xf numFmtId="0" fontId="13" fillId="0" borderId="20" xfId="0" applyFont="1" applyBorder="1" applyAlignment="1">
      <alignment horizontal="center"/>
    </xf>
    <xf numFmtId="0" fontId="0" fillId="7" borderId="247" xfId="0" applyFill="1" applyBorder="1" applyAlignment="1">
      <alignment horizontal="center" vertical="center" wrapText="1"/>
    </xf>
    <xf numFmtId="0" fontId="82" fillId="0" borderId="115" xfId="0" applyFont="1" applyBorder="1" applyAlignment="1">
      <alignment horizontal="center" vertical="center" wrapText="1"/>
    </xf>
    <xf numFmtId="0" fontId="13" fillId="0" borderId="166" xfId="0" applyFont="1" applyBorder="1" applyAlignment="1">
      <alignment horizontal="center" vertical="center" wrapText="1"/>
    </xf>
    <xf numFmtId="0" fontId="13" fillId="0" borderId="167" xfId="0" applyFont="1" applyBorder="1" applyAlignment="1">
      <alignment horizontal="center" vertical="center" wrapText="1"/>
    </xf>
    <xf numFmtId="0" fontId="13" fillId="0" borderId="113" xfId="0" applyFont="1" applyBorder="1" applyAlignment="1">
      <alignment horizontal="center" vertical="center" wrapText="1"/>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3" fillId="0" borderId="112" xfId="0" applyFont="1" applyBorder="1" applyAlignment="1">
      <alignment horizontal="center" vertical="center" wrapText="1"/>
    </xf>
    <xf numFmtId="0" fontId="13" fillId="0" borderId="126" xfId="0" applyFont="1" applyBorder="1" applyAlignment="1">
      <alignment horizontal="center" vertical="center" wrapText="1"/>
    </xf>
    <xf numFmtId="0" fontId="13" fillId="0" borderId="172" xfId="0" applyFont="1" applyBorder="1" applyAlignment="1">
      <alignment horizontal="center" vertical="center" wrapText="1"/>
    </xf>
    <xf numFmtId="0" fontId="45" fillId="4" borderId="126" xfId="0" applyFont="1" applyFill="1" applyBorder="1" applyAlignment="1">
      <alignment horizontal="center"/>
    </xf>
    <xf numFmtId="0" fontId="45" fillId="4" borderId="172" xfId="0" applyFont="1" applyFill="1" applyBorder="1" applyAlignment="1">
      <alignment horizontal="center"/>
    </xf>
    <xf numFmtId="0" fontId="8" fillId="0" borderId="50" xfId="0" applyFont="1" applyBorder="1" applyAlignment="1">
      <alignment horizontal="left"/>
    </xf>
    <xf numFmtId="0" fontId="8" fillId="0" borderId="51" xfId="0" applyFont="1" applyBorder="1" applyAlignment="1">
      <alignment horizontal="left"/>
    </xf>
    <xf numFmtId="0" fontId="8" fillId="0" borderId="50" xfId="0" applyFont="1" applyBorder="1" applyAlignment="1">
      <alignment horizontal="left" indent="1"/>
    </xf>
    <xf numFmtId="0" fontId="8" fillId="0" borderId="51" xfId="0" applyFont="1" applyBorder="1" applyAlignment="1">
      <alignment horizontal="left" indent="1"/>
    </xf>
    <xf numFmtId="0" fontId="13" fillId="0" borderId="273" xfId="0" applyFont="1" applyBorder="1" applyAlignment="1">
      <alignment horizontal="center" vertical="center" wrapText="1"/>
    </xf>
    <xf numFmtId="0" fontId="13" fillId="0" borderId="143" xfId="0" applyFont="1" applyBorder="1" applyAlignment="1">
      <alignment horizontal="center" vertical="center" wrapText="1"/>
    </xf>
    <xf numFmtId="0" fontId="13" fillId="0" borderId="144" xfId="0" applyFont="1" applyBorder="1" applyAlignment="1">
      <alignment horizontal="center" vertical="center" wrapText="1"/>
    </xf>
    <xf numFmtId="0" fontId="13" fillId="0" borderId="274" xfId="0" applyFont="1" applyBorder="1" applyAlignment="1">
      <alignment horizontal="center" vertical="center" wrapText="1"/>
    </xf>
    <xf numFmtId="0" fontId="13" fillId="0" borderId="146" xfId="0" applyFont="1" applyBorder="1" applyAlignment="1">
      <alignment horizontal="center" vertical="center" wrapText="1"/>
    </xf>
    <xf numFmtId="0" fontId="13" fillId="0" borderId="147" xfId="0" applyFont="1" applyBorder="1" applyAlignment="1">
      <alignment horizontal="center" vertical="center" wrapText="1"/>
    </xf>
    <xf numFmtId="0" fontId="13" fillId="0" borderId="275" xfId="0" applyFont="1" applyBorder="1" applyAlignment="1">
      <alignment horizontal="center" vertical="center" wrapText="1"/>
    </xf>
    <xf numFmtId="0" fontId="13" fillId="0" borderId="145" xfId="0" applyFont="1" applyBorder="1" applyAlignment="1">
      <alignment horizontal="center" vertical="center" wrapText="1"/>
    </xf>
    <xf numFmtId="0" fontId="0" fillId="0" borderId="258" xfId="0" applyBorder="1" applyAlignment="1">
      <alignment horizontal="center"/>
    </xf>
    <xf numFmtId="0" fontId="0" fillId="0" borderId="70" xfId="0" applyBorder="1" applyAlignment="1">
      <alignment horizontal="center"/>
    </xf>
    <xf numFmtId="0" fontId="0" fillId="0" borderId="51" xfId="0" applyBorder="1" applyAlignment="1">
      <alignment horizontal="center"/>
    </xf>
    <xf numFmtId="0" fontId="32" fillId="7" borderId="169" xfId="0" applyFont="1" applyFill="1" applyBorder="1" applyAlignment="1">
      <alignment horizontal="center" vertical="center" wrapText="1"/>
    </xf>
    <xf numFmtId="0" fontId="0" fillId="7" borderId="170" xfId="0" applyFill="1" applyBorder="1" applyAlignment="1">
      <alignment horizontal="center" vertical="center" wrapText="1"/>
    </xf>
    <xf numFmtId="0" fontId="0" fillId="7" borderId="171" xfId="0" applyFill="1" applyBorder="1" applyAlignment="1">
      <alignment horizontal="center" vertical="center" wrapText="1"/>
    </xf>
    <xf numFmtId="0" fontId="26" fillId="31" borderId="49" xfId="0" applyFont="1" applyFill="1" applyBorder="1" applyAlignment="1">
      <alignment horizontal="center"/>
    </xf>
    <xf numFmtId="0" fontId="44" fillId="17" borderId="10" xfId="0" applyFont="1" applyFill="1" applyBorder="1" applyAlignment="1">
      <alignment horizontal="center"/>
    </xf>
    <xf numFmtId="0" fontId="44" fillId="17" borderId="0" xfId="0" applyFont="1" applyFill="1" applyAlignment="1">
      <alignment horizontal="center"/>
    </xf>
    <xf numFmtId="0" fontId="44" fillId="17" borderId="12" xfId="0" applyFont="1" applyFill="1" applyBorder="1" applyAlignment="1">
      <alignment horizontal="center"/>
    </xf>
    <xf numFmtId="0" fontId="9" fillId="7" borderId="114" xfId="0" applyFont="1" applyFill="1" applyBorder="1" applyAlignment="1">
      <alignment horizontal="center" vertical="center" wrapText="1"/>
    </xf>
    <xf numFmtId="0" fontId="9" fillId="7" borderId="111" xfId="0" applyFont="1" applyFill="1" applyBorder="1" applyAlignment="1">
      <alignment horizontal="center" vertical="center" wrapText="1"/>
    </xf>
    <xf numFmtId="0" fontId="26" fillId="31" borderId="202" xfId="0" applyFont="1" applyFill="1" applyBorder="1" applyAlignment="1">
      <alignment horizontal="center"/>
    </xf>
    <xf numFmtId="0" fontId="45" fillId="4" borderId="49" xfId="0" applyFont="1" applyFill="1" applyBorder="1" applyAlignment="1">
      <alignment horizontal="center"/>
    </xf>
    <xf numFmtId="0" fontId="61" fillId="7" borderId="46" xfId="0" applyFont="1" applyFill="1" applyBorder="1" applyAlignment="1">
      <alignment horizontal="center"/>
    </xf>
    <xf numFmtId="0" fontId="13" fillId="0" borderId="50" xfId="0" applyFont="1" applyBorder="1" applyAlignment="1">
      <alignment horizontal="left"/>
    </xf>
    <xf numFmtId="0" fontId="13" fillId="0" borderId="51" xfId="0" applyFont="1" applyBorder="1" applyAlignment="1">
      <alignment horizontal="left"/>
    </xf>
    <xf numFmtId="0" fontId="0" fillId="0" borderId="50" xfId="0" applyBorder="1" applyAlignment="1">
      <alignment horizontal="left"/>
    </xf>
    <xf numFmtId="0" fontId="0" fillId="0" borderId="51" xfId="0" applyBorder="1" applyAlignment="1">
      <alignment horizontal="left"/>
    </xf>
    <xf numFmtId="0" fontId="8" fillId="15" borderId="50" xfId="0" applyFont="1" applyFill="1" applyBorder="1" applyAlignment="1">
      <alignment horizontal="left"/>
    </xf>
    <xf numFmtId="0" fontId="8" fillId="15" borderId="51" xfId="0" applyFont="1" applyFill="1" applyBorder="1" applyAlignment="1">
      <alignment horizontal="left"/>
    </xf>
    <xf numFmtId="167" fontId="9" fillId="0" borderId="114" xfId="15" applyNumberFormat="1" applyFont="1" applyBorder="1" applyAlignment="1">
      <alignment horizontal="center" vertical="center" wrapText="1"/>
    </xf>
    <xf numFmtId="167" fontId="9" fillId="0" borderId="210" xfId="15" applyNumberFormat="1" applyFont="1" applyBorder="1" applyAlignment="1">
      <alignment horizontal="center" vertical="center" wrapText="1"/>
    </xf>
    <xf numFmtId="167" fontId="9" fillId="0" borderId="111" xfId="15" applyNumberFormat="1" applyFont="1" applyBorder="1" applyAlignment="1">
      <alignment horizontal="center" vertical="center" wrapText="1"/>
    </xf>
    <xf numFmtId="167" fontId="9" fillId="0" borderId="208" xfId="15" applyNumberFormat="1" applyFont="1" applyBorder="1" applyAlignment="1">
      <alignment horizontal="center" vertical="center" wrapText="1"/>
    </xf>
    <xf numFmtId="0" fontId="20" fillId="0" borderId="245" xfId="0" applyFont="1" applyBorder="1" applyAlignment="1">
      <alignment horizontal="center" vertical="center" wrapText="1"/>
    </xf>
    <xf numFmtId="0" fontId="20" fillId="0" borderId="21" xfId="0" applyFont="1" applyBorder="1" applyAlignment="1">
      <alignment horizontal="center" vertical="center" wrapText="1"/>
    </xf>
    <xf numFmtId="0" fontId="44" fillId="17" borderId="44" xfId="0" applyFont="1" applyFill="1" applyBorder="1" applyAlignment="1">
      <alignment horizontal="center"/>
    </xf>
    <xf numFmtId="0" fontId="44" fillId="17" borderId="45" xfId="0" applyFont="1" applyFill="1" applyBorder="1" applyAlignment="1">
      <alignment horizontal="center"/>
    </xf>
    <xf numFmtId="0" fontId="45" fillId="4" borderId="248" xfId="0" applyFont="1" applyFill="1" applyBorder="1" applyAlignment="1">
      <alignment horizontal="center"/>
    </xf>
    <xf numFmtId="9" fontId="8" fillId="7" borderId="292" xfId="15" applyFont="1" applyFill="1" applyBorder="1" applyAlignment="1">
      <alignment horizontal="center" vertical="center"/>
    </xf>
    <xf numFmtId="9" fontId="8" fillId="7" borderId="23" xfId="15" applyFont="1" applyFill="1" applyBorder="1" applyAlignment="1">
      <alignment horizontal="center" vertical="center"/>
    </xf>
    <xf numFmtId="0" fontId="13" fillId="7" borderId="290" xfId="15" applyNumberFormat="1" applyFont="1" applyFill="1" applyBorder="1" applyAlignment="1">
      <alignment horizontal="center" vertical="center"/>
    </xf>
    <xf numFmtId="0" fontId="13" fillId="7" borderId="291" xfId="15" applyNumberFormat="1" applyFont="1" applyFill="1" applyBorder="1" applyAlignment="1">
      <alignment horizontal="center" vertical="center"/>
    </xf>
    <xf numFmtId="0" fontId="13" fillId="7" borderId="28" xfId="15" applyNumberFormat="1" applyFont="1" applyFill="1" applyBorder="1" applyAlignment="1">
      <alignment horizontal="center" vertical="center"/>
    </xf>
    <xf numFmtId="0" fontId="13" fillId="7" borderId="22" xfId="15" applyNumberFormat="1" applyFont="1" applyFill="1" applyBorder="1" applyAlignment="1">
      <alignment horizontal="center" vertical="center"/>
    </xf>
    <xf numFmtId="0" fontId="44" fillId="17" borderId="57" xfId="0" applyFont="1" applyFill="1" applyBorder="1" applyAlignment="1">
      <alignment horizontal="center"/>
    </xf>
    <xf numFmtId="0" fontId="44" fillId="17" borderId="61" xfId="0" applyFont="1" applyFill="1" applyBorder="1" applyAlignment="1">
      <alignment horizontal="center"/>
    </xf>
    <xf numFmtId="0" fontId="44" fillId="17" borderId="62" xfId="0" applyFont="1" applyFill="1" applyBorder="1" applyAlignment="1">
      <alignment horizontal="center"/>
    </xf>
    <xf numFmtId="9" fontId="43" fillId="11" borderId="209" xfId="15" applyFont="1" applyFill="1" applyBorder="1" applyAlignment="1">
      <alignment horizontal="center" vertical="center"/>
    </xf>
    <xf numFmtId="167" fontId="43" fillId="11" borderId="113" xfId="15" applyNumberFormat="1" applyFont="1" applyFill="1" applyBorder="1" applyAlignment="1">
      <alignment horizontal="center" vertical="center"/>
    </xf>
    <xf numFmtId="167" fontId="43" fillId="11" borderId="110" xfId="15" applyNumberFormat="1" applyFont="1" applyFill="1" applyBorder="1" applyAlignment="1">
      <alignment horizontal="center" vertical="center"/>
    </xf>
    <xf numFmtId="0" fontId="20" fillId="0" borderId="295" xfId="0" applyFont="1" applyBorder="1" applyAlignment="1">
      <alignment horizontal="center" vertical="center" wrapText="1"/>
    </xf>
    <xf numFmtId="0" fontId="20" fillId="0" borderId="292" xfId="0" applyFont="1" applyBorder="1" applyAlignment="1">
      <alignment horizontal="center" vertical="center" wrapText="1"/>
    </xf>
    <xf numFmtId="0" fontId="20" fillId="0" borderId="44" xfId="0" applyFont="1" applyBorder="1" applyAlignment="1">
      <alignment horizontal="center" vertical="center" wrapText="1"/>
    </xf>
    <xf numFmtId="0" fontId="20" fillId="0" borderId="294" xfId="0" applyFont="1" applyBorder="1" applyAlignment="1">
      <alignment horizontal="center" vertical="center" wrapText="1"/>
    </xf>
    <xf numFmtId="0" fontId="20" fillId="0" borderId="296" xfId="0" applyFont="1" applyBorder="1" applyAlignment="1">
      <alignment horizontal="center" vertical="center" wrapText="1"/>
    </xf>
    <xf numFmtId="0" fontId="20" fillId="0" borderId="23" xfId="0" applyFont="1" applyBorder="1" applyAlignment="1">
      <alignment horizontal="center" vertical="center" wrapText="1"/>
    </xf>
    <xf numFmtId="0" fontId="45" fillId="4" borderId="245" xfId="0" applyFont="1" applyFill="1" applyBorder="1" applyAlignment="1">
      <alignment horizontal="center"/>
    </xf>
    <xf numFmtId="0" fontId="45" fillId="4" borderId="17" xfId="0" applyFont="1" applyFill="1" applyBorder="1" applyAlignment="1">
      <alignment horizontal="center"/>
    </xf>
    <xf numFmtId="0" fontId="115" fillId="11" borderId="0" xfId="0" applyFont="1" applyFill="1" applyAlignment="1">
      <alignment horizontal="center" vertical="center" wrapText="1"/>
    </xf>
    <xf numFmtId="0" fontId="115" fillId="11" borderId="126" xfId="0" applyFont="1" applyFill="1" applyBorder="1" applyAlignment="1">
      <alignment horizontal="center" vertical="center" wrapText="1"/>
    </xf>
    <xf numFmtId="0" fontId="32" fillId="7" borderId="112" xfId="0" applyFont="1" applyFill="1" applyBorder="1" applyAlignment="1">
      <alignment horizontal="center" vertical="center" wrapText="1"/>
    </xf>
    <xf numFmtId="0" fontId="32" fillId="7" borderId="126" xfId="0" applyFont="1" applyFill="1" applyBorder="1" applyAlignment="1">
      <alignment horizontal="center" vertical="center" wrapText="1"/>
    </xf>
    <xf numFmtId="0" fontId="32" fillId="7" borderId="134" xfId="0" applyFont="1" applyFill="1" applyBorder="1" applyAlignment="1">
      <alignment horizontal="center" vertical="center" wrapText="1"/>
    </xf>
    <xf numFmtId="0" fontId="0" fillId="7" borderId="175" xfId="0" applyFill="1" applyBorder="1" applyAlignment="1">
      <alignment horizontal="center" vertical="center" wrapText="1"/>
    </xf>
    <xf numFmtId="0" fontId="0" fillId="7" borderId="176" xfId="0" applyFill="1" applyBorder="1" applyAlignment="1">
      <alignment horizontal="center" vertical="center" wrapText="1"/>
    </xf>
    <xf numFmtId="0" fontId="0" fillId="7" borderId="177" xfId="0" applyFill="1" applyBorder="1" applyAlignment="1">
      <alignment horizontal="center" vertical="center" wrapText="1"/>
    </xf>
    <xf numFmtId="0" fontId="26" fillId="31" borderId="112" xfId="0" applyFont="1" applyFill="1" applyBorder="1" applyAlignment="1">
      <alignment horizontal="center"/>
    </xf>
    <xf numFmtId="0" fontId="26" fillId="31" borderId="126" xfId="0" applyFont="1" applyFill="1" applyBorder="1" applyAlignment="1">
      <alignment horizontal="center"/>
    </xf>
    <xf numFmtId="0" fontId="26" fillId="31" borderId="134" xfId="0" applyFont="1" applyFill="1" applyBorder="1" applyAlignment="1">
      <alignment horizontal="center"/>
    </xf>
    <xf numFmtId="0" fontId="26" fillId="31" borderId="19" xfId="0" applyFont="1" applyFill="1" applyBorder="1" applyAlignment="1">
      <alignment horizontal="center" vertical="center" wrapText="1"/>
    </xf>
    <xf numFmtId="0" fontId="26" fillId="31" borderId="247" xfId="0" applyFont="1" applyFill="1" applyBorder="1" applyAlignment="1">
      <alignment horizontal="center" vertical="center" wrapText="1"/>
    </xf>
    <xf numFmtId="0" fontId="26" fillId="31" borderId="20" xfId="0" applyFont="1" applyFill="1" applyBorder="1" applyAlignment="1">
      <alignment horizontal="center"/>
    </xf>
    <xf numFmtId="0" fontId="13" fillId="7" borderId="293" xfId="15" applyNumberFormat="1" applyFont="1" applyFill="1" applyBorder="1" applyAlignment="1">
      <alignment horizontal="center" vertical="center"/>
    </xf>
    <xf numFmtId="0" fontId="13" fillId="7" borderId="0" xfId="15" applyNumberFormat="1" applyFont="1" applyFill="1" applyBorder="1" applyAlignment="1">
      <alignment horizontal="center" vertical="center"/>
    </xf>
    <xf numFmtId="9" fontId="8" fillId="7" borderId="294" xfId="15" applyFont="1" applyFill="1" applyBorder="1" applyAlignment="1">
      <alignment horizontal="center" vertical="center"/>
    </xf>
    <xf numFmtId="0" fontId="86" fillId="17" borderId="275" xfId="0" applyFont="1" applyFill="1" applyBorder="1" applyAlignment="1">
      <alignment horizontal="center"/>
    </xf>
    <xf numFmtId="0" fontId="51" fillId="17" borderId="0" xfId="0" applyFont="1" applyFill="1" applyAlignment="1">
      <alignment horizontal="center"/>
    </xf>
    <xf numFmtId="0" fontId="51" fillId="17" borderId="301" xfId="0" applyFont="1" applyFill="1" applyBorder="1" applyAlignment="1">
      <alignment horizontal="center"/>
    </xf>
    <xf numFmtId="0" fontId="29" fillId="4" borderId="54" xfId="0" applyFont="1" applyFill="1" applyBorder="1" applyAlignment="1">
      <alignment horizontal="center"/>
    </xf>
    <xf numFmtId="0" fontId="29" fillId="4" borderId="55" xfId="0" applyFont="1" applyFill="1" applyBorder="1" applyAlignment="1">
      <alignment horizontal="center"/>
    </xf>
    <xf numFmtId="0" fontId="29" fillId="4" borderId="56" xfId="0" applyFont="1" applyFill="1" applyBorder="1" applyAlignment="1">
      <alignment horizontal="center"/>
    </xf>
    <xf numFmtId="0" fontId="0" fillId="32" borderId="54" xfId="0" applyFill="1" applyBorder="1" applyAlignment="1">
      <alignment horizontal="center"/>
    </xf>
    <xf numFmtId="0" fontId="0" fillId="32" borderId="44" xfId="0" applyFill="1" applyBorder="1" applyAlignment="1">
      <alignment horizontal="center"/>
    </xf>
    <xf numFmtId="0" fontId="0" fillId="32" borderId="317" xfId="0" applyFill="1" applyBorder="1" applyAlignment="1">
      <alignment horizontal="center"/>
    </xf>
    <xf numFmtId="0" fontId="44" fillId="4" borderId="54" xfId="0" applyFont="1" applyFill="1" applyBorder="1" applyAlignment="1">
      <alignment horizontal="center"/>
    </xf>
    <xf numFmtId="0" fontId="44" fillId="4" borderId="55" xfId="0" applyFont="1" applyFill="1" applyBorder="1" applyAlignment="1">
      <alignment horizontal="center"/>
    </xf>
    <xf numFmtId="0" fontId="44" fillId="4" borderId="316" xfId="0" applyFont="1" applyFill="1" applyBorder="1" applyAlignment="1">
      <alignment horizontal="center"/>
    </xf>
    <xf numFmtId="0" fontId="13" fillId="13" borderId="304" xfId="0" applyFont="1" applyFill="1" applyBorder="1" applyAlignment="1">
      <alignment horizontal="center"/>
    </xf>
    <xf numFmtId="0" fontId="13" fillId="13" borderId="305" xfId="0" applyFont="1" applyFill="1" applyBorder="1" applyAlignment="1">
      <alignment horizontal="center"/>
    </xf>
    <xf numFmtId="0" fontId="13" fillId="0" borderId="309" xfId="0" applyFont="1" applyBorder="1" applyAlignment="1">
      <alignment horizontal="center"/>
    </xf>
    <xf numFmtId="0" fontId="13" fillId="0" borderId="64" xfId="0" applyFont="1" applyBorder="1" applyAlignment="1">
      <alignment horizontal="center"/>
    </xf>
    <xf numFmtId="0" fontId="29" fillId="4" borderId="330" xfId="0" applyFont="1" applyFill="1" applyBorder="1" applyAlignment="1">
      <alignment horizontal="center"/>
    </xf>
    <xf numFmtId="0" fontId="13" fillId="0" borderId="299" xfId="0" applyFont="1" applyBorder="1" applyAlignment="1">
      <alignment horizontal="center"/>
    </xf>
    <xf numFmtId="0" fontId="13" fillId="0" borderId="300" xfId="0" applyFont="1" applyBorder="1" applyAlignment="1">
      <alignment horizontal="center"/>
    </xf>
    <xf numFmtId="0" fontId="13" fillId="0" borderId="0" xfId="0" applyFont="1" applyAlignment="1">
      <alignment horizontal="center"/>
    </xf>
    <xf numFmtId="0" fontId="13" fillId="0" borderId="301" xfId="0" applyFont="1" applyBorder="1" applyAlignment="1">
      <alignment horizontal="center"/>
    </xf>
    <xf numFmtId="0" fontId="13" fillId="0" borderId="298" xfId="0" applyFont="1" applyBorder="1" applyAlignment="1">
      <alignment horizontal="center"/>
    </xf>
    <xf numFmtId="0" fontId="13" fillId="0" borderId="302" xfId="0" applyFont="1" applyBorder="1" applyAlignment="1">
      <alignment horizontal="center"/>
    </xf>
    <xf numFmtId="0" fontId="13" fillId="0" borderId="303" xfId="0" applyFont="1" applyBorder="1" applyAlignment="1">
      <alignment horizontal="center"/>
    </xf>
    <xf numFmtId="0" fontId="13" fillId="13" borderId="297" xfId="0" applyFont="1" applyFill="1" applyBorder="1" applyAlignment="1">
      <alignment horizontal="center"/>
    </xf>
    <xf numFmtId="0" fontId="13" fillId="0" borderId="297" xfId="0" applyFont="1" applyBorder="1" applyAlignment="1">
      <alignment horizontal="center"/>
    </xf>
    <xf numFmtId="10" fontId="13" fillId="0" borderId="297" xfId="0" applyNumberFormat="1" applyFont="1" applyBorder="1" applyAlignment="1">
      <alignment horizontal="center" vertical="center"/>
    </xf>
    <xf numFmtId="0" fontId="13" fillId="0" borderId="297" xfId="0" applyFont="1" applyBorder="1" applyAlignment="1">
      <alignment horizontal="center" vertical="center"/>
    </xf>
    <xf numFmtId="0" fontId="32" fillId="0" borderId="297" xfId="0" applyFont="1" applyBorder="1" applyAlignment="1">
      <alignment horizontal="center" vertical="center" wrapText="1"/>
    </xf>
    <xf numFmtId="0" fontId="9" fillId="0" borderId="297" xfId="0" applyFont="1" applyBorder="1" applyAlignment="1">
      <alignment horizontal="center" vertical="center"/>
    </xf>
    <xf numFmtId="0" fontId="29" fillId="4" borderId="297" xfId="0" applyFont="1" applyFill="1" applyBorder="1" applyAlignment="1">
      <alignment horizontal="center" vertical="center"/>
    </xf>
    <xf numFmtId="0" fontId="0" fillId="0" borderId="297" xfId="0" applyBorder="1" applyAlignment="1">
      <alignment horizontal="center" wrapText="1"/>
    </xf>
    <xf numFmtId="0" fontId="29" fillId="4" borderId="297" xfId="0" applyFont="1" applyFill="1" applyBorder="1" applyAlignment="1">
      <alignment horizontal="center"/>
    </xf>
    <xf numFmtId="0" fontId="29" fillId="4" borderId="44" xfId="0" applyFont="1" applyFill="1" applyBorder="1" applyAlignment="1">
      <alignment horizontal="center"/>
    </xf>
    <xf numFmtId="0" fontId="29" fillId="4" borderId="0" xfId="0" applyFont="1" applyFill="1" applyAlignment="1">
      <alignment horizontal="center"/>
    </xf>
    <xf numFmtId="0" fontId="29" fillId="4" borderId="45" xfId="0" applyFont="1" applyFill="1" applyBorder="1" applyAlignment="1">
      <alignment horizontal="center"/>
    </xf>
    <xf numFmtId="0" fontId="44" fillId="4" borderId="0" xfId="0" applyFont="1" applyFill="1" applyAlignment="1">
      <alignment horizontal="center"/>
    </xf>
    <xf numFmtId="0" fontId="29" fillId="17" borderId="275" xfId="0" applyFont="1" applyFill="1" applyBorder="1" applyAlignment="1">
      <alignment horizontal="center"/>
    </xf>
    <xf numFmtId="0" fontId="29" fillId="17" borderId="0" xfId="0" applyFont="1" applyFill="1" applyAlignment="1">
      <alignment horizontal="center"/>
    </xf>
    <xf numFmtId="0" fontId="29" fillId="17" borderId="301" xfId="0" applyFont="1" applyFill="1" applyBorder="1" applyAlignment="1">
      <alignment horizontal="center"/>
    </xf>
    <xf numFmtId="0" fontId="29" fillId="4" borderId="58" xfId="0" applyFont="1" applyFill="1" applyBorder="1" applyAlignment="1">
      <alignment horizontal="center"/>
    </xf>
    <xf numFmtId="0" fontId="29" fillId="4" borderId="59" xfId="0" applyFont="1" applyFill="1" applyBorder="1" applyAlignment="1">
      <alignment horizontal="center"/>
    </xf>
    <xf numFmtId="0" fontId="29" fillId="4" borderId="60" xfId="0" applyFont="1" applyFill="1" applyBorder="1" applyAlignment="1">
      <alignment horizontal="center"/>
    </xf>
    <xf numFmtId="0" fontId="0" fillId="0" borderId="297" xfId="0" applyBorder="1" applyAlignment="1">
      <alignment horizontal="center"/>
    </xf>
    <xf numFmtId="0" fontId="0" fillId="0" borderId="318" xfId="0" applyBorder="1" applyAlignment="1">
      <alignment horizontal="center"/>
    </xf>
    <xf numFmtId="0" fontId="13" fillId="0" borderId="311" xfId="0" applyFont="1" applyBorder="1" applyAlignment="1">
      <alignment horizontal="center"/>
    </xf>
    <xf numFmtId="0" fontId="13" fillId="0" borderId="312" xfId="0" applyFont="1" applyBorder="1" applyAlignment="1">
      <alignment horizontal="center"/>
    </xf>
    <xf numFmtId="0" fontId="44" fillId="4" borderId="59" xfId="0" applyFont="1" applyFill="1" applyBorder="1" applyAlignment="1">
      <alignment horizontal="center"/>
    </xf>
    <xf numFmtId="0" fontId="44" fillId="4" borderId="60" xfId="0" applyFont="1" applyFill="1" applyBorder="1" applyAlignment="1">
      <alignment horizontal="center"/>
    </xf>
    <xf numFmtId="0" fontId="42" fillId="0" borderId="68" xfId="0" applyFont="1" applyBorder="1" applyAlignment="1">
      <alignment horizontal="center"/>
    </xf>
    <xf numFmtId="0" fontId="42" fillId="0" borderId="69" xfId="0" applyFont="1" applyBorder="1" applyAlignment="1">
      <alignment horizontal="center"/>
    </xf>
    <xf numFmtId="0" fontId="0" fillId="0" borderId="63" xfId="0" applyBorder="1" applyAlignment="1">
      <alignment horizontal="center" vertical="center" wrapText="1"/>
    </xf>
    <xf numFmtId="0" fontId="0" fillId="0" borderId="377" xfId="0" applyBorder="1" applyAlignment="1">
      <alignment horizontal="center" vertical="center" wrapText="1"/>
    </xf>
    <xf numFmtId="0" fontId="0" fillId="0" borderId="68" xfId="0" applyBorder="1" applyAlignment="1">
      <alignment horizontal="center" vertical="center" wrapText="1"/>
    </xf>
    <xf numFmtId="0" fontId="0" fillId="0" borderId="70" xfId="0" applyBorder="1" applyAlignment="1">
      <alignment horizontal="center" vertical="center" wrapText="1"/>
    </xf>
    <xf numFmtId="0" fontId="13" fillId="0" borderId="68" xfId="0" applyFont="1" applyBorder="1" applyAlignment="1">
      <alignment horizontal="center" vertical="center"/>
    </xf>
    <xf numFmtId="0" fontId="13" fillId="0" borderId="69" xfId="0" applyFont="1" applyBorder="1" applyAlignment="1">
      <alignment horizontal="center" vertical="center"/>
    </xf>
    <xf numFmtId="0" fontId="8" fillId="0" borderId="297" xfId="0" applyFont="1" applyBorder="1" applyAlignment="1">
      <alignment horizontal="center" vertical="center" wrapText="1"/>
    </xf>
    <xf numFmtId="0" fontId="13" fillId="13" borderId="58" xfId="0" applyFont="1" applyFill="1" applyBorder="1" applyAlignment="1">
      <alignment horizontal="center"/>
    </xf>
    <xf numFmtId="0" fontId="13" fillId="13" borderId="60" xfId="0" applyFont="1" applyFill="1" applyBorder="1" applyAlignment="1">
      <alignment horizontal="center"/>
    </xf>
    <xf numFmtId="0" fontId="13" fillId="13" borderId="59" xfId="0" applyFont="1" applyFill="1" applyBorder="1" applyAlignment="1">
      <alignment horizontal="center"/>
    </xf>
    <xf numFmtId="0" fontId="9" fillId="0" borderId="334" xfId="0" applyFont="1" applyBorder="1" applyAlignment="1">
      <alignment horizontal="center" vertical="center"/>
    </xf>
    <xf numFmtId="0" fontId="9" fillId="0" borderId="300" xfId="0" applyFont="1" applyBorder="1" applyAlignment="1">
      <alignment horizontal="center" vertical="center"/>
    </xf>
    <xf numFmtId="0" fontId="9" fillId="0" borderId="298" xfId="0" applyFont="1" applyBorder="1" applyAlignment="1">
      <alignment horizontal="center" vertical="center"/>
    </xf>
    <xf numFmtId="0" fontId="9" fillId="0" borderId="303" xfId="0" applyFont="1" applyBorder="1" applyAlignment="1">
      <alignment horizontal="center" vertical="center"/>
    </xf>
    <xf numFmtId="0" fontId="8" fillId="0" borderId="334" xfId="0" applyFont="1" applyBorder="1" applyAlignment="1">
      <alignment horizontal="center" vertical="center" wrapText="1"/>
    </xf>
    <xf numFmtId="0" fontId="0" fillId="0" borderId="299" xfId="0" applyBorder="1" applyAlignment="1">
      <alignment horizontal="center" vertical="center" wrapText="1"/>
    </xf>
    <xf numFmtId="0" fontId="0" fillId="0" borderId="300" xfId="0" applyBorder="1" applyAlignment="1">
      <alignment horizontal="center" vertical="center" wrapText="1"/>
    </xf>
    <xf numFmtId="0" fontId="0" fillId="0" borderId="298" xfId="0" applyBorder="1" applyAlignment="1">
      <alignment horizontal="center" vertical="center" wrapText="1"/>
    </xf>
    <xf numFmtId="0" fontId="0" fillId="0" borderId="302" xfId="0" applyBorder="1" applyAlignment="1">
      <alignment horizontal="center" vertical="center" wrapText="1"/>
    </xf>
    <xf numFmtId="0" fontId="0" fillId="0" borderId="303" xfId="0" applyBorder="1" applyAlignment="1">
      <alignment horizontal="center" vertical="center" wrapText="1"/>
    </xf>
    <xf numFmtId="0" fontId="29" fillId="4" borderId="57" xfId="0" applyFont="1" applyFill="1" applyBorder="1" applyAlignment="1">
      <alignment horizontal="center" vertical="center"/>
    </xf>
    <xf numFmtId="0" fontId="29" fillId="4" borderId="61" xfId="0" applyFont="1" applyFill="1" applyBorder="1" applyAlignment="1">
      <alignment horizontal="center" vertical="center"/>
    </xf>
    <xf numFmtId="0" fontId="29" fillId="4" borderId="62" xfId="0" applyFont="1" applyFill="1" applyBorder="1" applyAlignment="1">
      <alignment horizontal="center" vertical="center"/>
    </xf>
    <xf numFmtId="0" fontId="29" fillId="4" borderId="323" xfId="0" applyFont="1" applyFill="1" applyBorder="1" applyAlignment="1">
      <alignment horizontal="center"/>
    </xf>
    <xf numFmtId="0" fontId="13" fillId="0" borderId="63" xfId="0" applyFont="1" applyBorder="1" applyAlignment="1">
      <alignment horizontal="center" vertical="center"/>
    </xf>
    <xf numFmtId="0" fontId="13" fillId="0" borderId="64" xfId="0" applyFont="1" applyBorder="1" applyAlignment="1">
      <alignment horizontal="center" vertical="center"/>
    </xf>
    <xf numFmtId="0" fontId="13" fillId="0" borderId="68" xfId="0" applyFont="1" applyBorder="1" applyAlignment="1">
      <alignment horizontal="center"/>
    </xf>
    <xf numFmtId="0" fontId="13" fillId="0" borderId="70" xfId="0" applyFont="1" applyBorder="1" applyAlignment="1">
      <alignment horizontal="center"/>
    </xf>
    <xf numFmtId="0" fontId="13" fillId="23" borderId="65" xfId="0" applyFont="1" applyFill="1" applyBorder="1" applyAlignment="1">
      <alignment horizontal="center"/>
    </xf>
    <xf numFmtId="0" fontId="13" fillId="23" borderId="66" xfId="0" applyFont="1" applyFill="1" applyBorder="1" applyAlignment="1">
      <alignment horizontal="center"/>
    </xf>
    <xf numFmtId="0" fontId="13" fillId="23" borderId="67" xfId="0" applyFont="1" applyFill="1" applyBorder="1" applyAlignment="1">
      <alignment horizontal="center"/>
    </xf>
    <xf numFmtId="10" fontId="13" fillId="0" borderId="68" xfId="15" applyNumberFormat="1" applyFont="1" applyBorder="1" applyAlignment="1">
      <alignment horizontal="center"/>
    </xf>
    <xf numFmtId="10" fontId="13" fillId="0" borderId="70" xfId="15" applyNumberFormat="1" applyFont="1" applyBorder="1" applyAlignment="1">
      <alignment horizontal="center"/>
    </xf>
    <xf numFmtId="10" fontId="13" fillId="0" borderId="69" xfId="15" applyNumberFormat="1" applyFont="1" applyBorder="1" applyAlignment="1">
      <alignment horizontal="center"/>
    </xf>
    <xf numFmtId="0" fontId="0" fillId="0" borderId="0" xfId="0" applyAlignment="1">
      <alignment horizontal="center" wrapText="1"/>
    </xf>
    <xf numFmtId="0" fontId="13" fillId="23" borderId="63" xfId="0" applyFont="1" applyFill="1" applyBorder="1" applyAlignment="1">
      <alignment horizontal="center"/>
    </xf>
    <xf numFmtId="0" fontId="13" fillId="23" borderId="64" xfId="0" applyFont="1" applyFill="1" applyBorder="1" applyAlignment="1">
      <alignment horizontal="center"/>
    </xf>
    <xf numFmtId="0" fontId="13" fillId="23" borderId="385" xfId="0" applyFont="1" applyFill="1" applyBorder="1" applyAlignment="1">
      <alignment horizontal="center"/>
    </xf>
    <xf numFmtId="0" fontId="68" fillId="0" borderId="58" xfId="10" applyFont="1" applyBorder="1" applyAlignment="1" applyProtection="1">
      <alignment horizontal="center" vertical="center" wrapText="1"/>
    </xf>
    <xf numFmtId="0" fontId="68" fillId="0" borderId="59" xfId="10" applyFont="1" applyBorder="1" applyAlignment="1" applyProtection="1">
      <alignment horizontal="center" vertical="center" wrapText="1"/>
    </xf>
    <xf numFmtId="0" fontId="29" fillId="4" borderId="58" xfId="0" applyFont="1" applyFill="1" applyBorder="1" applyAlignment="1">
      <alignment horizontal="center" vertical="center"/>
    </xf>
    <xf numFmtId="0" fontId="29" fillId="4" borderId="59" xfId="0" applyFont="1" applyFill="1" applyBorder="1" applyAlignment="1">
      <alignment horizontal="center" vertical="center"/>
    </xf>
    <xf numFmtId="10" fontId="13" fillId="0" borderId="214" xfId="15" applyNumberFormat="1" applyFont="1" applyBorder="1" applyAlignment="1">
      <alignment horizontal="center"/>
    </xf>
    <xf numFmtId="10" fontId="13" fillId="0" borderId="143" xfId="15" applyNumberFormat="1" applyFont="1" applyBorder="1" applyAlignment="1">
      <alignment horizontal="center"/>
    </xf>
    <xf numFmtId="10" fontId="13" fillId="0" borderId="215" xfId="15" applyNumberFormat="1" applyFont="1" applyBorder="1" applyAlignment="1">
      <alignment horizontal="center"/>
    </xf>
    <xf numFmtId="0" fontId="13" fillId="0" borderId="214" xfId="0" applyFont="1" applyBorder="1" applyAlignment="1">
      <alignment horizontal="center"/>
    </xf>
    <xf numFmtId="0" fontId="13" fillId="0" borderId="143" xfId="0" applyFont="1" applyBorder="1" applyAlignment="1">
      <alignment horizontal="center"/>
    </xf>
    <xf numFmtId="0" fontId="42" fillId="0" borderId="387" xfId="0" applyFont="1" applyBorder="1" applyAlignment="1">
      <alignment horizontal="center"/>
    </xf>
    <xf numFmtId="0" fontId="42" fillId="0" borderId="388" xfId="0" applyFont="1" applyBorder="1" applyAlignment="1">
      <alignment horizontal="center"/>
    </xf>
    <xf numFmtId="10" fontId="13" fillId="0" borderId="389" xfId="15" applyNumberFormat="1" applyFont="1" applyBorder="1" applyAlignment="1">
      <alignment horizontal="center"/>
    </xf>
    <xf numFmtId="10" fontId="13" fillId="0" borderId="386" xfId="15" applyNumberFormat="1" applyFont="1" applyBorder="1" applyAlignment="1">
      <alignment horizontal="center"/>
    </xf>
    <xf numFmtId="0" fontId="0" fillId="0" borderId="0" xfId="0" applyAlignment="1">
      <alignment horizontal="center"/>
    </xf>
    <xf numFmtId="0" fontId="68" fillId="0" borderId="60" xfId="10" applyFont="1" applyBorder="1" applyAlignment="1" applyProtection="1">
      <alignment horizontal="center" vertical="center" wrapText="1"/>
    </xf>
    <xf numFmtId="0" fontId="8" fillId="38" borderId="197" xfId="0" applyFont="1" applyFill="1" applyBorder="1" applyAlignment="1">
      <alignment horizontal="center" vertical="center" wrapText="1"/>
    </xf>
    <xf numFmtId="0" fontId="70" fillId="0" borderId="52" xfId="0" applyFont="1" applyBorder="1" applyAlignment="1">
      <alignment horizontal="center" vertical="center" wrapText="1"/>
    </xf>
    <xf numFmtId="0" fontId="70" fillId="0" borderId="198" xfId="0" applyFont="1" applyBorder="1" applyAlignment="1">
      <alignment horizontal="center" vertical="center" wrapText="1"/>
    </xf>
    <xf numFmtId="0" fontId="26" fillId="4" borderId="194" xfId="25" applyFont="1" applyFill="1" applyBorder="1" applyAlignment="1">
      <alignment horizontal="center" vertical="center"/>
    </xf>
    <xf numFmtId="0" fontId="26" fillId="4" borderId="195" xfId="25" applyFont="1" applyFill="1" applyBorder="1" applyAlignment="1">
      <alignment horizontal="center" vertical="center"/>
    </xf>
    <xf numFmtId="0" fontId="26" fillId="4" borderId="196" xfId="25" applyFont="1" applyFill="1" applyBorder="1" applyAlignment="1">
      <alignment horizontal="center" vertical="center"/>
    </xf>
    <xf numFmtId="0" fontId="8" fillId="44" borderId="197" xfId="0" applyFont="1" applyFill="1" applyBorder="1" applyAlignment="1">
      <alignment horizontal="center" vertical="center" wrapText="1"/>
    </xf>
    <xf numFmtId="0" fontId="8" fillId="43" borderId="197" xfId="0" applyFont="1" applyFill="1" applyBorder="1" applyAlignment="1">
      <alignment horizontal="center" vertical="center" wrapText="1"/>
    </xf>
    <xf numFmtId="0" fontId="8" fillId="43" borderId="199" xfId="0" applyFont="1" applyFill="1" applyBorder="1" applyAlignment="1">
      <alignment horizontal="center" vertical="center" wrapText="1"/>
    </xf>
    <xf numFmtId="0" fontId="70" fillId="0" borderId="200" xfId="0" applyFont="1" applyBorder="1" applyAlignment="1">
      <alignment horizontal="center" vertical="center" wrapText="1"/>
    </xf>
    <xf numFmtId="0" fontId="70" fillId="0" borderId="201" xfId="0" applyFont="1" applyBorder="1" applyAlignment="1">
      <alignment horizontal="center" vertical="center" wrapText="1"/>
    </xf>
    <xf numFmtId="0" fontId="100" fillId="0" borderId="95" xfId="0" applyFont="1" applyBorder="1" applyAlignment="1">
      <alignment horizontal="center" vertical="center" wrapText="1"/>
    </xf>
    <xf numFmtId="0" fontId="33" fillId="0" borderId="96" xfId="0" applyFont="1" applyBorder="1" applyAlignment="1">
      <alignment horizontal="center" vertical="center" wrapText="1"/>
    </xf>
    <xf numFmtId="0" fontId="33" fillId="0" borderId="97" xfId="0" applyFont="1" applyBorder="1" applyAlignment="1">
      <alignment horizontal="center" vertical="center" wrapText="1"/>
    </xf>
    <xf numFmtId="0" fontId="48" fillId="4" borderId="52" xfId="0" applyFont="1" applyFill="1" applyBorder="1" applyAlignment="1">
      <alignment horizontal="center"/>
    </xf>
    <xf numFmtId="2" fontId="0" fillId="0" borderId="0" xfId="25" applyNumberFormat="1" applyFont="1" applyAlignment="1">
      <alignment horizontal="center"/>
    </xf>
    <xf numFmtId="0" fontId="16" fillId="17" borderId="98" xfId="1" applyFill="1" applyBorder="1" applyAlignment="1">
      <alignment horizontal="center" vertical="center" readingOrder="1"/>
    </xf>
    <xf numFmtId="0" fontId="51" fillId="17" borderId="98" xfId="25" applyFont="1" applyFill="1" applyBorder="1" applyAlignment="1">
      <alignment horizontal="center"/>
    </xf>
    <xf numFmtId="0" fontId="0" fillId="0" borderId="0" xfId="25" applyFont="1" applyAlignment="1">
      <alignment horizontal="center"/>
    </xf>
    <xf numFmtId="0" fontId="26" fillId="4" borderId="121" xfId="25" applyFont="1" applyFill="1" applyBorder="1" applyAlignment="1">
      <alignment horizontal="center" vertical="center"/>
    </xf>
    <xf numFmtId="0" fontId="26" fillId="4" borderId="25" xfId="25" applyFont="1" applyFill="1" applyBorder="1" applyAlignment="1">
      <alignment horizontal="center" vertical="center"/>
    </xf>
    <xf numFmtId="0" fontId="26" fillId="4" borderId="26" xfId="25" applyFont="1" applyFill="1" applyBorder="1" applyAlignment="1">
      <alignment horizontal="center" vertical="center"/>
    </xf>
    <xf numFmtId="0" fontId="28" fillId="0" borderId="122" xfId="25" applyFont="1" applyBorder="1" applyAlignment="1">
      <alignment horizontal="center" vertical="center" wrapText="1"/>
    </xf>
    <xf numFmtId="0" fontId="28" fillId="0" borderId="123" xfId="25" applyFont="1" applyBorder="1" applyAlignment="1">
      <alignment horizontal="center" vertical="center" wrapText="1"/>
    </xf>
    <xf numFmtId="0" fontId="28" fillId="0" borderId="124" xfId="25" applyFont="1" applyBorder="1" applyAlignment="1">
      <alignment horizontal="center" vertical="center" wrapText="1"/>
    </xf>
    <xf numFmtId="0" fontId="8" fillId="38" borderId="372" xfId="0" applyFont="1" applyFill="1" applyBorder="1" applyAlignment="1">
      <alignment horizontal="center"/>
    </xf>
    <xf numFmtId="0" fontId="8" fillId="38" borderId="140" xfId="0" applyFont="1" applyFill="1" applyBorder="1" applyAlignment="1">
      <alignment horizontal="center"/>
    </xf>
    <xf numFmtId="0" fontId="8" fillId="38" borderId="132" xfId="0" applyFont="1" applyFill="1" applyBorder="1" applyAlignment="1">
      <alignment horizontal="center"/>
    </xf>
    <xf numFmtId="0" fontId="63" fillId="0" borderId="104" xfId="28" applyFont="1" applyBorder="1" applyAlignment="1">
      <alignment horizontal="center" vertical="center"/>
    </xf>
    <xf numFmtId="0" fontId="63" fillId="0" borderId="106" xfId="28" applyFont="1" applyBorder="1" applyAlignment="1">
      <alignment horizontal="center" vertical="center"/>
    </xf>
    <xf numFmtId="0" fontId="53" fillId="35" borderId="0" xfId="0" applyFont="1" applyFill="1" applyAlignment="1">
      <alignment horizontal="left" vertical="center"/>
    </xf>
    <xf numFmtId="0" fontId="53" fillId="35" borderId="126" xfId="0" applyFont="1" applyFill="1" applyBorder="1" applyAlignment="1">
      <alignment horizontal="left" vertical="center"/>
    </xf>
    <xf numFmtId="0" fontId="54" fillId="0" borderId="104" xfId="0" applyFont="1" applyBorder="1" applyAlignment="1">
      <alignment horizontal="center" vertical="center"/>
    </xf>
    <xf numFmtId="0" fontId="54" fillId="0" borderId="107" xfId="0" applyFont="1" applyBorder="1" applyAlignment="1">
      <alignment horizontal="center" vertical="center"/>
    </xf>
    <xf numFmtId="0" fontId="54" fillId="0" borderId="106" xfId="0" applyFont="1" applyBorder="1" applyAlignment="1">
      <alignment horizontal="center" vertical="center"/>
    </xf>
    <xf numFmtId="0" fontId="54" fillId="0" borderId="114" xfId="0" applyFont="1" applyBorder="1" applyAlignment="1">
      <alignment horizontal="center" vertical="center" wrapText="1"/>
    </xf>
    <xf numFmtId="0" fontId="54" fillId="0" borderId="111" xfId="0" applyFont="1" applyBorder="1" applyAlignment="1">
      <alignment horizontal="center" vertical="center" wrapText="1"/>
    </xf>
    <xf numFmtId="0" fontId="59" fillId="27" borderId="113" xfId="0" applyFont="1" applyFill="1" applyBorder="1" applyAlignment="1">
      <alignment horizontal="center"/>
    </xf>
    <xf numFmtId="0" fontId="59" fillId="27" borderId="0" xfId="0" applyFont="1" applyFill="1" applyAlignment="1">
      <alignment horizontal="center"/>
    </xf>
    <xf numFmtId="0" fontId="59" fillId="27" borderId="125" xfId="0" applyFont="1" applyFill="1" applyBorder="1" applyAlignment="1">
      <alignment horizontal="center"/>
    </xf>
    <xf numFmtId="0" fontId="59" fillId="27" borderId="109" xfId="0" applyFont="1" applyFill="1" applyBorder="1" applyAlignment="1">
      <alignment horizontal="center"/>
    </xf>
    <xf numFmtId="0" fontId="59" fillId="27" borderId="173" xfId="0" applyFont="1" applyFill="1" applyBorder="1" applyAlignment="1">
      <alignment horizontal="center"/>
    </xf>
    <xf numFmtId="0" fontId="52" fillId="11" borderId="188" xfId="0" applyFont="1" applyFill="1" applyBorder="1" applyAlignment="1">
      <alignment horizontal="center"/>
    </xf>
    <xf numFmtId="0" fontId="52" fillId="11" borderId="189" xfId="0" applyFont="1" applyFill="1" applyBorder="1" applyAlignment="1">
      <alignment horizontal="center"/>
    </xf>
    <xf numFmtId="0" fontId="52" fillId="11" borderId="158" xfId="0" applyFont="1" applyFill="1" applyBorder="1" applyAlignment="1">
      <alignment horizontal="center"/>
    </xf>
    <xf numFmtId="0" fontId="52" fillId="38" borderId="188" xfId="0" applyFont="1" applyFill="1" applyBorder="1" applyAlignment="1">
      <alignment horizontal="center"/>
    </xf>
    <xf numFmtId="0" fontId="52" fillId="38" borderId="189" xfId="0" applyFont="1" applyFill="1" applyBorder="1" applyAlignment="1">
      <alignment horizontal="center"/>
    </xf>
    <xf numFmtId="0" fontId="52" fillId="38" borderId="158" xfId="0" applyFont="1" applyFill="1" applyBorder="1" applyAlignment="1">
      <alignment horizontal="center"/>
    </xf>
    <xf numFmtId="0" fontId="54" fillId="0" borderId="111" xfId="0" applyFont="1" applyBorder="1" applyAlignment="1">
      <alignment horizontal="center" vertical="center"/>
    </xf>
    <xf numFmtId="0" fontId="54" fillId="0" borderId="114" xfId="0" applyFont="1" applyBorder="1" applyAlignment="1">
      <alignment horizontal="center" vertical="center"/>
    </xf>
    <xf numFmtId="0" fontId="54" fillId="0" borderId="190" xfId="0" applyFont="1" applyBorder="1" applyAlignment="1">
      <alignment horizontal="center" vertical="center"/>
    </xf>
    <xf numFmtId="0" fontId="54" fillId="0" borderId="148" xfId="0" applyFont="1" applyBorder="1" applyAlignment="1">
      <alignment horizontal="center" vertical="center"/>
    </xf>
    <xf numFmtId="0" fontId="54" fillId="0" borderId="103" xfId="0" applyFont="1" applyBorder="1" applyAlignment="1">
      <alignment horizontal="center" vertical="center"/>
    </xf>
    <xf numFmtId="1" fontId="8" fillId="0" borderId="257" xfId="23" applyNumberFormat="1" applyBorder="1" applyAlignment="1">
      <alignment horizontal="center" vertical="center"/>
    </xf>
    <xf numFmtId="1" fontId="8" fillId="0" borderId="254" xfId="23" applyNumberFormat="1" applyBorder="1" applyAlignment="1">
      <alignment horizontal="center" vertical="center"/>
    </xf>
    <xf numFmtId="1" fontId="8" fillId="0" borderId="357" xfId="23" applyNumberFormat="1" applyBorder="1" applyAlignment="1">
      <alignment horizontal="center" vertical="center"/>
    </xf>
    <xf numFmtId="1" fontId="8" fillId="0" borderId="358" xfId="23" applyNumberFormat="1" applyBorder="1" applyAlignment="1">
      <alignment horizontal="center" vertical="center"/>
    </xf>
    <xf numFmtId="0" fontId="101" fillId="0" borderId="40" xfId="23" applyFont="1" applyBorder="1" applyAlignment="1">
      <alignment horizontal="center" vertical="center"/>
    </xf>
    <xf numFmtId="0" fontId="8" fillId="0" borderId="27" xfId="23" applyBorder="1" applyAlignment="1">
      <alignment horizontal="center"/>
    </xf>
    <xf numFmtId="0" fontId="8" fillId="0" borderId="33" xfId="23" applyBorder="1" applyAlignment="1">
      <alignment horizontal="center"/>
    </xf>
    <xf numFmtId="171" fontId="0" fillId="52" borderId="38" xfId="23" applyNumberFormat="1" applyFont="1" applyFill="1" applyBorder="1" applyAlignment="1">
      <alignment horizontal="center"/>
    </xf>
    <xf numFmtId="171" fontId="0" fillId="0" borderId="38" xfId="23" applyNumberFormat="1" applyFont="1" applyBorder="1" applyAlignment="1">
      <alignment horizontal="center"/>
    </xf>
    <xf numFmtId="10" fontId="0" fillId="7" borderId="38" xfId="15" applyNumberFormat="1" applyFont="1" applyFill="1" applyBorder="1" applyAlignment="1">
      <alignment horizontal="center"/>
    </xf>
    <xf numFmtId="171" fontId="0" fillId="53" borderId="38" xfId="23" applyNumberFormat="1" applyFont="1" applyFill="1" applyBorder="1" applyAlignment="1">
      <alignment horizontal="center"/>
    </xf>
    <xf numFmtId="10" fontId="0" fillId="53" borderId="38" xfId="15" applyNumberFormat="1" applyFont="1" applyFill="1" applyBorder="1" applyAlignment="1">
      <alignment horizontal="center"/>
    </xf>
    <xf numFmtId="0" fontId="97" fillId="0" borderId="5" xfId="10" applyFont="1" applyBorder="1" applyAlignment="1" applyProtection="1">
      <alignment horizontal="center" vertical="center" wrapText="1"/>
    </xf>
    <xf numFmtId="0" fontId="98" fillId="0" borderId="5" xfId="23" applyFont="1" applyBorder="1" applyAlignment="1">
      <alignment horizontal="center" vertical="center" wrapText="1"/>
    </xf>
    <xf numFmtId="0" fontId="98" fillId="0" borderId="0" xfId="23" applyFont="1" applyAlignment="1">
      <alignment horizontal="center" vertical="center" wrapText="1"/>
    </xf>
    <xf numFmtId="0" fontId="99" fillId="6" borderId="0" xfId="0" applyFont="1" applyFill="1" applyAlignment="1">
      <alignment horizontal="center"/>
    </xf>
    <xf numFmtId="0" fontId="8" fillId="0" borderId="29" xfId="23" applyBorder="1" applyAlignment="1">
      <alignment horizontal="left" vertical="center" wrapText="1"/>
    </xf>
    <xf numFmtId="0" fontId="8" fillId="0" borderId="5" xfId="23" applyBorder="1" applyAlignment="1">
      <alignment horizontal="left" vertical="center" wrapText="1"/>
    </xf>
    <xf numFmtId="0" fontId="8" fillId="0" borderId="30" xfId="23" applyBorder="1" applyAlignment="1">
      <alignment horizontal="left" vertical="center" wrapText="1"/>
    </xf>
    <xf numFmtId="0" fontId="8" fillId="0" borderId="6" xfId="23" applyBorder="1" applyAlignment="1">
      <alignment horizontal="left" vertical="center" wrapText="1"/>
    </xf>
    <xf numFmtId="0" fontId="8" fillId="0" borderId="0" xfId="23" applyAlignment="1">
      <alignment horizontal="left" vertical="center" wrapText="1"/>
    </xf>
    <xf numFmtId="0" fontId="8" fillId="0" borderId="31" xfId="23" applyBorder="1" applyAlignment="1">
      <alignment horizontal="left" vertical="center" wrapText="1"/>
    </xf>
    <xf numFmtId="0" fontId="8" fillId="0" borderId="32" xfId="23" applyBorder="1" applyAlignment="1">
      <alignment horizontal="left" vertical="center" wrapText="1"/>
    </xf>
    <xf numFmtId="0" fontId="8" fillId="0" borderId="27" xfId="23" applyBorder="1" applyAlignment="1">
      <alignment horizontal="left" vertical="center" wrapText="1"/>
    </xf>
    <xf numFmtId="0" fontId="8" fillId="0" borderId="33" xfId="23" applyBorder="1" applyAlignment="1">
      <alignment horizontal="left" vertical="center" wrapText="1"/>
    </xf>
    <xf numFmtId="0" fontId="96" fillId="0" borderId="0" xfId="23" applyFont="1" applyAlignment="1">
      <alignment horizontal="center" vertical="center" wrapText="1"/>
    </xf>
    <xf numFmtId="10" fontId="8" fillId="0" borderId="40" xfId="23" applyNumberFormat="1" applyBorder="1" applyAlignment="1">
      <alignment horizontal="center" vertical="center"/>
    </xf>
    <xf numFmtId="0" fontId="8" fillId="0" borderId="40" xfId="23" applyBorder="1" applyAlignment="1">
      <alignment horizontal="center" vertical="center"/>
    </xf>
    <xf numFmtId="0" fontId="73" fillId="0" borderId="368" xfId="23" applyFont="1" applyBorder="1" applyAlignment="1">
      <alignment horizontal="center"/>
    </xf>
    <xf numFmtId="0" fontId="73" fillId="0" borderId="369" xfId="23" applyFont="1" applyBorder="1" applyAlignment="1">
      <alignment horizontal="center"/>
    </xf>
    <xf numFmtId="0" fontId="73" fillId="0" borderId="370" xfId="23" applyFont="1" applyBorder="1" applyAlignment="1">
      <alignment horizontal="center"/>
    </xf>
    <xf numFmtId="0" fontId="101" fillId="0" borderId="368" xfId="23" applyFont="1" applyBorder="1" applyAlignment="1">
      <alignment horizontal="center"/>
    </xf>
    <xf numFmtId="0" fontId="101" fillId="0" borderId="369" xfId="23" applyFont="1" applyBorder="1" applyAlignment="1">
      <alignment horizontal="center"/>
    </xf>
    <xf numFmtId="0" fontId="101" fillId="0" borderId="370" xfId="23" applyFont="1" applyBorder="1" applyAlignment="1">
      <alignment horizontal="center"/>
    </xf>
    <xf numFmtId="10" fontId="8" fillId="0" borderId="0" xfId="23" applyNumberFormat="1" applyAlignment="1">
      <alignment horizontal="center" vertical="center"/>
    </xf>
    <xf numFmtId="0" fontId="101" fillId="0" borderId="40" xfId="23" applyFont="1" applyBorder="1" applyAlignment="1">
      <alignment horizontal="center" vertical="center" wrapText="1"/>
    </xf>
    <xf numFmtId="0" fontId="75" fillId="6" borderId="0" xfId="0" applyFont="1" applyFill="1" applyAlignment="1">
      <alignment horizontal="center"/>
    </xf>
    <xf numFmtId="0" fontId="13" fillId="0" borderId="103" xfId="0" applyFont="1" applyBorder="1" applyAlignment="1">
      <alignment horizontal="center" vertical="center" wrapText="1"/>
    </xf>
    <xf numFmtId="0" fontId="26" fillId="17" borderId="0" xfId="23" applyFont="1" applyFill="1" applyAlignment="1">
      <alignment horizontal="center" vertical="center"/>
    </xf>
    <xf numFmtId="0" fontId="13" fillId="23" borderId="3" xfId="23" applyFont="1" applyFill="1" applyBorder="1" applyAlignment="1">
      <alignment horizontal="center" vertical="center" wrapText="1"/>
    </xf>
    <xf numFmtId="0" fontId="13" fillId="23" borderId="2" xfId="23" applyFont="1" applyFill="1" applyBorder="1" applyAlignment="1">
      <alignment horizontal="center" vertical="center" wrapText="1"/>
    </xf>
    <xf numFmtId="1" fontId="8" fillId="0" borderId="355" xfId="23" applyNumberFormat="1" applyBorder="1" applyAlignment="1">
      <alignment horizontal="center" vertical="center"/>
    </xf>
    <xf numFmtId="1" fontId="8" fillId="0" borderId="356" xfId="23" applyNumberFormat="1" applyBorder="1" applyAlignment="1">
      <alignment horizontal="center" vertical="center"/>
    </xf>
    <xf numFmtId="10" fontId="0" fillId="52" borderId="38" xfId="15" applyNumberFormat="1" applyFont="1" applyFill="1" applyBorder="1" applyAlignment="1">
      <alignment horizontal="center"/>
    </xf>
    <xf numFmtId="0" fontId="8" fillId="0" borderId="103" xfId="0" applyFont="1" applyBorder="1" applyAlignment="1">
      <alignment horizontal="center" vertical="center" wrapText="1"/>
    </xf>
    <xf numFmtId="10" fontId="8" fillId="0" borderId="103" xfId="23" applyNumberFormat="1" applyBorder="1" applyAlignment="1">
      <alignment horizontal="center" vertical="center"/>
    </xf>
    <xf numFmtId="0" fontId="32" fillId="0" borderId="103" xfId="23" applyFont="1" applyBorder="1" applyAlignment="1">
      <alignment horizontal="center" vertical="center" wrapText="1"/>
    </xf>
    <xf numFmtId="0" fontId="8" fillId="49" borderId="114" xfId="0" applyFont="1" applyFill="1" applyBorder="1" applyAlignment="1">
      <alignment horizontal="center" vertical="center"/>
    </xf>
    <xf numFmtId="0" fontId="8" fillId="49" borderId="111" xfId="0" applyFont="1" applyFill="1" applyBorder="1" applyAlignment="1">
      <alignment horizontal="center" vertical="center"/>
    </xf>
    <xf numFmtId="0" fontId="8" fillId="49" borderId="339" xfId="0" applyFont="1" applyFill="1" applyBorder="1" applyAlignment="1">
      <alignment horizontal="center" vertical="center"/>
    </xf>
    <xf numFmtId="0" fontId="56" fillId="44" borderId="114" xfId="0" applyFont="1" applyFill="1" applyBorder="1" applyAlignment="1">
      <alignment horizontal="center" vertical="center"/>
    </xf>
    <xf numFmtId="0" fontId="56" fillId="44" borderId="111" xfId="0" applyFont="1" applyFill="1" applyBorder="1" applyAlignment="1">
      <alignment horizontal="center" vertical="center"/>
    </xf>
    <xf numFmtId="0" fontId="56" fillId="44" borderId="339" xfId="0" applyFont="1" applyFill="1" applyBorder="1" applyAlignment="1">
      <alignment horizontal="center" vertical="center"/>
    </xf>
    <xf numFmtId="0" fontId="56" fillId="43" borderId="114" xfId="0" applyFont="1" applyFill="1" applyBorder="1" applyAlignment="1">
      <alignment horizontal="center" vertical="center"/>
    </xf>
    <xf numFmtId="0" fontId="56" fillId="43" borderId="111" xfId="0" applyFont="1" applyFill="1" applyBorder="1" applyAlignment="1">
      <alignment horizontal="center" vertical="center"/>
    </xf>
    <xf numFmtId="0" fontId="56" fillId="43" borderId="339" xfId="0" applyFont="1" applyFill="1" applyBorder="1" applyAlignment="1">
      <alignment horizontal="center" vertical="center"/>
    </xf>
    <xf numFmtId="171" fontId="0" fillId="7" borderId="38" xfId="23" applyNumberFormat="1" applyFont="1" applyFill="1" applyBorder="1" applyAlignment="1">
      <alignment horizontal="center"/>
    </xf>
    <xf numFmtId="171" fontId="0" fillId="19" borderId="38" xfId="23" applyNumberFormat="1" applyFont="1" applyFill="1" applyBorder="1" applyAlignment="1">
      <alignment horizontal="center"/>
    </xf>
    <xf numFmtId="10" fontId="0" fillId="19" borderId="38" xfId="23" applyNumberFormat="1" applyFont="1" applyFill="1" applyBorder="1" applyAlignment="1">
      <alignment horizontal="center"/>
    </xf>
    <xf numFmtId="0" fontId="0" fillId="19" borderId="38" xfId="23" applyFont="1" applyFill="1" applyBorder="1" applyAlignment="1">
      <alignment horizontal="center"/>
    </xf>
    <xf numFmtId="171" fontId="0" fillId="19" borderId="373" xfId="23" applyNumberFormat="1" applyFont="1" applyFill="1" applyBorder="1" applyAlignment="1">
      <alignment horizontal="center"/>
    </xf>
    <xf numFmtId="0" fontId="13" fillId="52" borderId="38" xfId="23" applyFont="1" applyFill="1" applyBorder="1" applyAlignment="1">
      <alignment horizontal="center"/>
    </xf>
    <xf numFmtId="0" fontId="0" fillId="0" borderId="32" xfId="23" applyFont="1" applyBorder="1" applyAlignment="1">
      <alignment horizontal="center"/>
    </xf>
    <xf numFmtId="0" fontId="0" fillId="7" borderId="32" xfId="23" applyFont="1" applyFill="1" applyBorder="1" applyAlignment="1">
      <alignment horizontal="center"/>
    </xf>
    <xf numFmtId="0" fontId="8" fillId="0" borderId="106" xfId="23" applyBorder="1" applyAlignment="1">
      <alignment horizontal="center"/>
    </xf>
    <xf numFmtId="0" fontId="0" fillId="0" borderId="106" xfId="23" applyFont="1" applyBorder="1" applyAlignment="1">
      <alignment horizontal="center"/>
    </xf>
    <xf numFmtId="0" fontId="8" fillId="19" borderId="38" xfId="23" applyFill="1" applyBorder="1" applyAlignment="1">
      <alignment horizontal="center"/>
    </xf>
    <xf numFmtId="0" fontId="0" fillId="19" borderId="40" xfId="23" applyFont="1" applyFill="1" applyBorder="1" applyAlignment="1">
      <alignment horizontal="center"/>
    </xf>
    <xf numFmtId="0" fontId="8" fillId="0" borderId="32" xfId="23" applyBorder="1" applyAlignment="1">
      <alignment horizontal="center"/>
    </xf>
    <xf numFmtId="0" fontId="0" fillId="0" borderId="2" xfId="23" applyFont="1" applyBorder="1" applyAlignment="1">
      <alignment horizontal="center"/>
    </xf>
    <xf numFmtId="0" fontId="13" fillId="0" borderId="38" xfId="23" applyFont="1" applyBorder="1" applyAlignment="1">
      <alignment horizontal="center"/>
    </xf>
    <xf numFmtId="0" fontId="13" fillId="0" borderId="1" xfId="23" applyFont="1" applyBorder="1" applyAlignment="1">
      <alignment horizontal="center"/>
    </xf>
    <xf numFmtId="0" fontId="13" fillId="0" borderId="39" xfId="23" applyFont="1" applyBorder="1" applyAlignment="1">
      <alignment horizontal="center"/>
    </xf>
    <xf numFmtId="0" fontId="13" fillId="53" borderId="38" xfId="23" applyFont="1" applyFill="1" applyBorder="1" applyAlignment="1">
      <alignment horizontal="center"/>
    </xf>
    <xf numFmtId="0" fontId="13" fillId="7" borderId="38" xfId="23" applyFont="1" applyFill="1" applyBorder="1" applyAlignment="1">
      <alignment horizontal="center"/>
    </xf>
    <xf numFmtId="0" fontId="13" fillId="53" borderId="40" xfId="23" applyFont="1" applyFill="1" applyBorder="1" applyAlignment="1">
      <alignment horizontal="center"/>
    </xf>
    <xf numFmtId="0" fontId="13" fillId="7" borderId="40" xfId="23" applyFont="1" applyFill="1" applyBorder="1" applyAlignment="1">
      <alignment horizontal="center"/>
    </xf>
    <xf numFmtId="0" fontId="13" fillId="52" borderId="40" xfId="23" applyFont="1" applyFill="1" applyBorder="1" applyAlignment="1">
      <alignment horizontal="center"/>
    </xf>
    <xf numFmtId="0" fontId="13" fillId="0" borderId="40" xfId="23" applyFont="1" applyBorder="1" applyAlignment="1">
      <alignment horizontal="center"/>
    </xf>
    <xf numFmtId="0" fontId="13" fillId="0" borderId="40" xfId="23" applyFont="1" applyBorder="1" applyAlignment="1">
      <alignment horizontal="center" wrapText="1"/>
    </xf>
    <xf numFmtId="0" fontId="101" fillId="0" borderId="378" xfId="23" applyFont="1" applyBorder="1" applyAlignment="1">
      <alignment horizontal="center"/>
    </xf>
    <xf numFmtId="0" fontId="101" fillId="0" borderId="379" xfId="23" applyFont="1" applyBorder="1" applyAlignment="1">
      <alignment horizontal="center"/>
    </xf>
    <xf numFmtId="0" fontId="101" fillId="0" borderId="380" xfId="23" applyFont="1" applyBorder="1" applyAlignment="1">
      <alignment horizontal="center"/>
    </xf>
    <xf numFmtId="0" fontId="101" fillId="0" borderId="381" xfId="23" applyFont="1" applyBorder="1" applyAlignment="1">
      <alignment horizontal="center"/>
    </xf>
    <xf numFmtId="0" fontId="101" fillId="0" borderId="382" xfId="23" applyFont="1" applyBorder="1" applyAlignment="1">
      <alignment horizontal="center"/>
    </xf>
    <xf numFmtId="0" fontId="101" fillId="0" borderId="383" xfId="23" applyFont="1" applyBorder="1" applyAlignment="1">
      <alignment horizontal="center"/>
    </xf>
    <xf numFmtId="0" fontId="8" fillId="13" borderId="40" xfId="23" applyFill="1" applyBorder="1" applyAlignment="1">
      <alignment horizontal="center"/>
    </xf>
    <xf numFmtId="0" fontId="0" fillId="13" borderId="40" xfId="23" applyFont="1" applyFill="1" applyBorder="1" applyAlignment="1">
      <alignment horizontal="center"/>
    </xf>
    <xf numFmtId="0" fontId="8" fillId="0" borderId="40" xfId="23" applyBorder="1" applyAlignment="1">
      <alignment horizontal="center"/>
    </xf>
    <xf numFmtId="0" fontId="0" fillId="0" borderId="40" xfId="23" applyFont="1" applyBorder="1" applyAlignment="1">
      <alignment horizontal="center"/>
    </xf>
    <xf numFmtId="0" fontId="8" fillId="53" borderId="40" xfId="23" applyFill="1" applyBorder="1" applyAlignment="1">
      <alignment horizontal="center"/>
    </xf>
    <xf numFmtId="0" fontId="0" fillId="53" borderId="40" xfId="23" applyFont="1" applyFill="1" applyBorder="1" applyAlignment="1">
      <alignment horizontal="center"/>
    </xf>
    <xf numFmtId="0" fontId="8" fillId="53" borderId="40" xfId="23" applyFill="1" applyBorder="1" applyAlignment="1">
      <alignment horizontal="left"/>
    </xf>
    <xf numFmtId="0" fontId="8" fillId="13" borderId="40" xfId="23" applyFill="1" applyBorder="1" applyAlignment="1">
      <alignment horizontal="left"/>
    </xf>
    <xf numFmtId="0" fontId="41" fillId="0" borderId="0" xfId="0" applyFont="1" applyAlignment="1">
      <alignment horizontal="center"/>
    </xf>
    <xf numFmtId="0" fontId="9" fillId="0" borderId="0" xfId="0" applyFont="1" applyAlignment="1">
      <alignment horizontal="center"/>
    </xf>
    <xf numFmtId="0" fontId="37" fillId="0" borderId="0" xfId="0" applyFont="1" applyAlignment="1">
      <alignment horizontal="center"/>
    </xf>
    <xf numFmtId="0" fontId="33" fillId="18" borderId="0" xfId="0" applyFont="1" applyFill="1" applyAlignment="1">
      <alignment horizontal="center"/>
    </xf>
    <xf numFmtId="4" fontId="33" fillId="18" borderId="0" xfId="0" applyNumberFormat="1" applyFont="1" applyFill="1" applyAlignment="1">
      <alignment horizontal="center"/>
    </xf>
    <xf numFmtId="0" fontId="33" fillId="0" borderId="0" xfId="0" applyFont="1" applyAlignment="1">
      <alignment horizontal="center"/>
    </xf>
    <xf numFmtId="0" fontId="22" fillId="0" borderId="0" xfId="0" applyFont="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3" fillId="0" borderId="29" xfId="0" applyFont="1" applyBorder="1" applyAlignment="1">
      <alignment horizontal="center"/>
    </xf>
    <xf numFmtId="0" fontId="13" fillId="0" borderId="5" xfId="0" applyFont="1" applyBorder="1" applyAlignment="1">
      <alignment horizontal="center"/>
    </xf>
    <xf numFmtId="0" fontId="13" fillId="0" borderId="30" xfId="0" applyFont="1" applyBorder="1" applyAlignment="1">
      <alignment horizontal="center"/>
    </xf>
  </cellXfs>
  <cellStyles count="37">
    <cellStyle name="blp_title_header_row_left" xfId="1" xr:uid="{00000000-0005-0000-0000-000000000000}"/>
    <cellStyle name="Correto" xfId="34" builtinId="26"/>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row_header_bold 2" xfId="8" xr:uid="{00000000-0005-0000-0000-000008000000}"/>
    <cellStyle name="fa_row_header_standard 2" xfId="9" xr:uid="{00000000-0005-0000-0000-000009000000}"/>
    <cellStyle name="Hiperligação" xfId="10" builtinId="8"/>
    <cellStyle name="Incorreto" xfId="36" builtinId="27"/>
    <cellStyle name="Moneda 2" xfId="11" xr:uid="{00000000-0005-0000-0000-00000B000000}"/>
    <cellStyle name="Moneda 2 2" xfId="12" xr:uid="{00000000-0005-0000-0000-00000C000000}"/>
    <cellStyle name="Neutro" xfId="35" builtinId="28"/>
    <cellStyle name="Normal" xfId="0" builtinId="0"/>
    <cellStyle name="Normal 2" xfId="13" xr:uid="{00000000-0005-0000-0000-00000E000000}"/>
    <cellStyle name="Normal 2 2" xfId="14" xr:uid="{00000000-0005-0000-0000-00000F000000}"/>
    <cellStyle name="Normal 2 3" xfId="19" xr:uid="{00000000-0005-0000-0000-000010000000}"/>
    <cellStyle name="Normal 2 3 2" xfId="26" xr:uid="{6A4611F8-31D7-4EA6-B27B-70EB4E34E8FD}"/>
    <cellStyle name="Normal 2 4" xfId="20" xr:uid="{DBC68614-B0BC-4348-8A0D-C96562B201CF}"/>
    <cellStyle name="Normal 3" xfId="23" xr:uid="{371B90F0-6B8E-40BF-8358-D28B574437C9}"/>
    <cellStyle name="Normal 3 2" xfId="25" xr:uid="{41BD78A2-6B23-4ADD-839D-9D86F14E11A2}"/>
    <cellStyle name="Normal 3 3" xfId="28" xr:uid="{4CBFF9A4-05AD-4A91-8AF0-FA0B5B39E2EC}"/>
    <cellStyle name="Normal 5" xfId="29" xr:uid="{E3BE1569-E214-4855-8BF5-B868B88B5743}"/>
    <cellStyle name="Normal 9" xfId="32" xr:uid="{CACD4D4E-2C7F-4816-9692-26D0FDD559DC}"/>
    <cellStyle name="Percentagem" xfId="15" builtinId="5"/>
    <cellStyle name="Porcentaje 2" xfId="16" xr:uid="{00000000-0005-0000-0000-000012000000}"/>
    <cellStyle name="Porcentaje 2 2" xfId="17" xr:uid="{00000000-0005-0000-0000-000013000000}"/>
    <cellStyle name="Porcentaje 2 2 2" xfId="24" xr:uid="{924DB8B0-6B9C-4A78-9CB6-7EC8F42C7C6B}"/>
    <cellStyle name="Porcentaje 2 3" xfId="22" xr:uid="{1FF2580F-E450-433A-8AB5-6E1CABCA8FC9}"/>
    <cellStyle name="Porcentaje 2 4" xfId="27" xr:uid="{3D812F63-E4F6-4F6D-A613-EF79E76ACE35}"/>
    <cellStyle name="Porcentaje 3" xfId="18" xr:uid="{00000000-0005-0000-0000-000014000000}"/>
    <cellStyle name="Porcentaje 3 2" xfId="21" xr:uid="{59E732CE-B697-4AF7-8CEE-0C42EB60E78B}"/>
    <cellStyle name="Porcentaje 4 2" xfId="31" xr:uid="{C6A0E8B8-33DC-4334-89A4-99FF669E5EA8}"/>
    <cellStyle name="Porcentaje 5" xfId="30" xr:uid="{F07CEC0B-CE59-4BBC-A0C7-9B77A84167BF}"/>
    <cellStyle name="Vírgula" xfId="33" builtinId="3"/>
  </cellStyles>
  <dxfs count="35">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s>
  <tableStyles count="1" defaultTableStyle="TableStyleMedium9" defaultPivotStyle="PivotStyleLight16">
    <tableStyle name="Invisible" pivot="0" table="0" count="0" xr9:uid="{7B8256E5-5961-45BC-8E74-75040304E975}"/>
  </tableStyles>
  <colors>
    <mruColors>
      <color rgb="FF3174C5"/>
      <color rgb="FF077346"/>
      <color rgb="FFE838D3"/>
      <color rgb="FF1F497D"/>
      <color rgb="FFFF3399"/>
      <color rgb="FF0B8C56"/>
      <color rgb="FF0DA868"/>
      <color rgb="FFC5D9F1"/>
      <color rgb="FF1B7087"/>
      <color rgb="FF63CB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ichStyles" Target="richData/richStyles.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Segments!$C$18:$C$23</c:f>
              <c:strCache>
                <c:ptCount val="3"/>
                <c:pt idx="0">
                  <c:v>Beer</c:v>
                </c:pt>
                <c:pt idx="1">
                  <c:v>Wine</c:v>
                </c:pt>
                <c:pt idx="2">
                  <c:v>Spirits</c:v>
                </c:pt>
              </c:strCache>
            </c:strRef>
          </c:cat>
          <c:val>
            <c:numRef>
              <c:f>Segments!$D$18:$D$23</c:f>
              <c:numCache>
                <c:formatCode>"$"#,##0</c:formatCode>
                <c:ptCount val="3"/>
                <c:pt idx="0">
                  <c:v>8162.6</c:v>
                </c:pt>
                <c:pt idx="1">
                  <c:v>1552.1</c:v>
                </c:pt>
                <c:pt idx="2">
                  <c:v>247.1</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Segments!$C$5:$C$10</c:f>
              <c:strCache>
                <c:ptCount val="2"/>
                <c:pt idx="0">
                  <c:v>U.S.</c:v>
                </c:pt>
                <c:pt idx="1">
                  <c:v>Non-U.S.</c:v>
                </c:pt>
              </c:strCache>
            </c:strRef>
          </c:cat>
          <c:val>
            <c:numRef>
              <c:f>Segments!$D$5:$D$10</c:f>
              <c:numCache>
                <c:formatCode>"$"#,##0</c:formatCode>
                <c:ptCount val="2"/>
                <c:pt idx="0">
                  <c:v>9748.1</c:v>
                </c:pt>
                <c:pt idx="1">
                  <c:v>213.7</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CONSTELLATION BRANDS, INC. (XNYS:STZ)</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Peers!$C$21</c:f>
              <c:numCache>
                <c:formatCode>0.00</c:formatCode>
                <c:ptCount val="1"/>
                <c:pt idx="0">
                  <c:v>3.0215984822688142</c:v>
                </c:pt>
              </c:numCache>
            </c:numRef>
          </c:xVal>
          <c:yVal>
            <c:numRef>
              <c:f>Peers!$C$37</c:f>
              <c:numCache>
                <c:formatCode>0.0</c:formatCode>
                <c:ptCount val="1"/>
                <c:pt idx="0">
                  <c:v>14.018993021355257</c:v>
                </c:pt>
              </c:numCache>
            </c:numRef>
          </c:yVal>
          <c:smooth val="0"/>
          <c:extLst>
            <c:ext xmlns:c16="http://schemas.microsoft.com/office/drawing/2014/chart" uri="{C3380CC4-5D6E-409C-BE32-E72D297353CC}">
              <c16:uniqueId val="{00000001-B547-4DF9-892F-3129917FB3B3}"/>
            </c:ext>
          </c:extLst>
        </c:ser>
        <c:ser>
          <c:idx val="1"/>
          <c:order val="1"/>
          <c:tx>
            <c:strRef>
              <c:f>Peers!$D$8</c:f>
              <c:strCache>
                <c:ptCount val="1"/>
                <c:pt idx="0">
                  <c:v>MOLSON COORS BEVERAGE COMPANY (XNYS:TAP)</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Peers!$D$21</c:f>
              <c:numCache>
                <c:formatCode>0.00</c:formatCode>
                <c:ptCount val="1"/>
                <c:pt idx="0">
                  <c:v>2.4900875979714154</c:v>
                </c:pt>
              </c:numCache>
            </c:numRef>
          </c:xVal>
          <c:yVal>
            <c:numRef>
              <c:f>Peers!$D$37</c:f>
              <c:numCache>
                <c:formatCode>0.0</c:formatCode>
                <c:ptCount val="1"/>
                <c:pt idx="0">
                  <c:v>7.8971876440756112</c:v>
                </c:pt>
              </c:numCache>
            </c:numRef>
          </c:yVal>
          <c:smooth val="0"/>
          <c:extLst>
            <c:ext xmlns:c16="http://schemas.microsoft.com/office/drawing/2014/chart" uri="{C3380CC4-5D6E-409C-BE32-E72D297353CC}">
              <c16:uniqueId val="{00000002-B547-4DF9-892F-3129917FB3B3}"/>
            </c:ext>
          </c:extLst>
        </c:ser>
        <c:ser>
          <c:idx val="2"/>
          <c:order val="2"/>
          <c:tx>
            <c:strRef>
              <c:f>Peers!$E$8</c:f>
              <c:strCache>
                <c:ptCount val="1"/>
                <c:pt idx="0">
                  <c:v>DIAGEO PLC (XNYS:DEO)</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Peers!$E$21</c:f>
              <c:numCache>
                <c:formatCode>0.00</c:formatCode>
                <c:ptCount val="1"/>
                <c:pt idx="0">
                  <c:v>2.8243262311274164</c:v>
                </c:pt>
              </c:numCache>
            </c:numRef>
          </c:xVal>
          <c:yVal>
            <c:numRef>
              <c:f>Peers!$E$37</c:f>
              <c:numCache>
                <c:formatCode>0.0</c:formatCode>
                <c:ptCount val="1"/>
                <c:pt idx="0">
                  <c:v>13.917031183857768</c:v>
                </c:pt>
              </c:numCache>
            </c:numRef>
          </c:yVal>
          <c:smooth val="0"/>
          <c:extLst>
            <c:ext xmlns:c16="http://schemas.microsoft.com/office/drawing/2014/chart" uri="{C3380CC4-5D6E-409C-BE32-E72D297353CC}">
              <c16:uniqueId val="{00000003-B547-4DF9-892F-3129917FB3B3}"/>
            </c:ext>
          </c:extLst>
        </c:ser>
        <c:ser>
          <c:idx val="3"/>
          <c:order val="3"/>
          <c:tx>
            <c:strRef>
              <c:f>Peers!$F$8</c:f>
              <c:strCache>
                <c:ptCount val="1"/>
                <c:pt idx="0">
                  <c:v>Anheuser-Busch Inbev SA (XNYS:BUD)</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Peers!$F$21</c:f>
              <c:numCache>
                <c:formatCode>0.00</c:formatCode>
                <c:ptCount val="1"/>
                <c:pt idx="0">
                  <c:v>3.5427361597574363</c:v>
                </c:pt>
              </c:numCache>
            </c:numRef>
          </c:xVal>
          <c:yVal>
            <c:numRef>
              <c:f>Peers!$F$37</c:f>
              <c:numCache>
                <c:formatCode>0.0</c:formatCode>
                <c:ptCount val="1"/>
                <c:pt idx="0">
                  <c:v>10.162371268754248</c:v>
                </c:pt>
              </c:numCache>
            </c:numRef>
          </c:yVal>
          <c:smooth val="0"/>
          <c:extLst>
            <c:ext xmlns:c16="http://schemas.microsoft.com/office/drawing/2014/chart" uri="{C3380CC4-5D6E-409C-BE32-E72D297353CC}">
              <c16:uniqueId val="{00000004-B547-4DF9-892F-3129917FB3B3}"/>
            </c:ext>
          </c:extLst>
        </c:ser>
        <c:ser>
          <c:idx val="4"/>
          <c:order val="4"/>
          <c:tx>
            <c:strRef>
              <c:f>Peers!$G$8</c:f>
              <c:strCache>
                <c:ptCount val="1"/>
                <c:pt idx="0">
                  <c:v>Pernod Ricard (XPAR:RI)</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Peers!$G$21</c:f>
              <c:numCache>
                <c:formatCode>0.00</c:formatCode>
                <c:ptCount val="1"/>
                <c:pt idx="0">
                  <c:v>3.4297012302284711</c:v>
                </c:pt>
              </c:numCache>
            </c:numRef>
          </c:xVal>
          <c:yVal>
            <c:numRef>
              <c:f>Peers!$G$37</c:f>
              <c:numCache>
                <c:formatCode>0.0</c:formatCode>
                <c:ptCount val="1"/>
                <c:pt idx="0">
                  <c:v>13.71294669009959</c:v>
                </c:pt>
              </c:numCache>
            </c:numRef>
          </c:yVal>
          <c:smooth val="0"/>
          <c:extLst>
            <c:ext xmlns:c16="http://schemas.microsoft.com/office/drawing/2014/chart" uri="{C3380CC4-5D6E-409C-BE32-E72D297353CC}">
              <c16:uniqueId val="{00000005-B547-4DF9-892F-3129917FB3B3}"/>
            </c:ext>
          </c:extLst>
        </c:ser>
        <c:ser>
          <c:idx val="5"/>
          <c:order val="5"/>
          <c:tx>
            <c:strRef>
              <c:f>Peers!$H$8</c:f>
              <c:strCache>
                <c:ptCount val="1"/>
                <c:pt idx="0">
                  <c:v>BROWN-FORMAN CORPORATION (XNYS:BF.B)</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Peers!$H$21</c:f>
              <c:numCache>
                <c:formatCode>0.00</c:formatCode>
                <c:ptCount val="1"/>
                <c:pt idx="0">
                  <c:v>1.8054421768707483</c:v>
                </c:pt>
              </c:numCache>
            </c:numRef>
          </c:xVal>
          <c:yVal>
            <c:numRef>
              <c:f>Peers!$H$37</c:f>
              <c:numCache>
                <c:formatCode>0.0</c:formatCode>
                <c:ptCount val="1"/>
                <c:pt idx="0">
                  <c:v>17.251700680272108</c:v>
                </c:pt>
              </c:numCache>
            </c:numRef>
          </c:yVal>
          <c:smooth val="0"/>
          <c:extLst>
            <c:ext xmlns:c16="http://schemas.microsoft.com/office/drawing/2014/chart" uri="{C3380CC4-5D6E-409C-BE32-E72D297353CC}">
              <c16:uniqueId val="{00000006-B547-4DF9-892F-3129917FB3B3}"/>
            </c:ext>
          </c:extLst>
        </c:ser>
        <c:dLbls>
          <c:showLegendKey val="0"/>
          <c:showVal val="0"/>
          <c:showCatName val="0"/>
          <c:showSerName val="0"/>
          <c:showPercent val="0"/>
          <c:showBubbleSize val="0"/>
        </c:dLbls>
        <c:axId val="1571673951"/>
        <c:axId val="1289766175"/>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44100979088899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CONSTELLATION BRANDS, INC. (XNYS:STZ)</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Peers!$C$44</c:f>
              <c:numCache>
                <c:formatCode>0%</c:formatCode>
                <c:ptCount val="1"/>
                <c:pt idx="0">
                  <c:v>5.6813057985390936E-2</c:v>
                </c:pt>
              </c:numCache>
            </c:numRef>
          </c:xVal>
          <c:yVal>
            <c:numRef>
              <c:f>Peers!$C$49</c:f>
              <c:numCache>
                <c:formatCode>0%</c:formatCode>
                <c:ptCount val="1"/>
                <c:pt idx="0">
                  <c:v>8.0671083062208535E-2</c:v>
                </c:pt>
              </c:numCache>
            </c:numRef>
          </c:yVal>
          <c:smooth val="0"/>
          <c:extLst>
            <c:ext xmlns:c16="http://schemas.microsoft.com/office/drawing/2014/chart" uri="{C3380CC4-5D6E-409C-BE32-E72D297353CC}">
              <c16:uniqueId val="{00000000-A0AB-4E28-9E73-D8DF3D5B0514}"/>
            </c:ext>
          </c:extLst>
        </c:ser>
        <c:ser>
          <c:idx val="1"/>
          <c:order val="1"/>
          <c:tx>
            <c:strRef>
              <c:f>Peers!$D$8</c:f>
              <c:strCache>
                <c:ptCount val="1"/>
                <c:pt idx="0">
                  <c:v>MOLSON COORS BEVERAGE COMPANY (XNYS:TAP)</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Peers!$D$44</c:f>
              <c:numCache>
                <c:formatCode>0%</c:formatCode>
                <c:ptCount val="1"/>
                <c:pt idx="0">
                  <c:v>0.29225428509438056</c:v>
                </c:pt>
              </c:numCache>
            </c:numRef>
          </c:xVal>
          <c:yVal>
            <c:numRef>
              <c:f>Peers!$D$49</c:f>
              <c:numCache>
                <c:formatCode>0.00%</c:formatCode>
                <c:ptCount val="1"/>
                <c:pt idx="0">
                  <c:v>0.22654867256637168</c:v>
                </c:pt>
              </c:numCache>
            </c:numRef>
          </c:yVal>
          <c:smooth val="0"/>
          <c:extLst>
            <c:ext xmlns:c16="http://schemas.microsoft.com/office/drawing/2014/chart" uri="{C3380CC4-5D6E-409C-BE32-E72D297353CC}">
              <c16:uniqueId val="{00000001-A0AB-4E28-9E73-D8DF3D5B0514}"/>
            </c:ext>
          </c:extLst>
        </c:ser>
        <c:ser>
          <c:idx val="2"/>
          <c:order val="2"/>
          <c:tx>
            <c:strRef>
              <c:f>Peers!$E$8</c:f>
              <c:strCache>
                <c:ptCount val="1"/>
                <c:pt idx="0">
                  <c:v>DIAGEO PLC (XNYS:DEO)</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Peers!$E$44</c:f>
              <c:numCache>
                <c:formatCode>0%</c:formatCode>
                <c:ptCount val="1"/>
                <c:pt idx="0">
                  <c:v>-0.4107833064239933</c:v>
                </c:pt>
              </c:numCache>
            </c:numRef>
          </c:xVal>
          <c:yVal>
            <c:numRef>
              <c:f>Peers!$E$49</c:f>
              <c:numCache>
                <c:formatCode>0.00%</c:formatCode>
                <c:ptCount val="1"/>
                <c:pt idx="0">
                  <c:v>-0.18827950268295568</c:v>
                </c:pt>
              </c:numCache>
            </c:numRef>
          </c:yVal>
          <c:smooth val="0"/>
          <c:extLst>
            <c:ext xmlns:c16="http://schemas.microsoft.com/office/drawing/2014/chart" uri="{C3380CC4-5D6E-409C-BE32-E72D297353CC}">
              <c16:uniqueId val="{00000002-A0AB-4E28-9E73-D8DF3D5B0514}"/>
            </c:ext>
          </c:extLst>
        </c:ser>
        <c:ser>
          <c:idx val="3"/>
          <c:order val="3"/>
          <c:tx>
            <c:strRef>
              <c:f>Peers!$F$8</c:f>
              <c:strCache>
                <c:ptCount val="1"/>
                <c:pt idx="0">
                  <c:v>Anheuser-Busch Inbev SA (XNYS:BUD)</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Peers!$F$44</c:f>
              <c:numCache>
                <c:formatCode>0%</c:formatCode>
                <c:ptCount val="1"/>
                <c:pt idx="0">
                  <c:v>-4.992536075634435E-2</c:v>
                </c:pt>
              </c:numCache>
            </c:numRef>
          </c:xVal>
          <c:yVal>
            <c:numRef>
              <c:f>Peers!$F$49</c:f>
              <c:numCache>
                <c:formatCode>0.00%</c:formatCode>
                <c:ptCount val="1"/>
                <c:pt idx="0">
                  <c:v>0.21797814709393082</c:v>
                </c:pt>
              </c:numCache>
            </c:numRef>
          </c:yVal>
          <c:smooth val="0"/>
          <c:extLst>
            <c:ext xmlns:c16="http://schemas.microsoft.com/office/drawing/2014/chart" uri="{C3380CC4-5D6E-409C-BE32-E72D297353CC}">
              <c16:uniqueId val="{00000003-A0AB-4E28-9E73-D8DF3D5B0514}"/>
            </c:ext>
          </c:extLst>
        </c:ser>
        <c:ser>
          <c:idx val="5"/>
          <c:order val="4"/>
          <c:tx>
            <c:strRef>
              <c:f>Peers!$G$8</c:f>
              <c:strCache>
                <c:ptCount val="1"/>
                <c:pt idx="0">
                  <c:v>Pernod Ricard (XPAR:RI)</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Peers!$G$44</c:f>
              <c:numCache>
                <c:formatCode>0%</c:formatCode>
                <c:ptCount val="1"/>
                <c:pt idx="0">
                  <c:v>-0.44887475538160471</c:v>
                </c:pt>
              </c:numCache>
            </c:numRef>
          </c:xVal>
          <c:yVal>
            <c:numRef>
              <c:f>Peers!$G$49</c:f>
              <c:numCache>
                <c:formatCode>0.00%</c:formatCode>
                <c:ptCount val="1"/>
                <c:pt idx="0">
                  <c:v>-0.13606803401700851</c:v>
                </c:pt>
              </c:numCache>
            </c:numRef>
          </c:yVal>
          <c:smooth val="0"/>
          <c:extLst>
            <c:ext xmlns:c16="http://schemas.microsoft.com/office/drawing/2014/chart" uri="{C3380CC4-5D6E-409C-BE32-E72D297353CC}">
              <c16:uniqueId val="{00000005-A0AB-4E28-9E73-D8DF3D5B0514}"/>
            </c:ext>
          </c:extLst>
        </c:ser>
        <c:ser>
          <c:idx val="6"/>
          <c:order val="5"/>
          <c:tx>
            <c:strRef>
              <c:f>Peers!$H$8</c:f>
              <c:strCache>
                <c:ptCount val="1"/>
                <c:pt idx="0">
                  <c:v>BROWN-FORMAN CORPORATION (XNYS:BF.B)</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Peers!$H$44</c:f>
              <c:numCache>
                <c:formatCode>0%</c:formatCode>
                <c:ptCount val="1"/>
                <c:pt idx="0">
                  <c:v>-0.44553243574051404</c:v>
                </c:pt>
              </c:numCache>
            </c:numRef>
          </c:xVal>
          <c:yVal>
            <c:numRef>
              <c:f>Peers!$H$49</c:f>
              <c:numCache>
                <c:formatCode>0.00%</c:formatCode>
                <c:ptCount val="1"/>
                <c:pt idx="0">
                  <c:v>-0.20807833537331699</c:v>
                </c:pt>
              </c:numCache>
            </c:numRef>
          </c:yVal>
          <c:smooth val="0"/>
          <c:extLst>
            <c:ext xmlns:c16="http://schemas.microsoft.com/office/drawing/2014/chart" uri="{C3380CC4-5D6E-409C-BE32-E72D297353CC}">
              <c16:uniqueId val="{00000006-A0AB-4E28-9E73-D8DF3D5B0514}"/>
            </c:ext>
          </c:extLst>
        </c:ser>
        <c:dLbls>
          <c:showLegendKey val="0"/>
          <c:showVal val="0"/>
          <c:showCatName val="0"/>
          <c:showSerName val="0"/>
          <c:showPercent val="0"/>
          <c:showBubbleSize val="0"/>
        </c:dLbls>
        <c:axId val="581212960"/>
        <c:axId val="581217120"/>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7018842544974519"/>
          <c:h val="0.43200295105462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ESG!$N$55</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ESG!$M$56:$M$64</c:f>
              <c:numCache>
                <c:formatCode>General</c:formatCode>
                <c:ptCount val="9"/>
              </c:numCache>
            </c:numRef>
          </c:cat>
          <c:val>
            <c:numRef>
              <c:f>ESG!$N$56:$N$64</c:f>
              <c:numCache>
                <c:formatCode>General</c:formatCode>
                <c:ptCount val="9"/>
              </c:numCache>
            </c:numRef>
          </c:val>
          <c:smooth val="0"/>
          <c:extLst>
            <c:ext xmlns:c16="http://schemas.microsoft.com/office/drawing/2014/chart" uri="{C3380CC4-5D6E-409C-BE32-E72D297353CC}">
              <c16:uniqueId val="{00000000-D00D-4823-9007-DC439E2C23DA}"/>
            </c:ext>
          </c:extLst>
        </c:ser>
        <c:ser>
          <c:idx val="1"/>
          <c:order val="1"/>
          <c:tx>
            <c:strRef>
              <c:f>ESG!$O$55</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ESG!$M$56:$M$64</c:f>
              <c:numCache>
                <c:formatCode>General</c:formatCode>
                <c:ptCount val="9"/>
              </c:numCache>
            </c:numRef>
          </c:cat>
          <c:val>
            <c:numRef>
              <c:f>ESG!$O$56:$O$64</c:f>
              <c:numCache>
                <c:formatCode>General</c:formatCode>
                <c:ptCount val="9"/>
              </c:numCache>
            </c:numRef>
          </c:val>
          <c:smooth val="0"/>
          <c:extLst>
            <c:ext xmlns:c16="http://schemas.microsoft.com/office/drawing/2014/chart" uri="{C3380CC4-5D6E-409C-BE32-E72D297353CC}">
              <c16:uniqueId val="{00000001-D00D-4823-9007-DC439E2C23DA}"/>
            </c:ext>
          </c:extLst>
        </c:ser>
        <c:ser>
          <c:idx val="3"/>
          <c:order val="3"/>
          <c:tx>
            <c:strRef>
              <c:f>ESG!$Q$55</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ESG!$M$56:$M$64</c:f>
              <c:numCache>
                <c:formatCode>General</c:formatCode>
                <c:ptCount val="9"/>
              </c:numCache>
            </c:numRef>
          </c:cat>
          <c:val>
            <c:numRef>
              <c:f>ESG!$Q$56:$Q$64</c:f>
              <c:numCache>
                <c:formatCode>General</c:formatCode>
                <c:ptCount val="9"/>
              </c:numCache>
            </c:numRef>
          </c:val>
          <c:smooth val="0"/>
          <c:extLst>
            <c:ext xmlns:c16="http://schemas.microsoft.com/office/drawing/2014/chart" uri="{C3380CC4-5D6E-409C-BE32-E72D297353CC}">
              <c16:uniqueId val="{00000003-D00D-4823-9007-DC439E2C23DA}"/>
            </c:ext>
          </c:extLst>
        </c:ser>
        <c:ser>
          <c:idx val="4"/>
          <c:order val="4"/>
          <c:tx>
            <c:strRef>
              <c:f>ESG!$R$55</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ESG!$M$56:$M$64</c:f>
              <c:numCache>
                <c:formatCode>General</c:formatCode>
                <c:ptCount val="9"/>
              </c:numCache>
            </c:numRef>
          </c:cat>
          <c:val>
            <c:numRef>
              <c:f>ESG!$R$56:$R$64</c:f>
              <c:numCache>
                <c:formatCode>General</c:formatCode>
                <c:ptCount val="9"/>
              </c:numCache>
            </c:numRef>
          </c:val>
          <c:smooth val="0"/>
          <c:extLst>
            <c:ext xmlns:c16="http://schemas.microsoft.com/office/drawing/2014/chart" uri="{C3380CC4-5D6E-409C-BE32-E72D297353CC}">
              <c16:uniqueId val="{00000004-D00D-4823-9007-DC439E2C23DA}"/>
            </c:ext>
          </c:extLst>
        </c:ser>
        <c:ser>
          <c:idx val="5"/>
          <c:order val="5"/>
          <c:tx>
            <c:strRef>
              <c:f>ESG!$S$55</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ESG!$M$56:$M$64</c:f>
              <c:numCache>
                <c:formatCode>General</c:formatCode>
                <c:ptCount val="9"/>
              </c:numCache>
            </c:numRef>
          </c:cat>
          <c:val>
            <c:numRef>
              <c:f>ESG!$S$56:$S$64</c:f>
              <c:numCache>
                <c:formatCode>General</c:formatCode>
                <c:ptCount val="9"/>
              </c:numCache>
            </c:numRef>
          </c:val>
          <c:smooth val="0"/>
          <c:extLst>
            <c:ext xmlns:c16="http://schemas.microsoft.com/office/drawing/2014/chart" uri="{C3380CC4-5D6E-409C-BE32-E72D297353CC}">
              <c16:uniqueId val="{00000005-D00D-4823-9007-DC439E2C23DA}"/>
            </c:ext>
          </c:extLst>
        </c:ser>
        <c:dLbls>
          <c:showLegendKey val="0"/>
          <c:showVal val="0"/>
          <c:showCatName val="0"/>
          <c:showSerName val="0"/>
          <c:showPercent val="0"/>
          <c:showBubbleSize val="0"/>
        </c:dLbls>
        <c:marker val="1"/>
        <c:smooth val="0"/>
        <c:axId val="73385855"/>
        <c:axId val="73386335"/>
        <c:extLst>
          <c:ext xmlns:c15="http://schemas.microsoft.com/office/drawing/2012/chart" uri="{02D57815-91ED-43cb-92C2-25804820EDAC}">
            <c15:filteredLineSeries>
              <c15:ser>
                <c:idx val="2"/>
                <c:order val="2"/>
                <c:tx>
                  <c:strRef>
                    <c:extLst>
                      <c:ext uri="{02D57815-91ED-43cb-92C2-25804820EDAC}">
                        <c15:formulaRef>
                          <c15:sqref>ESG!$P$55</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c:ext uri="{02D57815-91ED-43cb-92C2-25804820EDAC}">
                        <c15:formulaRef>
                          <c15:sqref>ESG!$M$56:$M$64</c15:sqref>
                        </c15:formulaRef>
                      </c:ext>
                    </c:extLst>
                    <c:numCache>
                      <c:formatCode>General</c:formatCode>
                      <c:ptCount val="9"/>
                    </c:numCache>
                  </c:numRef>
                </c:cat>
                <c:val>
                  <c:numRef>
                    <c:extLst>
                      <c:ext uri="{02D57815-91ED-43cb-92C2-25804820EDAC}">
                        <c15:formulaRef>
                          <c15:sqref>ESG!$P$56:$P$64</c15:sqref>
                        </c15:formulaRef>
                      </c:ext>
                    </c:extLst>
                    <c:numCache>
                      <c:formatCode>General</c:formatCode>
                      <c:ptCount val="9"/>
                    </c:numCache>
                  </c:numRef>
                </c:val>
                <c:smooth val="0"/>
                <c:extLst>
                  <c:ext xmlns:c16="http://schemas.microsoft.com/office/drawing/2014/chart" uri="{C3380CC4-5D6E-409C-BE32-E72D297353CC}">
                    <c16:uniqueId val="{00000002-D00D-4823-9007-DC439E2C23DA}"/>
                  </c:ext>
                </c:extLst>
              </c15:ser>
            </c15:filteredLineSeries>
          </c:ext>
        </c:extLst>
      </c:lineChart>
      <c:catAx>
        <c:axId val="733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3386335"/>
        <c:crosses val="autoZero"/>
        <c:auto val="1"/>
        <c:lblAlgn val="ctr"/>
        <c:lblOffset val="100"/>
        <c:noMultiLvlLbl val="0"/>
      </c:catAx>
      <c:valAx>
        <c:axId val="7338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338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ESG!$N$67</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ESG!$M$68:$M$76</c:f>
              <c:numCache>
                <c:formatCode>General</c:formatCode>
                <c:ptCount val="9"/>
              </c:numCache>
            </c:numRef>
          </c:cat>
          <c:val>
            <c:numRef>
              <c:f>ESG!$N$68:$N$76</c:f>
              <c:numCache>
                <c:formatCode>0.00</c:formatCode>
                <c:ptCount val="9"/>
              </c:numCache>
            </c:numRef>
          </c:val>
          <c:smooth val="0"/>
          <c:extLst>
            <c:ext xmlns:c16="http://schemas.microsoft.com/office/drawing/2014/chart" uri="{C3380CC4-5D6E-409C-BE32-E72D297353CC}">
              <c16:uniqueId val="{00000000-5789-4750-89D4-9EEBF96780C0}"/>
            </c:ext>
          </c:extLst>
        </c:ser>
        <c:ser>
          <c:idx val="3"/>
          <c:order val="3"/>
          <c:tx>
            <c:strRef>
              <c:f>ESG!$Q$67</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ESG!$M$68:$M$76</c:f>
              <c:numCache>
                <c:formatCode>General</c:formatCode>
                <c:ptCount val="9"/>
              </c:numCache>
            </c:numRef>
          </c:cat>
          <c:val>
            <c:numRef>
              <c:f>ESG!$Q$68:$Q$76</c:f>
              <c:numCache>
                <c:formatCode>0.00</c:formatCode>
                <c:ptCount val="9"/>
              </c:numCache>
            </c:numRef>
          </c:val>
          <c:smooth val="0"/>
          <c:extLst>
            <c:ext xmlns:c16="http://schemas.microsoft.com/office/drawing/2014/chart" uri="{C3380CC4-5D6E-409C-BE32-E72D297353CC}">
              <c16:uniqueId val="{00000003-5789-4750-89D4-9EEBF96780C0}"/>
            </c:ext>
          </c:extLst>
        </c:ser>
        <c:ser>
          <c:idx val="4"/>
          <c:order val="4"/>
          <c:tx>
            <c:strRef>
              <c:f>ESG!$R$67</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ESG!$M$68:$M$76</c:f>
              <c:numCache>
                <c:formatCode>General</c:formatCode>
                <c:ptCount val="9"/>
              </c:numCache>
            </c:numRef>
          </c:cat>
          <c:val>
            <c:numRef>
              <c:f>ESG!$R$68:$R$76</c:f>
              <c:numCache>
                <c:formatCode>0.00</c:formatCode>
                <c:ptCount val="9"/>
              </c:numCache>
            </c:numRef>
          </c:val>
          <c:smooth val="0"/>
          <c:extLst>
            <c:ext xmlns:c16="http://schemas.microsoft.com/office/drawing/2014/chart" uri="{C3380CC4-5D6E-409C-BE32-E72D297353CC}">
              <c16:uniqueId val="{00000004-5789-4750-89D4-9EEBF96780C0}"/>
            </c:ext>
          </c:extLst>
        </c:ser>
        <c:dLbls>
          <c:showLegendKey val="0"/>
          <c:showVal val="0"/>
          <c:showCatName val="0"/>
          <c:showSerName val="0"/>
          <c:showPercent val="0"/>
          <c:showBubbleSize val="0"/>
        </c:dLbls>
        <c:marker val="1"/>
        <c:smooth val="0"/>
        <c:axId val="1301543471"/>
        <c:axId val="45963695"/>
        <c:extLst>
          <c:ext xmlns:c15="http://schemas.microsoft.com/office/drawing/2012/chart" uri="{02D57815-91ED-43cb-92C2-25804820EDAC}">
            <c15:filteredLineSeries>
              <c15:ser>
                <c:idx val="1"/>
                <c:order val="1"/>
                <c:tx>
                  <c:strRef>
                    <c:extLst>
                      <c:ext uri="{02D57815-91ED-43cb-92C2-25804820EDAC}">
                        <c15:formulaRef>
                          <c15:sqref>ESG!$O$67</c15:sqref>
                        </c15:formulaRef>
                      </c:ext>
                    </c:extLst>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uri="{02D57815-91ED-43cb-92C2-25804820EDAC}">
                        <c15:formulaRef>
                          <c15:sqref>ESG!$M$68:$M$76</c15:sqref>
                        </c15:formulaRef>
                      </c:ext>
                    </c:extLst>
                    <c:numCache>
                      <c:formatCode>General</c:formatCode>
                      <c:ptCount val="9"/>
                    </c:numCache>
                  </c:numRef>
                </c:cat>
                <c:val>
                  <c:numRef>
                    <c:extLst>
                      <c:ext uri="{02D57815-91ED-43cb-92C2-25804820EDAC}">
                        <c15:formulaRef>
                          <c15:sqref>ESG!$O$68:$O$76</c15:sqref>
                        </c15:formulaRef>
                      </c:ext>
                    </c:extLst>
                    <c:numCache>
                      <c:formatCode>0.00</c:formatCode>
                      <c:ptCount val="9"/>
                    </c:numCache>
                  </c:numRef>
                </c:val>
                <c:smooth val="0"/>
                <c:extLst>
                  <c:ext xmlns:c16="http://schemas.microsoft.com/office/drawing/2014/chart" uri="{C3380CC4-5D6E-409C-BE32-E72D297353CC}">
                    <c16:uniqueId val="{00000001-5789-4750-89D4-9EEBF96780C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ESG!$P$67</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ESG!$P$68:$P$76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2-5789-4750-89D4-9EEBF96780C0}"/>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ESG!$S$67</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ESG!$S$68:$S$76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5-5789-4750-89D4-9EEBF96780C0}"/>
                  </c:ext>
                </c:extLst>
              </c15:ser>
            </c15:filteredLineSeries>
          </c:ext>
        </c:extLst>
      </c:lineChart>
      <c:catAx>
        <c:axId val="130154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63695"/>
        <c:crosses val="autoZero"/>
        <c:auto val="1"/>
        <c:lblAlgn val="ctr"/>
        <c:lblOffset val="100"/>
        <c:noMultiLvlLbl val="0"/>
      </c:catAx>
      <c:valAx>
        <c:axId val="45963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30154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Energy</a:t>
            </a:r>
            <a:r>
              <a:rPr lang="pt-PT" baseline="0"/>
              <a:t> Consumption (Gigajoules)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ESG!$N$79</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ESG!$M$80:$M$88</c:f>
              <c:numCache>
                <c:formatCode>General</c:formatCode>
                <c:ptCount val="9"/>
              </c:numCache>
            </c:numRef>
          </c:cat>
          <c:val>
            <c:numRef>
              <c:f>ESG!$N$80:$N$88</c:f>
              <c:numCache>
                <c:formatCode>General</c:formatCode>
                <c:ptCount val="9"/>
              </c:numCache>
            </c:numRef>
          </c:val>
          <c:smooth val="0"/>
          <c:extLst>
            <c:ext xmlns:c16="http://schemas.microsoft.com/office/drawing/2014/chart" uri="{C3380CC4-5D6E-409C-BE32-E72D297353CC}">
              <c16:uniqueId val="{00000000-917B-4C45-979C-FFDB55C82DDB}"/>
            </c:ext>
          </c:extLst>
        </c:ser>
        <c:ser>
          <c:idx val="1"/>
          <c:order val="1"/>
          <c:tx>
            <c:strRef>
              <c:f>ESG!$O$79</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ESG!$M$80:$M$88</c:f>
              <c:numCache>
                <c:formatCode>General</c:formatCode>
                <c:ptCount val="9"/>
              </c:numCache>
            </c:numRef>
          </c:cat>
          <c:val>
            <c:numRef>
              <c:f>ESG!$O$80:$O$88</c:f>
              <c:numCache>
                <c:formatCode>General</c:formatCode>
                <c:ptCount val="9"/>
              </c:numCache>
            </c:numRef>
          </c:val>
          <c:smooth val="0"/>
          <c:extLst>
            <c:ext xmlns:c16="http://schemas.microsoft.com/office/drawing/2014/chart" uri="{C3380CC4-5D6E-409C-BE32-E72D297353CC}">
              <c16:uniqueId val="{00000001-917B-4C45-979C-FFDB55C82DDB}"/>
            </c:ext>
          </c:extLst>
        </c:ser>
        <c:ser>
          <c:idx val="2"/>
          <c:order val="2"/>
          <c:tx>
            <c:strRef>
              <c:f>ESG!$P$79</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ESG!$M$80:$M$88</c:f>
              <c:numCache>
                <c:formatCode>General</c:formatCode>
                <c:ptCount val="9"/>
              </c:numCache>
            </c:numRef>
          </c:cat>
          <c:val>
            <c:numRef>
              <c:f>ESG!$P$80:$P$88</c:f>
              <c:numCache>
                <c:formatCode>General</c:formatCode>
                <c:ptCount val="9"/>
              </c:numCache>
            </c:numRef>
          </c:val>
          <c:smooth val="0"/>
          <c:extLst>
            <c:ext xmlns:c16="http://schemas.microsoft.com/office/drawing/2014/chart" uri="{C3380CC4-5D6E-409C-BE32-E72D297353CC}">
              <c16:uniqueId val="{00000002-917B-4C45-979C-FFDB55C82DDB}"/>
            </c:ext>
          </c:extLst>
        </c:ser>
        <c:ser>
          <c:idx val="3"/>
          <c:order val="3"/>
          <c:tx>
            <c:strRef>
              <c:f>ESG!$Q$79</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ESG!$M$80:$M$88</c:f>
              <c:numCache>
                <c:formatCode>General</c:formatCode>
                <c:ptCount val="9"/>
              </c:numCache>
            </c:numRef>
          </c:cat>
          <c:val>
            <c:numRef>
              <c:f>ESG!$Q$80:$Q$88</c:f>
              <c:numCache>
                <c:formatCode>General</c:formatCode>
                <c:ptCount val="9"/>
              </c:numCache>
            </c:numRef>
          </c:val>
          <c:smooth val="0"/>
          <c:extLst>
            <c:ext xmlns:c16="http://schemas.microsoft.com/office/drawing/2014/chart" uri="{C3380CC4-5D6E-409C-BE32-E72D297353CC}">
              <c16:uniqueId val="{00000003-917B-4C45-979C-FFDB55C82DDB}"/>
            </c:ext>
          </c:extLst>
        </c:ser>
        <c:ser>
          <c:idx val="4"/>
          <c:order val="4"/>
          <c:tx>
            <c:strRef>
              <c:f>ESG!$R$79</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ESG!$M$80:$M$88</c:f>
              <c:numCache>
                <c:formatCode>General</c:formatCode>
                <c:ptCount val="9"/>
              </c:numCache>
            </c:numRef>
          </c:cat>
          <c:val>
            <c:numRef>
              <c:f>ESG!$R$80:$R$88</c:f>
              <c:numCache>
                <c:formatCode>General</c:formatCode>
                <c:ptCount val="9"/>
              </c:numCache>
            </c:numRef>
          </c:val>
          <c:smooth val="0"/>
          <c:extLst>
            <c:ext xmlns:c16="http://schemas.microsoft.com/office/drawing/2014/chart" uri="{C3380CC4-5D6E-409C-BE32-E72D297353CC}">
              <c16:uniqueId val="{00000004-917B-4C45-979C-FFDB55C82DDB}"/>
            </c:ext>
          </c:extLst>
        </c:ser>
        <c:ser>
          <c:idx val="5"/>
          <c:order val="5"/>
          <c:tx>
            <c:strRef>
              <c:f>ESG!$S$79</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ESG!$M$80:$M$88</c:f>
              <c:numCache>
                <c:formatCode>General</c:formatCode>
                <c:ptCount val="9"/>
              </c:numCache>
            </c:numRef>
          </c:cat>
          <c:val>
            <c:numRef>
              <c:f>ESG!$S$80:$S$88</c:f>
              <c:numCache>
                <c:formatCode>General</c:formatCode>
                <c:ptCount val="9"/>
              </c:numCache>
            </c:numRef>
          </c:val>
          <c:smooth val="0"/>
          <c:extLst>
            <c:ext xmlns:c16="http://schemas.microsoft.com/office/drawing/2014/chart" uri="{C3380CC4-5D6E-409C-BE32-E72D297353CC}">
              <c16:uniqueId val="{00000005-917B-4C45-979C-FFDB55C82DDB}"/>
            </c:ext>
          </c:extLst>
        </c:ser>
        <c:dLbls>
          <c:showLegendKey val="0"/>
          <c:showVal val="0"/>
          <c:showCatName val="0"/>
          <c:showSerName val="0"/>
          <c:showPercent val="0"/>
          <c:showBubbleSize val="0"/>
        </c:dLbls>
        <c:marker val="1"/>
        <c:smooth val="0"/>
        <c:axId val="365935231"/>
        <c:axId val="365961631"/>
      </c:lineChart>
      <c:catAx>
        <c:axId val="3659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365961631"/>
        <c:crosses val="autoZero"/>
        <c:auto val="1"/>
        <c:lblAlgn val="ctr"/>
        <c:lblOffset val="100"/>
        <c:noMultiLvlLbl val="0"/>
      </c:catAx>
      <c:valAx>
        <c:axId val="365961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36593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ESG!$N$91</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ESG!$M$92:$M$100</c:f>
              <c:numCache>
                <c:formatCode>General</c:formatCode>
                <c:ptCount val="9"/>
              </c:numCache>
            </c:numRef>
          </c:cat>
          <c:val>
            <c:numRef>
              <c:f>ESG!$N$92:$N$100</c:f>
              <c:numCache>
                <c:formatCode>General</c:formatCode>
                <c:ptCount val="9"/>
              </c:numCache>
            </c:numRef>
          </c:val>
          <c:smooth val="0"/>
          <c:extLst>
            <c:ext xmlns:c16="http://schemas.microsoft.com/office/drawing/2014/chart" uri="{C3380CC4-5D6E-409C-BE32-E72D297353CC}">
              <c16:uniqueId val="{00000000-FF9A-4ECA-A844-2C82FDFD8493}"/>
            </c:ext>
          </c:extLst>
        </c:ser>
        <c:ser>
          <c:idx val="1"/>
          <c:order val="1"/>
          <c:tx>
            <c:strRef>
              <c:f>ESG!$O$91</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ESG!$M$92:$M$100</c:f>
              <c:numCache>
                <c:formatCode>General</c:formatCode>
                <c:ptCount val="9"/>
              </c:numCache>
            </c:numRef>
          </c:cat>
          <c:val>
            <c:numRef>
              <c:f>ESG!$O$92:$O$100</c:f>
              <c:numCache>
                <c:formatCode>General</c:formatCode>
                <c:ptCount val="9"/>
              </c:numCache>
            </c:numRef>
          </c:val>
          <c:smooth val="0"/>
          <c:extLst>
            <c:ext xmlns:c16="http://schemas.microsoft.com/office/drawing/2014/chart" uri="{C3380CC4-5D6E-409C-BE32-E72D297353CC}">
              <c16:uniqueId val="{00000001-FF9A-4ECA-A844-2C82FDFD8493}"/>
            </c:ext>
          </c:extLst>
        </c:ser>
        <c:ser>
          <c:idx val="2"/>
          <c:order val="2"/>
          <c:tx>
            <c:strRef>
              <c:f>ESG!$P$91</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ESG!$M$92:$M$100</c:f>
              <c:numCache>
                <c:formatCode>General</c:formatCode>
                <c:ptCount val="9"/>
              </c:numCache>
            </c:numRef>
          </c:cat>
          <c:val>
            <c:numRef>
              <c:f>ESG!$P$92:$P$100</c:f>
              <c:numCache>
                <c:formatCode>General</c:formatCode>
                <c:ptCount val="9"/>
              </c:numCache>
            </c:numRef>
          </c:val>
          <c:smooth val="0"/>
          <c:extLst>
            <c:ext xmlns:c16="http://schemas.microsoft.com/office/drawing/2014/chart" uri="{C3380CC4-5D6E-409C-BE32-E72D297353CC}">
              <c16:uniqueId val="{00000002-FF9A-4ECA-A844-2C82FDFD8493}"/>
            </c:ext>
          </c:extLst>
        </c:ser>
        <c:ser>
          <c:idx val="3"/>
          <c:order val="3"/>
          <c:tx>
            <c:strRef>
              <c:f>ESG!$Q$91</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ESG!$M$92:$M$100</c:f>
              <c:numCache>
                <c:formatCode>General</c:formatCode>
                <c:ptCount val="9"/>
              </c:numCache>
            </c:numRef>
          </c:cat>
          <c:val>
            <c:numRef>
              <c:f>ESG!$Q$92:$Q$100</c:f>
              <c:numCache>
                <c:formatCode>General</c:formatCode>
                <c:ptCount val="9"/>
              </c:numCache>
            </c:numRef>
          </c:val>
          <c:smooth val="0"/>
          <c:extLst>
            <c:ext xmlns:c16="http://schemas.microsoft.com/office/drawing/2014/chart" uri="{C3380CC4-5D6E-409C-BE32-E72D297353CC}">
              <c16:uniqueId val="{00000003-FF9A-4ECA-A844-2C82FDFD8493}"/>
            </c:ext>
          </c:extLst>
        </c:ser>
        <c:ser>
          <c:idx val="4"/>
          <c:order val="4"/>
          <c:tx>
            <c:strRef>
              <c:f>ESG!$R$91</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ESG!$M$92:$M$100</c:f>
              <c:numCache>
                <c:formatCode>General</c:formatCode>
                <c:ptCount val="9"/>
              </c:numCache>
            </c:numRef>
          </c:cat>
          <c:val>
            <c:numRef>
              <c:f>ESG!$R$92:$R$100</c:f>
              <c:numCache>
                <c:formatCode>General</c:formatCode>
                <c:ptCount val="9"/>
              </c:numCache>
            </c:numRef>
          </c:val>
          <c:smooth val="0"/>
          <c:extLst>
            <c:ext xmlns:c16="http://schemas.microsoft.com/office/drawing/2014/chart" uri="{C3380CC4-5D6E-409C-BE32-E72D297353CC}">
              <c16:uniqueId val="{00000004-FF9A-4ECA-A844-2C82FDFD8493}"/>
            </c:ext>
          </c:extLst>
        </c:ser>
        <c:dLbls>
          <c:showLegendKey val="0"/>
          <c:showVal val="0"/>
          <c:showCatName val="0"/>
          <c:showSerName val="0"/>
          <c:showPercent val="0"/>
          <c:showBubbleSize val="0"/>
        </c:dLbls>
        <c:marker val="1"/>
        <c:smooth val="0"/>
        <c:axId val="365962591"/>
        <c:axId val="365934271"/>
        <c:extLst>
          <c:ext xmlns:c15="http://schemas.microsoft.com/office/drawing/2012/chart" uri="{02D57815-91ED-43cb-92C2-25804820EDAC}">
            <c15:filteredLineSeries>
              <c15:ser>
                <c:idx val="5"/>
                <c:order val="5"/>
                <c:tx>
                  <c:strRef>
                    <c:extLst>
                      <c:ext uri="{02D57815-91ED-43cb-92C2-25804820EDAC}">
                        <c15:formulaRef>
                          <c15:sqref>ESG!$S$91</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c:ext uri="{02D57815-91ED-43cb-92C2-25804820EDAC}">
                        <c15:formulaRef>
                          <c15:sqref>ESG!$M$92:$M$100</c15:sqref>
                        </c15:formulaRef>
                      </c:ext>
                    </c:extLst>
                    <c:numCache>
                      <c:formatCode>General</c:formatCode>
                      <c:ptCount val="9"/>
                    </c:numCache>
                  </c:numRef>
                </c:cat>
                <c:val>
                  <c:numRef>
                    <c:extLst>
                      <c:ext uri="{02D57815-91ED-43cb-92C2-25804820EDAC}">
                        <c15:formulaRef>
                          <c15:sqref>ESG!$S$92:$S$100</c15:sqref>
                        </c15:formulaRef>
                      </c:ext>
                    </c:extLst>
                    <c:numCache>
                      <c:formatCode>General</c:formatCode>
                      <c:ptCount val="9"/>
                    </c:numCache>
                  </c:numRef>
                </c:val>
                <c:smooth val="0"/>
                <c:extLst>
                  <c:ext xmlns:c16="http://schemas.microsoft.com/office/drawing/2014/chart" uri="{C3380CC4-5D6E-409C-BE32-E72D297353CC}">
                    <c16:uniqueId val="{00000005-FF9A-4ECA-A844-2C82FDFD8493}"/>
                  </c:ext>
                </c:extLst>
              </c15:ser>
            </c15:filteredLineSeries>
          </c:ext>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Assumptions!$B$177</c:f>
              <c:strCache>
                <c:ptCount val="1"/>
                <c:pt idx="0">
                  <c:v>Marketing expenses as % of SG&amp;A</c:v>
                </c:pt>
              </c:strCache>
            </c:strRef>
          </c:tx>
          <c:spPr>
            <a:ln w="28575" cap="rnd">
              <a:solidFill>
                <a:schemeClr val="accent1"/>
              </a:solidFill>
              <a:round/>
            </a:ln>
            <a:effectLst/>
          </c:spPr>
          <c:marker>
            <c:symbol val="none"/>
          </c:marker>
          <c:val>
            <c:numRef>
              <c:f>Assumptions!$C$177:$AN$177</c:f>
            </c:numRef>
          </c:val>
          <c:smooth val="0"/>
          <c:extLst>
            <c:ext xmlns:c15="http://schemas.microsoft.com/office/drawing/2012/chart" uri="{02D57815-91ED-43cb-92C2-25804820EDAC}">
              <c15:filteredCategoryTitle>
                <c15:cat>
                  <c:multiLvlStrRef>
                    <c:extLst>
                      <c:ext uri="{02D57815-91ED-43cb-92C2-25804820EDAC}">
                        <c15:formulaRef>
                          <c15:sqref>Assumptions!$C$176:$AN$176</c15:sqref>
                        </c15:formulaRef>
                      </c:ext>
                    </c:extLst>
                  </c:multiLvlStrRef>
                </c15:cat>
              </c15:filteredCategoryTitle>
            </c:ext>
            <c:ext xmlns:c16="http://schemas.microsoft.com/office/drawing/2014/chart" uri="{C3380CC4-5D6E-409C-BE32-E72D297353CC}">
              <c16:uniqueId val="{00000000-EB7D-4410-A0CB-13B35BE47EE7}"/>
            </c:ext>
          </c:extLst>
        </c:ser>
        <c:dLbls>
          <c:showLegendKey val="0"/>
          <c:showVal val="0"/>
          <c:showCatName val="0"/>
          <c:showSerName val="0"/>
          <c:showPercent val="0"/>
          <c:showBubbleSize val="0"/>
        </c:dLbls>
        <c:marker val="1"/>
        <c:smooth val="0"/>
        <c:axId val="1531785375"/>
        <c:axId val="1531792095"/>
      </c:lineChart>
      <c:catAx>
        <c:axId val="153178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531792095"/>
        <c:crosses val="autoZero"/>
        <c:auto val="1"/>
        <c:lblAlgn val="ctr"/>
        <c:lblOffset val="100"/>
        <c:noMultiLvlLbl val="0"/>
      </c:catAx>
      <c:valAx>
        <c:axId val="1531792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53178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SG&amp;A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Assumptions!$B$180</c:f>
              <c:strCache>
                <c:ptCount val="1"/>
                <c:pt idx="0">
                  <c:v>Total SG&amp;A expenses</c:v>
                </c:pt>
              </c:strCache>
            </c:strRef>
          </c:tx>
          <c:spPr>
            <a:ln w="28575" cap="rnd">
              <a:solidFill>
                <a:schemeClr val="accent1"/>
              </a:solidFill>
              <a:round/>
            </a:ln>
            <a:effectLst/>
          </c:spPr>
          <c:marker>
            <c:symbol val="none"/>
          </c:marker>
          <c:val>
            <c:numRef>
              <c:f>Assumptions!$C$180:$AN$180</c:f>
            </c:numRef>
          </c:val>
          <c:smooth val="0"/>
          <c:extLst>
            <c:ext xmlns:c15="http://schemas.microsoft.com/office/drawing/2012/chart" uri="{02D57815-91ED-43cb-92C2-25804820EDAC}">
              <c15:filteredCategoryTitle>
                <c15:cat>
                  <c:multiLvlStrRef>
                    <c:extLst>
                      <c:ext uri="{02D57815-91ED-43cb-92C2-25804820EDAC}">
                        <c15:formulaRef>
                          <c15:sqref>Assumptions!$C$176:$AN$176</c15:sqref>
                        </c15:formulaRef>
                      </c:ext>
                    </c:extLst>
                  </c:multiLvlStrRef>
                </c15:cat>
              </c15:filteredCategoryTitle>
            </c:ext>
            <c:ext xmlns:c16="http://schemas.microsoft.com/office/drawing/2014/chart" uri="{C3380CC4-5D6E-409C-BE32-E72D297353CC}">
              <c16:uniqueId val="{00000000-C4B7-4A5E-83C6-FC709814AFDC}"/>
            </c:ext>
          </c:extLst>
        </c:ser>
        <c:dLbls>
          <c:showLegendKey val="0"/>
          <c:showVal val="0"/>
          <c:showCatName val="0"/>
          <c:showSerName val="0"/>
          <c:showPercent val="0"/>
          <c:showBubbleSize val="0"/>
        </c:dLbls>
        <c:marker val="1"/>
        <c:smooth val="0"/>
        <c:axId val="1521544351"/>
        <c:axId val="1521554911"/>
      </c:lineChart>
      <c:catAx>
        <c:axId val="152154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521554911"/>
        <c:crosses val="autoZero"/>
        <c:auto val="1"/>
        <c:lblAlgn val="ctr"/>
        <c:lblOffset val="100"/>
        <c:noMultiLvlLbl val="0"/>
      </c:catAx>
      <c:valAx>
        <c:axId val="152155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52154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Constellation Brands' Debt Maturity</a:t>
            </a:r>
          </a:p>
        </c:rich>
      </c:tx>
      <c:layout>
        <c:manualLayout>
          <c:xMode val="edge"/>
          <c:yMode val="edge"/>
          <c:x val="0.31610508904940843"/>
          <c:y val="2.07377722988781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Assumptions!$B$81</c:f>
              <c:strCache>
                <c:ptCount val="1"/>
                <c:pt idx="0">
                  <c:v>Bonds Repayment</c:v>
                </c:pt>
              </c:strCache>
            </c:strRef>
          </c:tx>
          <c:spPr>
            <a:solidFill>
              <a:schemeClr val="accent2"/>
            </a:solidFill>
            <a:ln>
              <a:noFill/>
            </a:ln>
            <a:effectLst/>
          </c:spPr>
          <c:invertIfNegative val="0"/>
          <c:cat>
            <c:numRef>
              <c:f>Assumptions!$C$80:$AB$80</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Assumptions!$C$81:$AB$81</c:f>
              <c:numCache>
                <c:formatCode>[$$-409]#,##0.00</c:formatCode>
                <c:ptCount val="26"/>
                <c:pt idx="0">
                  <c:v>949.3</c:v>
                </c:pt>
                <c:pt idx="1">
                  <c:v>1395.5</c:v>
                </c:pt>
                <c:pt idx="2">
                  <c:v>598.29999999999995</c:v>
                </c:pt>
                <c:pt idx="3">
                  <c:v>1096</c:v>
                </c:pt>
                <c:pt idx="4">
                  <c:v>1591.6</c:v>
                </c:pt>
                <c:pt idx="5">
                  <c:v>796.1</c:v>
                </c:pt>
                <c:pt idx="7">
                  <c:v>990.5</c:v>
                </c:pt>
                <c:pt idx="8">
                  <c:v>694.4</c:v>
                </c:pt>
                <c:pt idx="9">
                  <c:v>740.7</c:v>
                </c:pt>
                <c:pt idx="10">
                  <c:v>400</c:v>
                </c:pt>
                <c:pt idx="11">
                  <c:v>1700</c:v>
                </c:pt>
                <c:pt idx="12">
                  <c:v>750</c:v>
                </c:pt>
                <c:pt idx="13">
                  <c:v>1000</c:v>
                </c:pt>
                <c:pt idx="14">
                  <c:v>1700</c:v>
                </c:pt>
                <c:pt idx="15">
                  <c:v>1350</c:v>
                </c:pt>
                <c:pt idx="16">
                  <c:v>450</c:v>
                </c:pt>
                <c:pt idx="17">
                  <c:v>1500</c:v>
                </c:pt>
                <c:pt idx="18">
                  <c:v>2600</c:v>
                </c:pt>
                <c:pt idx="19">
                  <c:v>1000</c:v>
                </c:pt>
                <c:pt idx="20">
                  <c:v>950</c:v>
                </c:pt>
                <c:pt idx="21">
                  <c:v>1650</c:v>
                </c:pt>
                <c:pt idx="22">
                  <c:v>1000</c:v>
                </c:pt>
                <c:pt idx="23">
                  <c:v>2337.1</c:v>
                </c:pt>
                <c:pt idx="24">
                  <c:v>2193.8000000000002</c:v>
                </c:pt>
                <c:pt idx="25">
                  <c:v>1350</c:v>
                </c:pt>
              </c:numCache>
            </c:numRef>
          </c:val>
          <c:extLst>
            <c:ext xmlns:c16="http://schemas.microsoft.com/office/drawing/2014/chart" uri="{C3380CC4-5D6E-409C-BE32-E72D297353CC}">
              <c16:uniqueId val="{00000004-E3D6-4423-A001-2560018ED13A}"/>
            </c:ext>
          </c:extLst>
        </c:ser>
        <c:ser>
          <c:idx val="2"/>
          <c:order val="1"/>
          <c:tx>
            <c:strRef>
              <c:f>Assumptions!$B$82</c:f>
              <c:strCache>
                <c:ptCount val="1"/>
                <c:pt idx="0">
                  <c:v>Loans Repayment</c:v>
                </c:pt>
              </c:strCache>
            </c:strRef>
          </c:tx>
          <c:spPr>
            <a:solidFill>
              <a:schemeClr val="accent3"/>
            </a:solidFill>
            <a:ln>
              <a:noFill/>
            </a:ln>
            <a:effectLst/>
          </c:spPr>
          <c:invertIfNegative val="0"/>
          <c:cat>
            <c:numRef>
              <c:f>Assumptions!$C$80:$AB$80</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Assumptions!$C$82:$AB$82</c:f>
              <c:numCache>
                <c:formatCode>[$$-409]#,##0.00</c:formatCode>
                <c:ptCount val="26"/>
                <c:pt idx="1">
                  <c:v>1000</c:v>
                </c:pt>
                <c:pt idx="2">
                  <c:v>750</c:v>
                </c:pt>
                <c:pt idx="3">
                  <c:v>2741.25</c:v>
                </c:pt>
                <c:pt idx="6">
                  <c:v>20</c:v>
                </c:pt>
                <c:pt idx="8">
                  <c:v>2000</c:v>
                </c:pt>
              </c:numCache>
            </c:numRef>
          </c:val>
          <c:extLst>
            <c:ext xmlns:c16="http://schemas.microsoft.com/office/drawing/2014/chart" uri="{C3380CC4-5D6E-409C-BE32-E72D297353CC}">
              <c16:uniqueId val="{00000006-E3D6-4423-A001-2560018ED13A}"/>
            </c:ext>
          </c:extLst>
        </c:ser>
        <c:ser>
          <c:idx val="3"/>
          <c:order val="2"/>
          <c:tx>
            <c:strRef>
              <c:f>Assumptions!$B$83</c:f>
              <c:strCache>
                <c:ptCount val="1"/>
                <c:pt idx="0">
                  <c:v>Forecasted debt</c:v>
                </c:pt>
              </c:strCache>
            </c:strRef>
          </c:tx>
          <c:spPr>
            <a:solidFill>
              <a:schemeClr val="accent4"/>
            </a:solidFill>
            <a:ln>
              <a:noFill/>
            </a:ln>
            <a:effectLst/>
          </c:spPr>
          <c:invertIfNegative val="0"/>
          <c:cat>
            <c:numRef>
              <c:f>Assumptions!$C$80:$AB$80</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Assumptions!$C$83:$AB$83</c:f>
              <c:numCache>
                <c:formatCode>[$$-409]#,##0.00</c:formatCode>
                <c:ptCount val="26"/>
                <c:pt idx="0">
                  <c:v>400</c:v>
                </c:pt>
                <c:pt idx="1">
                  <c:v>1700</c:v>
                </c:pt>
                <c:pt idx="2">
                  <c:v>750</c:v>
                </c:pt>
                <c:pt idx="3">
                  <c:v>3000</c:v>
                </c:pt>
                <c:pt idx="4">
                  <c:v>1700</c:v>
                </c:pt>
                <c:pt idx="5">
                  <c:v>1350</c:v>
                </c:pt>
                <c:pt idx="6">
                  <c:v>450</c:v>
                </c:pt>
                <c:pt idx="7">
                  <c:v>1500</c:v>
                </c:pt>
                <c:pt idx="8">
                  <c:v>2600</c:v>
                </c:pt>
                <c:pt idx="9">
                  <c:v>1000</c:v>
                </c:pt>
                <c:pt idx="10">
                  <c:v>950</c:v>
                </c:pt>
                <c:pt idx="11">
                  <c:v>1650</c:v>
                </c:pt>
                <c:pt idx="12">
                  <c:v>1000</c:v>
                </c:pt>
                <c:pt idx="13">
                  <c:v>1250</c:v>
                </c:pt>
                <c:pt idx="14">
                  <c:v>1700</c:v>
                </c:pt>
                <c:pt idx="15">
                  <c:v>1350</c:v>
                </c:pt>
                <c:pt idx="16">
                  <c:v>950</c:v>
                </c:pt>
                <c:pt idx="17">
                  <c:v>1550</c:v>
                </c:pt>
                <c:pt idx="18">
                  <c:v>2100</c:v>
                </c:pt>
                <c:pt idx="19">
                  <c:v>900</c:v>
                </c:pt>
                <c:pt idx="20">
                  <c:v>1000</c:v>
                </c:pt>
                <c:pt idx="21">
                  <c:v>1400</c:v>
                </c:pt>
                <c:pt idx="22">
                  <c:v>1250</c:v>
                </c:pt>
                <c:pt idx="23">
                  <c:v>1650</c:v>
                </c:pt>
                <c:pt idx="24">
                  <c:v>1950</c:v>
                </c:pt>
                <c:pt idx="25">
                  <c:v>1000</c:v>
                </c:pt>
              </c:numCache>
            </c:numRef>
          </c:val>
          <c:extLst>
            <c:ext xmlns:c16="http://schemas.microsoft.com/office/drawing/2014/chart" uri="{C3380CC4-5D6E-409C-BE32-E72D297353CC}">
              <c16:uniqueId val="{00000008-E3D6-4423-A001-2560018ED13A}"/>
            </c:ext>
          </c:extLst>
        </c:ser>
        <c:dLbls>
          <c:showLegendKey val="0"/>
          <c:showVal val="0"/>
          <c:showCatName val="0"/>
          <c:showSerName val="0"/>
          <c:showPercent val="0"/>
          <c:showBubbleSize val="0"/>
        </c:dLbls>
        <c:gapWidth val="219"/>
        <c:overlap val="-27"/>
        <c:axId val="28460847"/>
        <c:axId val="28461327"/>
      </c:barChart>
      <c:catAx>
        <c:axId val="2846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8461327"/>
        <c:crosses val="autoZero"/>
        <c:auto val="1"/>
        <c:lblAlgn val="ctr"/>
        <c:lblOffset val="100"/>
        <c:noMultiLvlLbl val="0"/>
      </c:catAx>
      <c:valAx>
        <c:axId val="28461327"/>
        <c:scaling>
          <c:orientation val="minMax"/>
          <c:max val="3000"/>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8460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hyperlink" Target="https://www.grandviewresearch.com/industry-analysis/alcoholic-drinks-market-report"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www.statista.com/outlook/cmo/alcoholic-drinks/worldwide" TargetMode="External"/><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3.png"/><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15.png"/><Relationship Id="rId1" Type="http://schemas.openxmlformats.org/officeDocument/2006/relationships/image" Target="../media/image14.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18</xdr:row>
      <xdr:rowOff>85052</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18</xdr:row>
      <xdr:rowOff>85052</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142199</xdr:colOff>
      <xdr:row>3</xdr:row>
      <xdr:rowOff>126063</xdr:rowOff>
    </xdr:from>
    <xdr:to>
      <xdr:col>2</xdr:col>
      <xdr:colOff>1308732</xdr:colOff>
      <xdr:row>12</xdr:row>
      <xdr:rowOff>135328</xdr:rowOff>
    </xdr:to>
    <xdr:pic>
      <xdr:nvPicPr>
        <xdr:cNvPr id="2" name="Imagem 1">
          <a:extLst>
            <a:ext uri="{FF2B5EF4-FFF2-40B4-BE49-F238E27FC236}">
              <a16:creationId xmlns:a16="http://schemas.microsoft.com/office/drawing/2014/main" id="{FB11D7B7-5CC5-0513-4BB9-9989A759121D}"/>
            </a:ext>
            <a:ext uri="{147F2762-F138-4A5C-976F-8EAC2B608ADB}">
              <a16:predDERef xmlns:a16="http://schemas.microsoft.com/office/drawing/2014/main" pred="{D38869C9-D998-A047-96C8-5B849EBEA94D}"/>
            </a:ext>
          </a:extLst>
        </xdr:cNvPr>
        <xdr:cNvPicPr>
          <a:picLocks noChangeAspect="1"/>
        </xdr:cNvPicPr>
      </xdr:nvPicPr>
      <xdr:blipFill>
        <a:blip xmlns:r="http://schemas.openxmlformats.org/officeDocument/2006/relationships" r:embed="rId1"/>
        <a:stretch>
          <a:fillRect/>
        </a:stretch>
      </xdr:blipFill>
      <xdr:spPr>
        <a:xfrm>
          <a:off x="173429" y="781883"/>
          <a:ext cx="2936406" cy="1966314"/>
        </a:xfrm>
        <a:prstGeom prst="rect">
          <a:avLst/>
        </a:prstGeom>
      </xdr:spPr>
    </xdr:pic>
    <xdr:clientData/>
  </xdr:twoCellAnchor>
  <xdr:twoCellAnchor editAs="oneCell">
    <xdr:from>
      <xdr:col>6</xdr:col>
      <xdr:colOff>342900</xdr:colOff>
      <xdr:row>83</xdr:row>
      <xdr:rowOff>19050</xdr:rowOff>
    </xdr:from>
    <xdr:to>
      <xdr:col>12</xdr:col>
      <xdr:colOff>1362075</xdr:colOff>
      <xdr:row>106</xdr:row>
      <xdr:rowOff>495300</xdr:rowOff>
    </xdr:to>
    <xdr:pic>
      <xdr:nvPicPr>
        <xdr:cNvPr id="4" name="Imagem 2">
          <a:extLst>
            <a:ext uri="{FF2B5EF4-FFF2-40B4-BE49-F238E27FC236}">
              <a16:creationId xmlns:a16="http://schemas.microsoft.com/office/drawing/2014/main" id="{3C487921-FBF0-BD0E-494B-2E4B2B53D54C}"/>
            </a:ext>
            <a:ext uri="{147F2762-F138-4A5C-976F-8EAC2B608ADB}">
              <a16:predDERef xmlns:a16="http://schemas.microsoft.com/office/drawing/2014/main" pred="{FB11D7B7-5CC5-0513-4BB9-9989A759121D}"/>
            </a:ext>
          </a:extLst>
        </xdr:cNvPr>
        <xdr:cNvPicPr>
          <a:picLocks noChangeAspect="1"/>
        </xdr:cNvPicPr>
      </xdr:nvPicPr>
      <xdr:blipFill>
        <a:blip xmlns:r="http://schemas.openxmlformats.org/officeDocument/2006/relationships" r:embed="rId2"/>
        <a:stretch>
          <a:fillRect/>
        </a:stretch>
      </xdr:blipFill>
      <xdr:spPr>
        <a:xfrm>
          <a:off x="7972425" y="15230475"/>
          <a:ext cx="7715250" cy="4200525"/>
        </a:xfrm>
        <a:prstGeom prst="rect">
          <a:avLst/>
        </a:prstGeom>
      </xdr:spPr>
    </xdr:pic>
    <xdr:clientData/>
  </xdr:twoCellAnchor>
  <xdr:twoCellAnchor editAs="oneCell">
    <xdr:from>
      <xdr:col>1</xdr:col>
      <xdr:colOff>19050</xdr:colOff>
      <xdr:row>83</xdr:row>
      <xdr:rowOff>95250</xdr:rowOff>
    </xdr:from>
    <xdr:to>
      <xdr:col>5</xdr:col>
      <xdr:colOff>809625</xdr:colOff>
      <xdr:row>107</xdr:row>
      <xdr:rowOff>400051</xdr:rowOff>
    </xdr:to>
    <xdr:pic>
      <xdr:nvPicPr>
        <xdr:cNvPr id="15" name="Imagem 2">
          <a:extLst>
            <a:ext uri="{FF2B5EF4-FFF2-40B4-BE49-F238E27FC236}">
              <a16:creationId xmlns:a16="http://schemas.microsoft.com/office/drawing/2014/main" id="{2A1C4B89-4282-0520-CD47-9E79E2E76743}"/>
            </a:ext>
            <a:ext uri="{147F2762-F138-4A5C-976F-8EAC2B608ADB}">
              <a16:predDERef xmlns:a16="http://schemas.microsoft.com/office/drawing/2014/main" pred="{3C487921-FBF0-BD0E-494B-2E4B2B53D54C}"/>
            </a:ext>
          </a:extLst>
        </xdr:cNvPr>
        <xdr:cNvPicPr>
          <a:picLocks noChangeAspect="1"/>
        </xdr:cNvPicPr>
      </xdr:nvPicPr>
      <xdr:blipFill>
        <a:blip xmlns:r="http://schemas.openxmlformats.org/officeDocument/2006/relationships" r:embed="rId3"/>
        <a:stretch>
          <a:fillRect/>
        </a:stretch>
      </xdr:blipFill>
      <xdr:spPr>
        <a:xfrm>
          <a:off x="47625" y="16583025"/>
          <a:ext cx="7524750" cy="4333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57150</xdr:colOff>
      <xdr:row>44</xdr:row>
      <xdr:rowOff>57150</xdr:rowOff>
    </xdr:from>
    <xdr:to>
      <xdr:col>13</xdr:col>
      <xdr:colOff>28575</xdr:colOff>
      <xdr:row>53</xdr:row>
      <xdr:rowOff>190500</xdr:rowOff>
    </xdr:to>
    <xdr:graphicFrame macro="">
      <xdr:nvGraphicFramePr>
        <xdr:cNvPr id="4"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66675</xdr:colOff>
      <xdr:row>44</xdr:row>
      <xdr:rowOff>38100</xdr:rowOff>
    </xdr:from>
    <xdr:to>
      <xdr:col>16</xdr:col>
      <xdr:colOff>1495425</xdr:colOff>
      <xdr:row>53</xdr:row>
      <xdr:rowOff>180975</xdr:rowOff>
    </xdr:to>
    <xdr:graphicFrame macro="">
      <xdr:nvGraphicFramePr>
        <xdr:cNvPr id="3"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19050</xdr:colOff>
      <xdr:row>73</xdr:row>
      <xdr:rowOff>47625</xdr:rowOff>
    </xdr:from>
    <xdr:to>
      <xdr:col>35</xdr:col>
      <xdr:colOff>209550</xdr:colOff>
      <xdr:row>75</xdr:row>
      <xdr:rowOff>0</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16</xdr:col>
      <xdr:colOff>847725</xdr:colOff>
      <xdr:row>2</xdr:row>
      <xdr:rowOff>85725</xdr:rowOff>
    </xdr:from>
    <xdr:to>
      <xdr:col>23</xdr:col>
      <xdr:colOff>558800</xdr:colOff>
      <xdr:row>40</xdr:row>
      <xdr:rowOff>44450</xdr:rowOff>
    </xdr:to>
    <xdr:pic>
      <xdr:nvPicPr>
        <xdr:cNvPr id="5" name="Picture 4">
          <a:extLst>
            <a:ext uri="{FF2B5EF4-FFF2-40B4-BE49-F238E27FC236}">
              <a16:creationId xmlns:a16="http://schemas.microsoft.com/office/drawing/2014/main" id="{214D71C1-F8A6-F796-B8E7-BB08DCB7CC26}"/>
            </a:ext>
            <a:ext uri="{147F2762-F138-4A5C-976F-8EAC2B608ADB}">
              <a16:predDERef xmlns:a16="http://schemas.microsoft.com/office/drawing/2014/main" pred="{373BA1AE-84F4-1EA4-7F90-6E6AE589AB0D}"/>
            </a:ext>
          </a:extLst>
        </xdr:cNvPr>
        <xdr:cNvPicPr>
          <a:picLocks noChangeAspect="1"/>
        </xdr:cNvPicPr>
      </xdr:nvPicPr>
      <xdr:blipFill>
        <a:blip xmlns:r="http://schemas.openxmlformats.org/officeDocument/2006/relationships" r:embed="rId3"/>
        <a:stretch>
          <a:fillRect/>
        </a:stretch>
      </xdr:blipFill>
      <xdr:spPr>
        <a:xfrm>
          <a:off x="16497300" y="495300"/>
          <a:ext cx="5848350" cy="4505325"/>
        </a:xfrm>
        <a:prstGeom prst="rect">
          <a:avLst/>
        </a:prstGeom>
      </xdr:spPr>
    </xdr:pic>
    <xdr:clientData/>
  </xdr:twoCellAnchor>
  <xdr:twoCellAnchor editAs="oneCell">
    <xdr:from>
      <xdr:col>9</xdr:col>
      <xdr:colOff>100678</xdr:colOff>
      <xdr:row>61</xdr:row>
      <xdr:rowOff>104775</xdr:rowOff>
    </xdr:from>
    <xdr:to>
      <xdr:col>16</xdr:col>
      <xdr:colOff>1415302</xdr:colOff>
      <xdr:row>68</xdr:row>
      <xdr:rowOff>1128133</xdr:rowOff>
    </xdr:to>
    <xdr:pic>
      <xdr:nvPicPr>
        <xdr:cNvPr id="12" name="Imagem 5">
          <a:extLst>
            <a:ext uri="{FF2B5EF4-FFF2-40B4-BE49-F238E27FC236}">
              <a16:creationId xmlns:a16="http://schemas.microsoft.com/office/drawing/2014/main" id="{196AF80D-FE48-5F2A-7849-9FDE946E91E3}"/>
            </a:ext>
            <a:ext uri="{147F2762-F138-4A5C-976F-8EAC2B608ADB}">
              <a16:predDERef xmlns:a16="http://schemas.microsoft.com/office/drawing/2014/main" pred="{6F53964A-5CF3-8D75-36DA-89801DF67AC7}"/>
            </a:ext>
          </a:extLst>
        </xdr:cNvPr>
        <xdr:cNvPicPr>
          <a:picLocks noChangeAspect="1"/>
        </xdr:cNvPicPr>
      </xdr:nvPicPr>
      <xdr:blipFill>
        <a:blip xmlns:r="http://schemas.openxmlformats.org/officeDocument/2006/relationships" r:embed="rId4"/>
        <a:stretch>
          <a:fillRect/>
        </a:stretch>
      </xdr:blipFill>
      <xdr:spPr>
        <a:xfrm>
          <a:off x="10025728" y="12773025"/>
          <a:ext cx="7039149" cy="3471283"/>
        </a:xfrm>
        <a:prstGeom prst="rect">
          <a:avLst/>
        </a:prstGeom>
        <a:ln>
          <a:solidFill>
            <a:schemeClr val="tx1"/>
          </a:solidFill>
        </a:ln>
      </xdr:spPr>
    </xdr:pic>
    <xdr:clientData/>
  </xdr:twoCellAnchor>
  <xdr:twoCellAnchor editAs="oneCell">
    <xdr:from>
      <xdr:col>9</xdr:col>
      <xdr:colOff>134710</xdr:colOff>
      <xdr:row>55</xdr:row>
      <xdr:rowOff>91169</xdr:rowOff>
    </xdr:from>
    <xdr:to>
      <xdr:col>16</xdr:col>
      <xdr:colOff>1419225</xdr:colOff>
      <xdr:row>59</xdr:row>
      <xdr:rowOff>698825</xdr:rowOff>
    </xdr:to>
    <xdr:pic>
      <xdr:nvPicPr>
        <xdr:cNvPr id="15" name="Picture 14">
          <a:extLst>
            <a:ext uri="{FF2B5EF4-FFF2-40B4-BE49-F238E27FC236}">
              <a16:creationId xmlns:a16="http://schemas.microsoft.com/office/drawing/2014/main" id="{CE5E671C-AF74-5BF4-6C10-B2A2653E901F}"/>
            </a:ext>
          </a:extLst>
        </xdr:cNvPr>
        <xdr:cNvPicPr>
          <a:picLocks noChangeAspect="1"/>
        </xdr:cNvPicPr>
      </xdr:nvPicPr>
      <xdr:blipFill>
        <a:blip xmlns:r="http://schemas.openxmlformats.org/officeDocument/2006/relationships" r:embed="rId5"/>
        <a:stretch>
          <a:fillRect/>
        </a:stretch>
      </xdr:blipFill>
      <xdr:spPr>
        <a:xfrm>
          <a:off x="10059760" y="9616169"/>
          <a:ext cx="7009040" cy="2865081"/>
        </a:xfrm>
        <a:prstGeom prst="rect">
          <a:avLst/>
        </a:prstGeom>
        <a:ln>
          <a:solidFill>
            <a:schemeClr val="tx1"/>
          </a:solidFill>
        </a:ln>
      </xdr:spPr>
    </xdr:pic>
    <xdr:clientData/>
  </xdr:twoCellAnchor>
  <xdr:twoCellAnchor>
    <xdr:from>
      <xdr:col>9</xdr:col>
      <xdr:colOff>125730</xdr:colOff>
      <xdr:row>59</xdr:row>
      <xdr:rowOff>701449</xdr:rowOff>
    </xdr:from>
    <xdr:to>
      <xdr:col>16</xdr:col>
      <xdr:colOff>1421019</xdr:colOff>
      <xdr:row>61</xdr:row>
      <xdr:rowOff>18579</xdr:rowOff>
    </xdr:to>
    <xdr:sp macro="" textlink="">
      <xdr:nvSpPr>
        <xdr:cNvPr id="16" name="TextBox 15">
          <a:hlinkClick xmlns:r="http://schemas.openxmlformats.org/officeDocument/2006/relationships" r:id="rId6"/>
          <a:extLst>
            <a:ext uri="{FF2B5EF4-FFF2-40B4-BE49-F238E27FC236}">
              <a16:creationId xmlns:a16="http://schemas.microsoft.com/office/drawing/2014/main" id="{939DB4FF-5178-D880-D4F7-865790240152}"/>
            </a:ext>
          </a:extLst>
        </xdr:cNvPr>
        <xdr:cNvSpPr txBox="1"/>
      </xdr:nvSpPr>
      <xdr:spPr>
        <a:xfrm>
          <a:off x="10054590" y="12531499"/>
          <a:ext cx="7021719" cy="20486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t-PT" sz="1100" b="0" i="0" u="sng">
              <a:solidFill>
                <a:srgbClr val="002060"/>
              </a:solidFill>
              <a:effectLst/>
              <a:latin typeface="+mn-lt"/>
              <a:ea typeface="+mn-ea"/>
              <a:cs typeface="+mn-cs"/>
            </a:rPr>
            <a:t>Alcoholic Drinks</a:t>
          </a:r>
          <a:r>
            <a:rPr lang="pt-PT" sz="1100" b="0" i="0" u="sng" baseline="0">
              <a:solidFill>
                <a:srgbClr val="002060"/>
              </a:solidFill>
              <a:effectLst/>
              <a:latin typeface="+mn-lt"/>
              <a:ea typeface="+mn-ea"/>
              <a:cs typeface="+mn-cs"/>
            </a:rPr>
            <a:t> Industry Revenues forecast worldwide [2018-2029]</a:t>
          </a:r>
          <a:endParaRPr lang="pt-PT" sz="1100" b="0" i="0" u="sng">
            <a:solidFill>
              <a:srgbClr val="002060"/>
            </a:solidFill>
            <a:effectLst/>
            <a:latin typeface="+mn-lt"/>
            <a:ea typeface="+mn-ea"/>
            <a:cs typeface="+mn-cs"/>
          </a:endParaRPr>
        </a:p>
      </xdr:txBody>
    </xdr:sp>
    <xdr:clientData/>
  </xdr:twoCellAnchor>
  <xdr:twoCellAnchor>
    <xdr:from>
      <xdr:col>9</xdr:col>
      <xdr:colOff>97848</xdr:colOff>
      <xdr:row>68</xdr:row>
      <xdr:rowOff>1131115</xdr:rowOff>
    </xdr:from>
    <xdr:to>
      <xdr:col>16</xdr:col>
      <xdr:colOff>1422688</xdr:colOff>
      <xdr:row>68</xdr:row>
      <xdr:rowOff>1342342</xdr:rowOff>
    </xdr:to>
    <xdr:sp macro="" textlink="">
      <xdr:nvSpPr>
        <xdr:cNvPr id="17" name="TextBox 16">
          <a:hlinkClick xmlns:r="http://schemas.openxmlformats.org/officeDocument/2006/relationships" r:id="rId7"/>
          <a:extLst>
            <a:ext uri="{FF2B5EF4-FFF2-40B4-BE49-F238E27FC236}">
              <a16:creationId xmlns:a16="http://schemas.microsoft.com/office/drawing/2014/main" id="{EA30E1AD-D69E-48AA-BA2B-1ED43058C9A4}"/>
            </a:ext>
          </a:extLst>
        </xdr:cNvPr>
        <xdr:cNvSpPr txBox="1"/>
      </xdr:nvSpPr>
      <xdr:spPr>
        <a:xfrm>
          <a:off x="10022898" y="16247290"/>
          <a:ext cx="7049365" cy="21122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t-PT" sz="1100" b="0" i="0" u="sng">
              <a:solidFill>
                <a:srgbClr val="002060"/>
              </a:solidFill>
              <a:effectLst/>
              <a:latin typeface="+mn-lt"/>
              <a:ea typeface="+mn-ea"/>
              <a:cs typeface="+mn-cs"/>
            </a:rPr>
            <a:t>Alcoholic Drinks</a:t>
          </a:r>
          <a:r>
            <a:rPr lang="pt-PT" sz="1100" b="0" i="0" u="sng" baseline="0">
              <a:solidFill>
                <a:srgbClr val="002060"/>
              </a:solidFill>
              <a:effectLst/>
              <a:latin typeface="+mn-lt"/>
              <a:ea typeface="+mn-ea"/>
              <a:cs typeface="+mn-cs"/>
            </a:rPr>
            <a:t> Industry</a:t>
          </a:r>
          <a:r>
            <a:rPr lang="pt-PT" sz="1100" b="0" i="0" u="sng">
              <a:solidFill>
                <a:srgbClr val="002060"/>
              </a:solidFill>
              <a:effectLst/>
              <a:latin typeface="+mn-lt"/>
              <a:ea typeface="+mn-ea"/>
              <a:cs typeface="+mn-cs"/>
            </a:rPr>
            <a:t> (Worldwide)</a:t>
          </a:r>
          <a:r>
            <a:rPr lang="pt-PT" sz="1100" b="0" i="0" u="sng" baseline="0">
              <a:solidFill>
                <a:srgbClr val="002060"/>
              </a:solidFill>
              <a:effectLst/>
              <a:latin typeface="+mn-lt"/>
              <a:ea typeface="+mn-ea"/>
              <a:cs typeface="+mn-cs"/>
            </a:rPr>
            <a:t> Revenues forecast [2018-2029]</a:t>
          </a:r>
          <a:endParaRPr lang="pt-PT" sz="1100" b="0" i="0" u="sng">
            <a:solidFill>
              <a:srgbClr val="002060"/>
            </a:solidFill>
            <a:effectLst/>
            <a:latin typeface="+mn-lt"/>
            <a:ea typeface="+mn-ea"/>
            <a:cs typeface="+mn-cs"/>
          </a:endParaRPr>
        </a:p>
      </xdr:txBody>
    </xdr:sp>
    <xdr:clientData/>
  </xdr:twoCellAnchor>
  <xdr:twoCellAnchor editAs="oneCell">
    <xdr:from>
      <xdr:col>9</xdr:col>
      <xdr:colOff>161683</xdr:colOff>
      <xdr:row>70</xdr:row>
      <xdr:rowOff>137671</xdr:rowOff>
    </xdr:from>
    <xdr:to>
      <xdr:col>16</xdr:col>
      <xdr:colOff>1373038</xdr:colOff>
      <xdr:row>72</xdr:row>
      <xdr:rowOff>1176129</xdr:rowOff>
    </xdr:to>
    <xdr:pic>
      <xdr:nvPicPr>
        <xdr:cNvPr id="18" name="Picture 17" descr="Alcoholic Drinks Market Trends, by Region, 2025 - 2030">
          <a:extLst>
            <a:ext uri="{FF2B5EF4-FFF2-40B4-BE49-F238E27FC236}">
              <a16:creationId xmlns:a16="http://schemas.microsoft.com/office/drawing/2014/main" id="{A7A189EF-31F4-7272-94B9-12BACD77FD9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575683" y="18012921"/>
          <a:ext cx="7196230" cy="3895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21</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528777</xdr:colOff>
      <xdr:row>17</xdr:row>
      <xdr:rowOff>56029</xdr:rowOff>
    </xdr:from>
    <xdr:to>
      <xdr:col>18</xdr:col>
      <xdr:colOff>702468</xdr:colOff>
      <xdr:row>33</xdr:row>
      <xdr:rowOff>114301</xdr:rowOff>
    </xdr:to>
    <xdr:graphicFrame macro="">
      <xdr:nvGraphicFramePr>
        <xdr:cNvPr id="2" name="Chart 1">
          <a:extLst>
            <a:ext uri="{FF2B5EF4-FFF2-40B4-BE49-F238E27FC236}">
              <a16:creationId xmlns:a16="http://schemas.microsoft.com/office/drawing/2014/main" i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107156</xdr:colOff>
      <xdr:row>33</xdr:row>
      <xdr:rowOff>142875</xdr:rowOff>
    </xdr:from>
    <xdr:to>
      <xdr:col>20</xdr:col>
      <xdr:colOff>273843</xdr:colOff>
      <xdr:row>50</xdr:row>
      <xdr:rowOff>142875</xdr:rowOff>
    </xdr:to>
    <xdr:graphicFrame macro="">
      <xdr:nvGraphicFramePr>
        <xdr:cNvPr id="3" name="Chart 2">
          <a:extLst>
            <a:ext uri="{FF2B5EF4-FFF2-40B4-BE49-F238E27FC236}">
              <a16:creationId xmlns:a16="http://schemas.microsoft.com/office/drawing/2014/main" id="{06EE3DBE-321E-4EF6-A0A4-D90C4883E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152400</xdr:colOff>
      <xdr:row>1</xdr:row>
      <xdr:rowOff>284480</xdr:rowOff>
    </xdr:from>
    <xdr:to>
      <xdr:col>1</xdr:col>
      <xdr:colOff>2021840</xdr:colOff>
      <xdr:row>1</xdr:row>
      <xdr:rowOff>723634</xdr:rowOff>
    </xdr:to>
    <xdr:pic>
      <xdr:nvPicPr>
        <xdr:cNvPr id="5" name="Picture 4">
          <a:extLst>
            <a:ext uri="{FF2B5EF4-FFF2-40B4-BE49-F238E27FC236}">
              <a16:creationId xmlns:a16="http://schemas.microsoft.com/office/drawing/2014/main" id="{E77C3408-EA94-DBBF-E751-A76F85925BE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2880" y="457200"/>
          <a:ext cx="1869440" cy="439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24985</xdr:colOff>
      <xdr:row>2</xdr:row>
      <xdr:rowOff>202368</xdr:rowOff>
    </xdr:from>
    <xdr:to>
      <xdr:col>2</xdr:col>
      <xdr:colOff>440</xdr:colOff>
      <xdr:row>2</xdr:row>
      <xdr:rowOff>762462</xdr:rowOff>
    </xdr:to>
    <xdr:pic>
      <xdr:nvPicPr>
        <xdr:cNvPr id="4" name="Picture 3">
          <a:extLst>
            <a:ext uri="{FF2B5EF4-FFF2-40B4-BE49-F238E27FC236}">
              <a16:creationId xmlns:a16="http://schemas.microsoft.com/office/drawing/2014/main" id="{2D52D8B3-3361-5DA1-0C3A-CFF15126AA2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969" y="1414073"/>
          <a:ext cx="2136097" cy="560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87443</xdr:colOff>
      <xdr:row>2</xdr:row>
      <xdr:rowOff>1024328</xdr:rowOff>
    </xdr:from>
    <xdr:to>
      <xdr:col>1</xdr:col>
      <xdr:colOff>1969617</xdr:colOff>
      <xdr:row>3</xdr:row>
      <xdr:rowOff>999279</xdr:rowOff>
    </xdr:to>
    <xdr:pic>
      <xdr:nvPicPr>
        <xdr:cNvPr id="8" name="Picture 7" descr="AB InBev Logo, symbol, meaning, history, PNG, brand">
          <a:extLst>
            <a:ext uri="{FF2B5EF4-FFF2-40B4-BE49-F238E27FC236}">
              <a16:creationId xmlns:a16="http://schemas.microsoft.com/office/drawing/2014/main" id="{64DAD63C-3F46-4586-91B3-A397E62AED1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2427" y="2236033"/>
          <a:ext cx="1885349" cy="1008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112426</xdr:colOff>
      <xdr:row>4</xdr:row>
      <xdr:rowOff>199869</xdr:rowOff>
    </xdr:from>
    <xdr:to>
      <xdr:col>1</xdr:col>
      <xdr:colOff>2026232</xdr:colOff>
      <xdr:row>4</xdr:row>
      <xdr:rowOff>902585</xdr:rowOff>
    </xdr:to>
    <xdr:pic>
      <xdr:nvPicPr>
        <xdr:cNvPr id="9" name="Picture 8" descr="Pernod Ricard – Wikipédia, a enciclopédia livre">
          <a:extLst>
            <a:ext uri="{FF2B5EF4-FFF2-40B4-BE49-F238E27FC236}">
              <a16:creationId xmlns:a16="http://schemas.microsoft.com/office/drawing/2014/main" id="{6F550A13-332A-6FF0-9116-71AB3312520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7410" y="3485213"/>
          <a:ext cx="1910631" cy="6995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174884</xdr:colOff>
      <xdr:row>5</xdr:row>
      <xdr:rowOff>118495</xdr:rowOff>
    </xdr:from>
    <xdr:to>
      <xdr:col>1</xdr:col>
      <xdr:colOff>1998687</xdr:colOff>
      <xdr:row>5</xdr:row>
      <xdr:rowOff>961448</xdr:rowOff>
    </xdr:to>
    <xdr:pic>
      <xdr:nvPicPr>
        <xdr:cNvPr id="10" name="Picture 9" descr="Brown–Forman - Wikipedia">
          <a:extLst>
            <a:ext uri="{FF2B5EF4-FFF2-40B4-BE49-F238E27FC236}">
              <a16:creationId xmlns:a16="http://schemas.microsoft.com/office/drawing/2014/main" id="{9D93B8C0-719D-7C34-F20C-A089D01B127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9868" y="4440659"/>
          <a:ext cx="1823803" cy="846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262618</xdr:colOff>
      <xdr:row>1</xdr:row>
      <xdr:rowOff>112145</xdr:rowOff>
    </xdr:from>
    <xdr:to>
      <xdr:col>22</xdr:col>
      <xdr:colOff>953521</xdr:colOff>
      <xdr:row>7</xdr:row>
      <xdr:rowOff>204220</xdr:rowOff>
    </xdr:to>
    <xdr:graphicFrame macro="">
      <xdr:nvGraphicFramePr>
        <xdr:cNvPr id="310" name="Gráfico 8">
          <a:extLst>
            <a:ext uri="{FF2B5EF4-FFF2-40B4-BE49-F238E27FC236}">
              <a16:creationId xmlns:a16="http://schemas.microsoft.com/office/drawing/2014/main" id="{834A8E00-B31D-EC7A-4166-66F40E641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281667</xdr:colOff>
      <xdr:row>8</xdr:row>
      <xdr:rowOff>95703</xdr:rowOff>
    </xdr:from>
    <xdr:to>
      <xdr:col>22</xdr:col>
      <xdr:colOff>967127</xdr:colOff>
      <xdr:row>13</xdr:row>
      <xdr:rowOff>87766</xdr:rowOff>
    </xdr:to>
    <xdr:graphicFrame macro="">
      <xdr:nvGraphicFramePr>
        <xdr:cNvPr id="301" name="Gráfico 9">
          <a:extLst>
            <a:ext uri="{FF2B5EF4-FFF2-40B4-BE49-F238E27FC236}">
              <a16:creationId xmlns:a16="http://schemas.microsoft.com/office/drawing/2014/main" id="{CF12CB32-795F-7528-355F-ABE1EF8A5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294254</xdr:colOff>
      <xdr:row>14</xdr:row>
      <xdr:rowOff>50688</xdr:rowOff>
    </xdr:from>
    <xdr:to>
      <xdr:col>22</xdr:col>
      <xdr:colOff>979714</xdr:colOff>
      <xdr:row>20</xdr:row>
      <xdr:rowOff>134825</xdr:rowOff>
    </xdr:to>
    <xdr:graphicFrame macro="">
      <xdr:nvGraphicFramePr>
        <xdr:cNvPr id="284" name="Gráfico 10">
          <a:extLst>
            <a:ext uri="{FF2B5EF4-FFF2-40B4-BE49-F238E27FC236}">
              <a16:creationId xmlns:a16="http://schemas.microsoft.com/office/drawing/2014/main" id="{E53AAB4F-BCF1-AFDB-6C67-D6DB06F29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283368</xdr:colOff>
      <xdr:row>21</xdr:row>
      <xdr:rowOff>141743</xdr:rowOff>
    </xdr:from>
    <xdr:to>
      <xdr:col>22</xdr:col>
      <xdr:colOff>968828</xdr:colOff>
      <xdr:row>29</xdr:row>
      <xdr:rowOff>29030</xdr:rowOff>
    </xdr:to>
    <xdr:graphicFrame macro="">
      <xdr:nvGraphicFramePr>
        <xdr:cNvPr id="271" name="Gráfico 11">
          <a:extLst>
            <a:ext uri="{FF2B5EF4-FFF2-40B4-BE49-F238E27FC236}">
              <a16:creationId xmlns:a16="http://schemas.microsoft.com/office/drawing/2014/main" id="{278A061F-1821-F77F-C4FB-83DCDAE4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988219</xdr:colOff>
      <xdr:row>37</xdr:row>
      <xdr:rowOff>71438</xdr:rowOff>
    </xdr:from>
    <xdr:to>
      <xdr:col>3</xdr:col>
      <xdr:colOff>735651</xdr:colOff>
      <xdr:row>59</xdr:row>
      <xdr:rowOff>144987</xdr:rowOff>
    </xdr:to>
    <xdr:pic>
      <xdr:nvPicPr>
        <xdr:cNvPr id="2" name="Picture 1">
          <a:extLst>
            <a:ext uri="{FF2B5EF4-FFF2-40B4-BE49-F238E27FC236}">
              <a16:creationId xmlns:a16="http://schemas.microsoft.com/office/drawing/2014/main" id="{02609B69-1FCA-E4A1-4CF0-A16C7F7BED09}"/>
            </a:ext>
          </a:extLst>
        </xdr:cNvPr>
        <xdr:cNvPicPr>
          <a:picLocks noChangeAspect="1"/>
        </xdr:cNvPicPr>
      </xdr:nvPicPr>
      <xdr:blipFill>
        <a:blip xmlns:r="http://schemas.openxmlformats.org/officeDocument/2006/relationships" r:embed="rId5"/>
        <a:stretch>
          <a:fillRect/>
        </a:stretch>
      </xdr:blipFill>
      <xdr:spPr>
        <a:xfrm>
          <a:off x="1059657" y="9405938"/>
          <a:ext cx="4572638" cy="37533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477948</xdr:colOff>
      <xdr:row>106</xdr:row>
      <xdr:rowOff>102394</xdr:rowOff>
    </xdr:from>
    <xdr:to>
      <xdr:col>9</xdr:col>
      <xdr:colOff>598465</xdr:colOff>
      <xdr:row>120</xdr:row>
      <xdr:rowOff>84728</xdr:rowOff>
    </xdr:to>
    <xdr:pic>
      <xdr:nvPicPr>
        <xdr:cNvPr id="12" name="Picture 11">
          <a:extLst>
            <a:ext uri="{FF2B5EF4-FFF2-40B4-BE49-F238E27FC236}">
              <a16:creationId xmlns:a16="http://schemas.microsoft.com/office/drawing/2014/main" id="{77174E5F-146B-495B-A026-07CFDEFA3C96}"/>
            </a:ext>
            <a:ext uri="{147F2762-F138-4A5C-976F-8EAC2B608ADB}">
              <a16:predDERef xmlns:a16="http://schemas.microsoft.com/office/drawing/2014/main" pred="{51CA35C7-827D-939C-83F5-50EC441AF788}"/>
            </a:ext>
          </a:extLst>
        </xdr:cNvPr>
        <xdr:cNvPicPr>
          <a:picLocks noChangeAspect="1"/>
        </xdr:cNvPicPr>
      </xdr:nvPicPr>
      <xdr:blipFill>
        <a:blip xmlns:r="http://schemas.openxmlformats.org/officeDocument/2006/relationships" r:embed="rId1"/>
        <a:stretch>
          <a:fillRect/>
        </a:stretch>
      </xdr:blipFill>
      <xdr:spPr>
        <a:xfrm>
          <a:off x="477948" y="17446754"/>
          <a:ext cx="10620168" cy="2308207"/>
        </a:xfrm>
        <a:prstGeom prst="rect">
          <a:avLst/>
        </a:prstGeom>
      </xdr:spPr>
    </xdr:pic>
    <xdr:clientData/>
  </xdr:twoCellAnchor>
  <xdr:twoCellAnchor editAs="oneCell">
    <xdr:from>
      <xdr:col>9</xdr:col>
      <xdr:colOff>676275</xdr:colOff>
      <xdr:row>106</xdr:row>
      <xdr:rowOff>104775</xdr:rowOff>
    </xdr:from>
    <xdr:to>
      <xdr:col>14</xdr:col>
      <xdr:colOff>10664</xdr:colOff>
      <xdr:row>120</xdr:row>
      <xdr:rowOff>82959</xdr:rowOff>
    </xdr:to>
    <xdr:pic>
      <xdr:nvPicPr>
        <xdr:cNvPr id="13" name="Picture 12">
          <a:extLst>
            <a:ext uri="{FF2B5EF4-FFF2-40B4-BE49-F238E27FC236}">
              <a16:creationId xmlns:a16="http://schemas.microsoft.com/office/drawing/2014/main" id="{0D7DDE06-1E4C-4D3E-8076-EC5B79FE80B5}"/>
            </a:ext>
          </a:extLst>
        </xdr:cNvPr>
        <xdr:cNvPicPr>
          <a:picLocks noChangeAspect="1"/>
        </xdr:cNvPicPr>
      </xdr:nvPicPr>
      <xdr:blipFill>
        <a:blip xmlns:r="http://schemas.openxmlformats.org/officeDocument/2006/relationships" r:embed="rId2"/>
        <a:stretch>
          <a:fillRect/>
        </a:stretch>
      </xdr:blipFill>
      <xdr:spPr>
        <a:xfrm>
          <a:off x="11668125" y="11249025"/>
          <a:ext cx="4105275" cy="2245131"/>
        </a:xfrm>
        <a:prstGeom prst="rect">
          <a:avLst/>
        </a:prstGeom>
      </xdr:spPr>
    </xdr:pic>
    <xdr:clientData/>
  </xdr:twoCellAnchor>
  <xdr:twoCellAnchor>
    <xdr:from>
      <xdr:col>1</xdr:col>
      <xdr:colOff>25400</xdr:colOff>
      <xdr:row>156</xdr:row>
      <xdr:rowOff>39687</xdr:rowOff>
    </xdr:from>
    <xdr:to>
      <xdr:col>2</xdr:col>
      <xdr:colOff>2247900</xdr:colOff>
      <xdr:row>173</xdr:row>
      <xdr:rowOff>17462</xdr:rowOff>
    </xdr:to>
    <xdr:graphicFrame macro="">
      <xdr:nvGraphicFramePr>
        <xdr:cNvPr id="15" name="Chart 14">
          <a:extLst>
            <a:ext uri="{FF2B5EF4-FFF2-40B4-BE49-F238E27FC236}">
              <a16:creationId xmlns:a16="http://schemas.microsoft.com/office/drawing/2014/main" id="{67E34AD1-9188-E23D-6B38-06FEA70D2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156</xdr:row>
      <xdr:rowOff>26987</xdr:rowOff>
    </xdr:from>
    <xdr:to>
      <xdr:col>7</xdr:col>
      <xdr:colOff>930275</xdr:colOff>
      <xdr:row>173</xdr:row>
      <xdr:rowOff>11112</xdr:rowOff>
    </xdr:to>
    <xdr:graphicFrame macro="">
      <xdr:nvGraphicFramePr>
        <xdr:cNvPr id="17" name="Chart 16">
          <a:extLst>
            <a:ext uri="{FF2B5EF4-FFF2-40B4-BE49-F238E27FC236}">
              <a16:creationId xmlns:a16="http://schemas.microsoft.com/office/drawing/2014/main" id="{BED1DC75-28F2-9DCE-5BB2-31BEB607F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617468</xdr:colOff>
      <xdr:row>54</xdr:row>
      <xdr:rowOff>151993</xdr:rowOff>
    </xdr:from>
    <xdr:to>
      <xdr:col>5</xdr:col>
      <xdr:colOff>770283</xdr:colOff>
      <xdr:row>77</xdr:row>
      <xdr:rowOff>140350</xdr:rowOff>
    </xdr:to>
    <xdr:graphicFrame macro="">
      <xdr:nvGraphicFramePr>
        <xdr:cNvPr id="11" name="Chart 4">
          <a:extLst>
            <a:ext uri="{FF2B5EF4-FFF2-40B4-BE49-F238E27FC236}">
              <a16:creationId xmlns:a16="http://schemas.microsoft.com/office/drawing/2014/main" id="{55CDA1BF-8BA8-49F9-A193-F4D1606C059D}"/>
            </a:ext>
            <a:ext uri="{147F2762-F138-4A5C-976F-8EAC2B608ADB}">
              <a16:predDERef xmlns:a16="http://schemas.microsoft.com/office/drawing/2014/main" pred="{BED1DC75-28F2-9DCE-5BB2-31BEB607F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hdisegutl.sharepoint.com/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DAVID FILIPE DE SOUSA TITA" id="{6D2C5BD9-1C3E-4972-9F97-1CA81A3CC14E}" userId="S::david.tita@aln.iseg.ulisboa.pt::2b554b1a-dfdf-4fc2-8414-05963e9f059c"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8">
  <rv s="0">
    <v>https://www.bing.com/financeapi/forcetrigger?t=a23rm7&amp;q=XNYS%3aSTZ&amp;form=skydnc</v>
    <v>Learn more on Bing</v>
  </rv>
  <rv s="1">
    <v>en</v>
    <v>a23rm7</v>
    <v>268435456</v>
    <v>1</v>
    <v>6</v>
    <v>Powered by Refinitiv</v>
    <v>0</v>
    <v>CONSTELLATION BRANDS, INC. (XNYS:STZ)</v>
    <v>2</v>
    <v>3</v>
    <v>Finance</v>
    <v>4</v>
    <v>274.87</v>
    <v>227.5</v>
    <v>0.87339999999999995</v>
    <v>-0.28000000000000003</v>
    <v>-1.127E-3</v>
    <v>USD</v>
    <v>Constellation Brands, Inc. is a producer and marketer of beer, wine, and spirits with operations in the United States, Mexico, New Zealand, and Italy with brands, such as Corona Extra, Modelo Especial, Robert Mondavi Winery, Kim Crawford, Meiomi, The Prisoner Wine Company, High West, Casa Noble, and Mi CAMPO. Its segments include Beer, Wine and Spirits, and Corporate Operations and Other. In the Beer segment, its portfolio consists of high-end imported beer brands and ABAs. It has a perpetual brand license to produce its Mexican beer portfolio and to import, market, and sell such portfolio in the United States. In the Wine and Spirits segment, it sells a portfolio that includes higher-end wine brands complemented by certain higher-end spirits brands. Its Corporate Operations and Other segment consist of costs of corporate development, corporate finance, corporate strategy, executive management, growth, human resources, internal audit, investor relations, IT, legal and public relations.</v>
    <v>10600</v>
    <v>New York Stock Exchange</v>
    <v>XNYS</v>
    <v>XNYS</v>
    <v>50 East Broad Street, ROCHESTER, NY, 14614 US</v>
    <v>249.04</v>
    <v>Beverages</v>
    <v>Stock</v>
    <v>45555.588529108594</v>
    <v>0</v>
    <v>247.58</v>
    <v>45214687908</v>
    <v>CONSTELLATION BRANDS, INC.</v>
    <v>CONSTELLATION BRANDS, INC.</v>
    <v>248.05</v>
    <v>18.504000000000001</v>
    <v>248.45</v>
    <v>248.17</v>
    <v>182192400</v>
    <v>STZ</v>
    <v>CONSTELLATION BRANDS, INC. (XNYS:STZ)</v>
    <v>225968</v>
    <v>1032451</v>
    <v>1972</v>
  </rv>
  <rv s="2">
    <v>1</v>
  </rv>
  <rv s="0">
    <v>https://www.bing.com/financeapi/forcetrigger?t=a23xz2&amp;q=XNYS%3aTAP&amp;form=skydnc</v>
    <v>Learn more on Bing</v>
  </rv>
  <rv s="3">
    <v>pt-BR</v>
    <v>a23xz2</v>
    <v>268435456</v>
    <v>1</v>
    <v>6</v>
    <v>Da plataforma Refinitiv</v>
    <v>5</v>
    <v>6</v>
    <v>MOLSON COORS BEVERAGE COMPANY (XNYS:TAP)</v>
    <v>2</v>
    <v>7</v>
    <v>Finance</v>
    <v>8</v>
    <v>69.180000000000007</v>
    <v>49.19</v>
    <v>XNYS</v>
    <v>195190700</v>
    <v>-5.2789999999999998E-4</v>
    <v>-0.03</v>
    <v>57.08</v>
    <v>2003</v>
    <v>55.7</v>
    <v>0.81530000000000002</v>
    <v>New York Stock Exchange</v>
    <v>10809450000</v>
    <v>A Molson Coors Beverage Company, anteriormente conhecida como Molson Coors Brewing Company, é uma holding. A empresa atua como cervejaria. Os segmentos da empresa incluem MillerCoors LLC (segmento dos Estados Unidos), operando nos Estados Unidos; Molson Coors Canada (segmento Canadá), operando no Canadá; Molson Coors Europe (segmento Europa), operando na Bulgária, Croácia, República Tcheca, Hungria, Montenegro, República da Irlanda, Romênia, Sérvia, Reino Unido e vários outros países europeus; Molson Coors International (segmento Molson Coors International), com atuação em vários outros países, e Corporate. A empresa fabrica, comercializa, vende e distribui uma variedade de marcas de cerveja. A empresa oferece um portfólio de marcas próprias e de parceiros, incluindo Carling, Coors Light, Miller Lite, Molson Canadian e Staropramen, bem como cervejas artesanais e especiais, como as marcas Blue Moon Brewing Company, as marcas Jacob Leinenkugel Brewing Company, Creemore Springs, Cobra e Doom Bar.</v>
    <v>XNYS</v>
    <v>55.34</v>
    <v>16500</v>
    <v>45562.983170682812</v>
    <v>3</v>
    <v>2054932</v>
    <v>USD</v>
    <v>MOLSON COORS BEVERAGE COMPANY</v>
    <v>MOLSON COORS BEVERAGE COMPANY</v>
    <v>10.4237</v>
    <v>55.82</v>
    <v>56.83</v>
    <v>56.8</v>
    <v>P.O. Box 4030, Bc555, GOLDEN, CO, 80401 US</v>
    <v>Beverages</v>
    <v>TAP</v>
    <v>Ações</v>
    <v>MOLSON COORS BEVERAGE COMPANY (XNYS:TAP)</v>
    <v>1.49</v>
    <v>2.6924E-2</v>
    <v>2464568</v>
  </rv>
  <rv s="2">
    <v>4</v>
  </rv>
  <rv s="0">
    <v>https://www.bing.com/financeapi/forcetrigger?t=a1qwoc&amp;q=XNYS%3aDEO&amp;form=skydnc</v>
    <v>Learn more on Bing</v>
  </rv>
  <rv s="4">
    <v>pt-BR</v>
    <v>a1qwoc</v>
    <v>268435456</v>
    <v>1</v>
    <v>6</v>
    <v>Da plataforma Refinitiv</v>
    <v>9</v>
    <v>10</v>
    <v>DIAGEO PLC (XNYS:DEO)</v>
    <v>2</v>
    <v>11</v>
    <v>Finance</v>
    <v>12</v>
    <v>161.63999999999999</v>
    <v>119.48</v>
    <v>XNYS</v>
    <v>555856300</v>
    <v>142.72</v>
    <v>1886</v>
    <v>140.88999999999999</v>
    <v>0.69530000000000003</v>
    <v>New York Stock Exchange</v>
    <v>77448710000</v>
    <v>A Diageo PLC é uma empresa de bebidas alcoólicas. A Companhia atua em várias categorias, incluindo bebidas espirituosas e cerveja. Seus segmentos geográficos incluem América do Norte; Europa, Rússia e Turquia; África; América Latina e Caribe e Ásia-Pacífico. Seus principais produtos incluem uísque escocês, gim, vodka, rum, cerveja, licor de creme irlandês, vinho, raki, tequila, uísque canadense, uísque americano, bebidas progressivas para adultos, cachaça, conhaque e pronto para beber. Ele gerencia suas operações a partir de vários locais, incluindo o Reino Unido; Ele gerencia suas operações a partir de vários locais, incluindo o Reino Unido; Itália; Peru; os Estados Unidos; Canadá; Brasil; México; Austrália; Cingapura; Índia; Nigéria; África do Sul; Mercados regionais da África Oriental e da África. Também produz uma variedade de produtos prontos para beber, principalmente no Reino Unido, Itália, África do Sul, Austrália, Estados Unidos e Canadá.</v>
    <v>XNYS</v>
    <v>140.34</v>
    <v>30092</v>
    <v>45562.702652777341</v>
    <v>6</v>
    <v>858898</v>
    <v>USD</v>
    <v>DIAGEO PLC</v>
    <v>DIAGEO PLC</v>
    <v>17.5777</v>
    <v>141.28</v>
    <v>141.56</v>
    <v>16 Great Marlborough Street, LONDON, UNITED KINGDOM-NA, W1F 7HS GB</v>
    <v>Beverages</v>
    <v>DEO</v>
    <v>Ações</v>
    <v>DIAGEO PLC (XNYS:DEO)</v>
    <v>1.22</v>
    <v>8.6929999999999993E-3</v>
    <v>429649</v>
  </rv>
  <rv s="2">
    <v>7</v>
  </rv>
  <rv s="0">
    <v>https://www.bing.com/financeapi/forcetrigger?t=ae9w8m&amp;q=XPAR%3aRI&amp;form=skydnc</v>
    <v>Learn more on Bing</v>
  </rv>
  <rv s="4">
    <v>pt-BR</v>
    <v>ae9w8m</v>
    <v>268435456</v>
    <v>1</v>
    <v>6</v>
    <v>Da plataforma Refinitiv</v>
    <v>9</v>
    <v>10</v>
    <v>Pernod Ricard (XPAR:RI)</v>
    <v>2</v>
    <v>13</v>
    <v>Finance</v>
    <v>14</v>
    <v>175.3</v>
    <v>119.95</v>
    <v>XPAR</v>
    <v>253328800</v>
    <v>139.69999999999999</v>
    <v>1958</v>
    <v>137.55000000000001</v>
    <v>0.5393</v>
    <v>Euronext Paris</v>
    <v>34680710000</v>
    <v>Pernod Ricard SA is a France-based worldwide producer of wines and spirits. It operates through three geographical segments: America, Europe, and Asia/Rest of the World. The Company holds a portfolio of brands, including Absolut Vodka, Ricard pastis, Ballantine’s, Chivas Regal, Royal Salute, and The Glenlivet Scotch whiskies, Jameson Irish whiskey, Martell cognac, Havana Club rum, Beefeater gin, Malibu liqueur, Mumm and Perrier-Jouet champagnes, as well Jacob’s Creek, Brancott Estate, Campo Viejo, and Kenwood wines, among others.</v>
    <v>XPAR</v>
    <v>136.9</v>
    <v>19557</v>
    <v>45562.668692129628</v>
    <v>9</v>
    <v>532130</v>
    <v>EUR</v>
    <v>Pernod Ricard</v>
    <v>Pernod Ricard</v>
    <v>23.449000000000002</v>
    <v>137.55000000000001</v>
    <v>139.69999999999999</v>
    <v>5 Cours Paul Ricard, Paris Cedex 08, PARIS, ILE-DE-FRANCE, 75380 FR</v>
    <v>Beverages</v>
    <v>RI</v>
    <v>Ações</v>
    <v>Pernod Ricard (XPAR:RI)</v>
    <v>2.8</v>
    <v>2.0453000000000002E-2</v>
    <v>636798</v>
  </rv>
  <rv s="2">
    <v>10</v>
  </rv>
  <rv s="0">
    <v>https://www.bing.com/financeapi/forcetrigger?t=a1oz3m&amp;q=XNYS%3aBUD&amp;form=skydnc</v>
    <v>Learn more on Bing</v>
  </rv>
  <rv s="5">
    <v>pt-BR</v>
    <v>a1oz3m</v>
    <v>268435456</v>
    <v>1</v>
    <v>6</v>
    <v>Da plataforma Refinitiv</v>
    <v>15</v>
    <v>16</v>
    <v>Anheuser-Busch Inbev SA (XNYS:BUD)</v>
    <v>2</v>
    <v>17</v>
    <v>Finance</v>
    <v>12</v>
    <v>67.489999999999995</v>
    <v>51.66</v>
    <v>XNYS</v>
    <v>1797198000</v>
    <v>66.650000000000006</v>
    <v>66.19</v>
    <v>1.0952999999999999</v>
    <v>New York Stock Exchange</v>
    <v>117157700000</v>
    <v>A Anheuser-Busch Inbev SA é uma empresa sediada na Bélgica. A Companhia tem como atividade principal a fabricação de cerveja. A Companhia opera em sete segmentos: América do Norte, México, América Latina Norte, América Latina Sul, Europa, Ásia-Pacífico e Exportação Global e Holdings. O portfólio de marcas da Companhia inclui marcas globais, como as Budweiser, Corona e Stella Artois; marcas internacionais, incluindo as Beck's, Leffe e Hoegaarden, e campeãs locais, como as Bud Light, Skol, Brahma, Antarctica, Quilmes, Victoria, Modelo Especial, Michelob Ultra, Harbin, Sedrin, Klinskoye, Sibirskaya Korona, Chernigivske, Cass e Jupiler. O negócio de refrigerantes da Companhia consiste em sua produção própria e acordos com a PepsiCo relacionados a acordos de engarrafamento e distribuição entre suas várias subsidiárias e a PepsiCo. A Ambev, que é uma subsidiária da Companhia, é uma engarrafadora da PepsiCo. As marcas que são distribuídas sob esses acordos são as Pepsi, 7UP e Gatorade.</v>
    <v>XNYS</v>
    <v>65.52</v>
    <v>154540</v>
    <v>45562.703001967187</v>
    <v>12</v>
    <v>930377</v>
    <v>USD</v>
    <v>Anheuser-Busch Inbev SA</v>
    <v>Anheuser-Busch Inbev SA</v>
    <v>28.319900000000001</v>
    <v>66.37</v>
    <v>66.275000000000006</v>
    <v>Brouwerijplein 1B, LEUVEN (LOUVAIN), VLAAMS-BRABANT, 3000 BE</v>
    <v>Beverages</v>
    <v>BUD</v>
    <v>Ações</v>
    <v>Anheuser-Busch Inbev SA (XNYS:BUD)</v>
    <v>0.755</v>
    <v>1.1523E-2</v>
    <v>583518</v>
  </rv>
  <rv s="2">
    <v>13</v>
  </rv>
  <rv s="0">
    <v>https://www.bing.com/financeapi/forcetrigger?t=a1odxm&amp;q=XNYS%3aBF.B&amp;form=skydnc</v>
    <v>Learn more on Bing</v>
  </rv>
  <rv s="4">
    <v>pt-BR</v>
    <v>a1odxm</v>
    <v>268435456</v>
    <v>1</v>
    <v>6</v>
    <v>Da plataforma Refinitiv</v>
    <v>9</v>
    <v>10</v>
    <v>BROWN-FORMAN CORPORATION (XNYS:BF.B)</v>
    <v>2</v>
    <v>11</v>
    <v>Finance</v>
    <v>12</v>
    <v>60.97</v>
    <v>41.42</v>
    <v>XNYS</v>
    <v>472660600</v>
    <v>48.72</v>
    <v>1933</v>
    <v>47.984999999999999</v>
    <v>0.74990000000000001</v>
    <v>New York Stock Exchange</v>
    <v>22288280000</v>
    <v>A Brown-Forman Corporation é uma empresa de destilados e vinhos. A empresa fabrica, engarrafa, importa, exporta, comercializa e vende uma variedade de bebidas alcoólicas. A empresa possui um portfólio de aproximadamente 40 marcas de destilados, vinhos e coquetéis prontos para beber (RTD). Suas principais marcas incluem Jack Daniel's Tennessee Whiskey, Jack Daniel's RTDs, Jack Daniel's Tennessee Honey, Gentleman Jack Rare Tennessee Whiskey, Jack Daniel's Tennessee Fire, Jack Daniel's Single Barrel Collection, Jack Daniel's Sinatra Select, Jack Daniel's Winter Jack, Jack Daniel's No. 27 Gold Tennessee Whiskey, Finlandia Vodkas, Finlandia RTDs, Korbel California Brandy, Woodford Reserve Kentucky Bourbons, el Jimador Tequilas, el Jimador New Mix RTDs, Herradura Tequilas, Sonoma-Cutrer California Wines, Chambord Liqueur, Old Forester Kentucky Bourbon, Antiguo Tequila, Pepe Lopez Tequila e Santa Dose Cachaca.</v>
    <v>XNYS</v>
    <v>47.57</v>
    <v>5700</v>
    <v>45562.703283471878</v>
    <v>15</v>
    <v>2590386</v>
    <v>USD</v>
    <v>BROWN-FORMAN CORPORATION</v>
    <v>BROWN-FORMAN CORPORATION</v>
    <v>22.899100000000001</v>
    <v>48.07</v>
    <v>48.265000000000001</v>
    <v>850 DIXIE HWY, LOUISVILLE, KY, 40210 US</v>
    <v>Beverages</v>
    <v>BF.B</v>
    <v>Ações</v>
    <v>BROWN-FORMAN CORPORATION (XNYS:BF.B)</v>
    <v>0.69499999999999995</v>
    <v>1.4610000000000001E-2</v>
    <v>527297</v>
  </rv>
  <rv s="2">
    <v>16</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OutdatedReason" t="i"/>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core">
    <k n="%EntityCulture" t="s"/>
    <k n="%EntityId" t="s"/>
    <k n="%EntityServiceId"/>
    <k n="%IsRefreshable" t="b"/>
    <k n="%OutdatedReason" t="i"/>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OutdatedReason" t="i"/>
    <k n="%ProviderInfo" t="s"/>
    <k n="_CanonicalPropertyNames" t="spb"/>
    <k n="_Display" t="spb"/>
    <k n="_DisplayString" t="s"/>
    <k n="_Flags" t="spb"/>
    <k n="_Format" t="spb"/>
    <k n="_Icon" t="s"/>
    <k n="_SubLabel" t="spb"/>
    <k n="52 semanas de alta"/>
    <k n="52 semanas de baixa"/>
    <k n="Abreviatura do câmbio" t="s"/>
    <k n="Ações em circulação"/>
    <k n="Alt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rvStructures>
</file>

<file path=xl/richData/rdsupportingpropertybag.xml><?xml version="1.0" encoding="utf-8"?>
<supportingPropertyBags xmlns="http://schemas.microsoft.com/office/spreadsheetml/2017/richdata2">
  <spbArrays count="4">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47">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v t="s">%OutdatedReason</v>
    </a>
    <a count="44">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v t="s">%OutdatedReason</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_Flags</v>
      <v t="s">UniqueName</v>
      <v t="s">_DisplayString</v>
      <v t="s">LearnMoreOnLink</v>
      <v t="s">ExchangeID</v>
      <v t="s">%ProviderInfo</v>
      <v t="s">%OutdatedReason</v>
    </a>
  </spbArrays>
  <spbData count="18">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0">
      <v>1</v>
      <v>Name</v>
      <v>LearnMoreOnLink</v>
    </spb>
    <spb s="6">
      <v>2</v>
      <v>1</v>
      <v>2</v>
      <v>3</v>
      <v>1</v>
      <v>1</v>
      <v>4</v>
      <v>1</v>
      <v>1</v>
      <v>4</v>
      <v>5</v>
      <v>4</v>
      <v>9</v>
      <v>1</v>
      <v>1</v>
      <v>8</v>
      <v>4</v>
      <v>1</v>
      <v>6</v>
      <v>7</v>
      <v>1</v>
      <v>1</v>
      <v>5</v>
    </spb>
    <spb s="7">
      <v xml:space="preserve">no fechamento </v>
      <v xml:space="preserve">do fechamento anterior </v>
      <v>Origem : Nasdaq</v>
      <v xml:space="preserve">do fechamento anterior </v>
      <v>GMT</v>
      <v>Atraso de 15 minutos</v>
      <v xml:space="preserve">do fechamento </v>
      <v xml:space="preserve">do fechamento </v>
    </spb>
    <spb s="8">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0">
      <v>2</v>
      <v>Name</v>
      <v>LearnMoreOnLink</v>
    </spb>
    <spb s="9">
      <v>2</v>
      <v>1</v>
      <v>2</v>
      <v>3</v>
      <v>1</v>
      <v>1</v>
      <v>4</v>
      <v>1</v>
      <v>1</v>
      <v>4</v>
      <v>5</v>
      <v>4</v>
      <v>9</v>
      <v>1</v>
      <v>1</v>
      <v>8</v>
      <v>4</v>
      <v>1</v>
      <v>6</v>
      <v>7</v>
    </spb>
    <spb s="10">
      <v>Tempo Real Nasdaq Última venda</v>
      <v xml:space="preserve">do fechamento anterior </v>
      <v>Origem : Nasdaq Última venda</v>
      <v xml:space="preserve">do fechamento anterior </v>
      <v>GMT</v>
    </spb>
    <spb s="9">
      <v>2</v>
      <v>10</v>
      <v>2</v>
      <v>3</v>
      <v>10</v>
      <v>10</v>
      <v>4</v>
      <v>10</v>
      <v>10</v>
      <v>4</v>
      <v>5</v>
      <v>4</v>
      <v>9</v>
      <v>10</v>
      <v>10</v>
      <v>8</v>
      <v>4</v>
      <v>10</v>
      <v>11</v>
      <v>7</v>
    </spb>
    <spb s="11">
      <v>Atraso de 15 minutos</v>
      <v xml:space="preserve">do fechamento anterior </v>
      <v xml:space="preserve">do fechamento anterior </v>
      <v>GMT</v>
    </spb>
    <spb s="12">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Shares outstanding</v>
      <v>Previous close</v>
      <v>Instrument type</v>
      <v>Exchange abbreviation</v>
      <v>Market cap</v>
      <v>Last trade time</v>
    </spb>
    <spb s="0">
      <v>3</v>
      <v>Name</v>
      <v>LearnMoreOnLink</v>
    </spb>
    <spb s="13">
      <v>2</v>
      <v>1</v>
      <v>2</v>
      <v>3</v>
      <v>1</v>
      <v>1</v>
      <v>4</v>
      <v>1</v>
      <v>1</v>
      <v>4</v>
      <v>5</v>
      <v>4</v>
      <v>9</v>
      <v>1</v>
      <v>1</v>
      <v>4</v>
      <v>1</v>
      <v>6</v>
      <v>7</v>
    </spb>
  </spbData>
</supportingPropertyBags>
</file>

<file path=xl/richData/rdsupportingpropertybagstructure.xml><?xml version="1.0" encoding="utf-8"?>
<spbStructures xmlns="http://schemas.microsoft.com/office/spreadsheetml/2017/richdata2" count="14">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ExchangeID" t="s"/>
    <k n="Variação (%)" t="s"/>
    <k n="Hora da última transação" t="s"/>
    <k n="Preço (Horário prolongado)" t="s"/>
    <k n="Alteração (Horário prolongado)" t="s"/>
    <k n="Alteração % (Horário prolongad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Preço" t="s"/>
    <k n="Variação" t="s"/>
    <k n="Variação (%)" t="s"/>
    <k n="Hora da última transaçã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ções em circulação" t="i"/>
    <k n="Fechamento anterior" t="i"/>
    <k n="Capitalização de mercado" t="i"/>
    <k n="Hora da última transação"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14" formatCode="0.00%"/>
    </x:dxf>
    <x:dxf>
      <x:numFmt numFmtId="0" formatCode="General"/>
    </x:dxf>
    <x:dxf>
      <x:numFmt numFmtId="27" formatCode="dd/mm/yyyy\ hh:mm"/>
    </x:dxf>
    <x:dxf>
      <x:numFmt numFmtId="2"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0"/>
    <rSty dxfid="1">
      <rpv i="0">_([$$-en-US]* #,##0_);_([$$-en-US]* (#,##0);_([$$-en-US]* "-"_);_(@_)</rpv>
    </rSty>
    <rSty dxfid="2"/>
    <rSty dxfid="6">
      <rpv i="0">0</rpv>
    </rSty>
    <rSty dxfid="3">
      <rpv i="0">0.00</rpv>
    </rSty>
    <rSty dxfid="1">
      <rpv i="0">_([$€-x-euro2] * #,##0.00_);_([$€-x-euro2] * (#,##0.00);_([$€-x-euro2] * "-"??_);_(@_)</rpv>
    </rSty>
    <rSty dxfid="1">
      <rpv i="0">_([$€-x-euro2] * #,##0_);_([$€-x-euro2] * (#,##0);_([$€-x-euro2] * "-"_);_(@_)</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straitsresearch.com/report/alcoholic-beverages-market" TargetMode="External"/><Relationship Id="rId7" Type="http://schemas.openxmlformats.org/officeDocument/2006/relationships/comments" Target="../comments2.xml"/><Relationship Id="rId2" Type="http://schemas.openxmlformats.org/officeDocument/2006/relationships/hyperlink" Target="https://www.marketsandata.com/industry-reports/united-states-alcoholic-beverages-market" TargetMode="External"/><Relationship Id="rId1" Type="http://schemas.openxmlformats.org/officeDocument/2006/relationships/hyperlink" Target="https://www.grandviewresearch.com/industry-analysis/alcoholic-drinks-market-report"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https://www.cbrands.com/blogs/news/constellation-brands-updates-fiscal-2025-outlook"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8"/>
  <sheetViews>
    <sheetView showGridLines="0" topLeftCell="A68" zoomScale="81" zoomScaleNormal="55" workbookViewId="0">
      <selection activeCell="E72" sqref="E72"/>
    </sheetView>
  </sheetViews>
  <sheetFormatPr defaultColWidth="11.453125" defaultRowHeight="12.5"/>
  <cols>
    <col min="1" max="1" width="0.453125" customWidth="1"/>
    <col min="2" max="2" width="25.1796875" customWidth="1"/>
    <col min="3" max="3" width="23.453125" customWidth="1"/>
    <col min="4" max="4" width="32" customWidth="1"/>
    <col min="5" max="5" width="20.453125" bestFit="1" customWidth="1"/>
    <col min="6" max="6" width="16.7265625" customWidth="1"/>
    <col min="7" max="7" width="13.453125" bestFit="1" customWidth="1"/>
    <col min="8" max="8" width="24.7265625" customWidth="1"/>
    <col min="9" max="9" width="17.26953125" customWidth="1"/>
    <col min="10" max="10" width="10.453125" customWidth="1"/>
    <col min="11" max="11" width="13.7265625" customWidth="1"/>
    <col min="12" max="12" width="20.7265625" bestFit="1" customWidth="1"/>
    <col min="13" max="13" width="31" customWidth="1"/>
    <col min="17" max="17" width="13.453125" bestFit="1" customWidth="1"/>
  </cols>
  <sheetData>
    <row r="1" spans="2:13" ht="3.75" customHeight="1" thickBot="1"/>
    <row r="2" spans="2:13" ht="22.5" customHeight="1">
      <c r="B2" s="638" t="s">
        <v>0</v>
      </c>
      <c r="C2" s="639" t="s">
        <v>1</v>
      </c>
      <c r="D2" s="650" t="s">
        <v>2</v>
      </c>
      <c r="E2" s="1117" t="e" vm="1">
        <f>Inputs!I3</f>
        <v>#VALUE!</v>
      </c>
      <c r="F2" s="1118"/>
      <c r="G2" s="1118"/>
      <c r="H2" s="1118"/>
      <c r="I2" s="1118"/>
      <c r="J2" s="1118"/>
      <c r="K2" s="1119"/>
      <c r="L2" s="640" t="str" cm="1">
        <f t="array" aca="1" ref="L2" ca="1">_FV(E2,"Exchange")</f>
        <v>New York Stock Exchange</v>
      </c>
      <c r="M2" s="641" t="s">
        <v>3</v>
      </c>
    </row>
    <row r="3" spans="2:13" ht="26.25" customHeight="1">
      <c r="B3" s="1203"/>
      <c r="C3" s="1204"/>
      <c r="D3" s="1128" t="s">
        <v>4</v>
      </c>
      <c r="E3" s="1128"/>
      <c r="F3" s="1128"/>
      <c r="G3" s="1128"/>
      <c r="H3" s="1129" t="s">
        <v>5</v>
      </c>
      <c r="I3" s="1129"/>
      <c r="J3" s="1130"/>
      <c r="K3" s="1130"/>
      <c r="L3" s="1129"/>
      <c r="M3" s="1131"/>
    </row>
    <row r="4" spans="2:13" ht="13">
      <c r="B4" s="1205"/>
      <c r="C4" s="1206"/>
      <c r="D4" s="1127" t="str" cm="1">
        <f t="array" aca="1" ref="D4" ca="1">_FV(Inputs!I3,"Description")</f>
        <v>Constellation Brands, Inc. is a producer and marketer of beer, wine, and spirits with operations in the United States, Mexico, New Zealand, and Italy with brands, such as Corona Extra, Modelo Especial, Robert Mondavi Winery, Kim Crawford, Meiomi, The Prisoner Wine Company, High West, Casa Noble, and Mi CAMPO. Its segments include Beer, Wine and Spirits, and Corporate Operations and Other. In the Beer segment, its portfolio consists of high-end imported beer brands and ABAs. It has a perpetual brand license to produce its Mexican beer portfolio and to import, market, and sell such portfolio in the United States. In the Wine and Spirits segment, it sells a portfolio that includes higher-end wine brands complemented by certain higher-end spirits brands. Its Corporate Operations and Other segment consist of costs of corporate development, corporate finance, corporate strategy, executive management, growth, human resources, internal audit, investor relations, IT, legal and public relations.</v>
      </c>
      <c r="E4" s="1127"/>
      <c r="F4" s="1127"/>
      <c r="G4" s="1127"/>
      <c r="H4" s="97" t="s">
        <v>6</v>
      </c>
      <c r="I4" s="637" t="s">
        <v>7</v>
      </c>
      <c r="J4" s="1122" t="s">
        <v>8</v>
      </c>
      <c r="K4" s="1224"/>
      <c r="L4" s="1222" t="s">
        <v>9</v>
      </c>
      <c r="M4" s="1223"/>
    </row>
    <row r="5" spans="2:13" ht="19.5" customHeight="1">
      <c r="B5" s="1205"/>
      <c r="C5" s="1206"/>
      <c r="D5" s="1127"/>
      <c r="E5" s="1127"/>
      <c r="F5" s="1127"/>
      <c r="G5" s="1127"/>
      <c r="H5" s="98" t="s">
        <v>10</v>
      </c>
      <c r="I5" s="330" t="s">
        <v>11</v>
      </c>
      <c r="J5" s="1082" t="s">
        <v>12</v>
      </c>
      <c r="K5" s="1083"/>
      <c r="L5" s="1084" t="s">
        <v>13</v>
      </c>
      <c r="M5" s="1137"/>
    </row>
    <row r="6" spans="2:13" ht="12.75" customHeight="1">
      <c r="B6" s="1205"/>
      <c r="C6" s="1206"/>
      <c r="D6" s="1127"/>
      <c r="E6" s="1127"/>
      <c r="F6" s="1127"/>
      <c r="G6" s="1127"/>
      <c r="H6" s="98" t="s">
        <v>14</v>
      </c>
      <c r="I6" s="330" t="s">
        <v>11</v>
      </c>
      <c r="J6" s="1082" t="s">
        <v>15</v>
      </c>
      <c r="K6" s="1083"/>
      <c r="L6" s="1084" t="s">
        <v>16</v>
      </c>
      <c r="M6" s="1137"/>
    </row>
    <row r="7" spans="2:13" ht="14.25" customHeight="1">
      <c r="B7" s="1205"/>
      <c r="C7" s="1206"/>
      <c r="D7" s="1127"/>
      <c r="E7" s="1127"/>
      <c r="F7" s="1127"/>
      <c r="G7" s="1127"/>
      <c r="H7" s="659" t="s">
        <v>17</v>
      </c>
      <c r="I7" s="330" t="s">
        <v>18</v>
      </c>
      <c r="J7" s="1082" t="s">
        <v>19</v>
      </c>
      <c r="K7" s="1083"/>
      <c r="L7" s="1084" t="s">
        <v>20</v>
      </c>
      <c r="M7" s="1137"/>
    </row>
    <row r="8" spans="2:13" ht="25.5" customHeight="1">
      <c r="B8" s="1205"/>
      <c r="C8" s="1206"/>
      <c r="D8" s="1127"/>
      <c r="E8" s="1127"/>
      <c r="F8" s="1127"/>
      <c r="G8" s="1127"/>
      <c r="H8" s="659" t="s">
        <v>21</v>
      </c>
      <c r="I8" s="330" t="s">
        <v>18</v>
      </c>
      <c r="J8" s="1082" t="s">
        <v>19</v>
      </c>
      <c r="K8" s="1083"/>
      <c r="L8" s="1084" t="s">
        <v>22</v>
      </c>
      <c r="M8" s="1137"/>
    </row>
    <row r="9" spans="2:13">
      <c r="B9" s="1205"/>
      <c r="C9" s="1206"/>
      <c r="D9" s="1127"/>
      <c r="E9" s="1127"/>
      <c r="F9" s="1127"/>
      <c r="G9" s="1127"/>
      <c r="H9" s="98" t="s">
        <v>23</v>
      </c>
      <c r="I9" s="330" t="s">
        <v>11</v>
      </c>
      <c r="J9" s="1084" t="s">
        <v>19</v>
      </c>
      <c r="K9" s="1085"/>
      <c r="L9" s="1084" t="s">
        <v>24</v>
      </c>
      <c r="M9" s="1137"/>
    </row>
    <row r="10" spans="2:13" ht="33" customHeight="1">
      <c r="B10" s="1205"/>
      <c r="C10" s="1206"/>
      <c r="D10" s="1127"/>
      <c r="E10" s="1127"/>
      <c r="F10" s="1127"/>
      <c r="G10" s="1127"/>
      <c r="H10" s="659" t="s">
        <v>25</v>
      </c>
      <c r="I10" s="330" t="s">
        <v>11</v>
      </c>
      <c r="J10" s="1084" t="s">
        <v>19</v>
      </c>
      <c r="K10" s="1085"/>
      <c r="L10" s="1084" t="s">
        <v>26</v>
      </c>
      <c r="M10" s="1137"/>
    </row>
    <row r="11" spans="2:13">
      <c r="B11" s="1205"/>
      <c r="C11" s="1206"/>
      <c r="D11" s="1127"/>
      <c r="E11" s="1127"/>
      <c r="F11" s="1127"/>
      <c r="G11" s="1127"/>
      <c r="H11" s="659" t="s">
        <v>27</v>
      </c>
      <c r="I11" s="330" t="s">
        <v>11</v>
      </c>
      <c r="J11" s="1084" t="s">
        <v>19</v>
      </c>
      <c r="K11" s="1085"/>
      <c r="L11" s="1084" t="s">
        <v>28</v>
      </c>
      <c r="M11" s="1137"/>
    </row>
    <row r="12" spans="2:13">
      <c r="B12" s="1205"/>
      <c r="C12" s="1206"/>
      <c r="D12" s="1127"/>
      <c r="E12" s="1127"/>
      <c r="F12" s="1127"/>
      <c r="G12" s="1127"/>
      <c r="H12" s="98" t="s">
        <v>29</v>
      </c>
      <c r="I12" s="330" t="s">
        <v>11</v>
      </c>
      <c r="J12" s="1084" t="s">
        <v>19</v>
      </c>
      <c r="K12" s="1085"/>
      <c r="L12" s="1084" t="s">
        <v>28</v>
      </c>
      <c r="M12" s="1137"/>
    </row>
    <row r="13" spans="2:13" ht="33" customHeight="1">
      <c r="B13" s="1205"/>
      <c r="C13" s="1206"/>
      <c r="D13" s="1127"/>
      <c r="E13" s="1127"/>
      <c r="F13" s="1127"/>
      <c r="G13" s="1127"/>
      <c r="H13" s="98" t="s">
        <v>30</v>
      </c>
      <c r="I13" s="330" t="s">
        <v>11</v>
      </c>
      <c r="J13" s="1084" t="s">
        <v>19</v>
      </c>
      <c r="K13" s="1085"/>
      <c r="L13" s="1084" t="s">
        <v>31</v>
      </c>
      <c r="M13" s="1137"/>
    </row>
    <row r="14" spans="2:13" ht="24" customHeight="1">
      <c r="B14" s="1207"/>
      <c r="C14" s="1208"/>
      <c r="D14" s="1127"/>
      <c r="E14" s="1127"/>
      <c r="F14" s="1127"/>
      <c r="G14" s="1127"/>
      <c r="H14" s="98" t="s">
        <v>32</v>
      </c>
      <c r="I14" s="330" t="s">
        <v>11</v>
      </c>
      <c r="J14" s="1084" t="s">
        <v>33</v>
      </c>
      <c r="K14" s="1085"/>
      <c r="L14" s="1084" t="s">
        <v>34</v>
      </c>
      <c r="M14" s="1137"/>
    </row>
    <row r="15" spans="2:13" ht="25.5" customHeight="1">
      <c r="B15" s="1186" t="str" cm="1">
        <f t="array" aca="1" ref="B15" ca="1">_FV(E2,"Currency")&amp;" MILLIONS"</f>
        <v>USD MILLIONS</v>
      </c>
      <c r="C15" s="1187"/>
      <c r="D15" s="1127"/>
      <c r="E15" s="1127"/>
      <c r="F15" s="1127"/>
      <c r="G15" s="1127"/>
      <c r="H15" s="98" t="s">
        <v>35</v>
      </c>
      <c r="I15" s="330" t="s">
        <v>11</v>
      </c>
      <c r="J15" s="1084" t="s">
        <v>33</v>
      </c>
      <c r="K15" s="1085"/>
      <c r="L15" s="1084" t="s">
        <v>36</v>
      </c>
      <c r="M15" s="1137"/>
    </row>
    <row r="16" spans="2:13" ht="13.5" hidden="1" customHeight="1">
      <c r="B16" s="697"/>
      <c r="C16" s="698"/>
      <c r="D16" s="1127"/>
      <c r="E16" s="1127"/>
      <c r="F16" s="1127"/>
      <c r="G16" s="1127"/>
      <c r="H16" s="98"/>
      <c r="I16" s="331"/>
      <c r="J16" s="1084"/>
      <c r="K16" s="1085"/>
      <c r="L16" s="1084"/>
      <c r="M16" s="1137"/>
    </row>
    <row r="17" spans="2:17" ht="12.75" hidden="1" customHeight="1">
      <c r="D17" s="1127"/>
      <c r="E17" s="1127"/>
      <c r="F17" s="1127"/>
      <c r="G17" s="1127"/>
      <c r="H17" s="98"/>
      <c r="I17" s="331"/>
      <c r="J17" s="1084"/>
      <c r="K17" s="1085"/>
      <c r="L17" s="1084"/>
      <c r="M17" s="1137"/>
    </row>
    <row r="18" spans="2:17" ht="18">
      <c r="B18" s="1188" t="s">
        <v>37</v>
      </c>
      <c r="C18" s="1169"/>
      <c r="D18" s="1169"/>
      <c r="E18" s="1169"/>
      <c r="F18" s="1169"/>
      <c r="G18" s="1169"/>
      <c r="H18" s="1169"/>
      <c r="I18" s="1169"/>
      <c r="J18" s="1169"/>
      <c r="K18" s="1169"/>
      <c r="L18" s="1169"/>
      <c r="M18" s="1189"/>
    </row>
    <row r="19" spans="2:17" ht="15.5">
      <c r="B19" s="1209" t="s">
        <v>38</v>
      </c>
      <c r="C19" s="1210"/>
      <c r="D19" s="1090" t="s">
        <v>39</v>
      </c>
      <c r="E19" s="1092"/>
      <c r="F19" s="1132" t="s">
        <v>40</v>
      </c>
      <c r="G19" s="1133"/>
      <c r="H19" s="1134"/>
      <c r="I19" s="1090" t="str">
        <f>"Profitability ("&amp;J20&amp;")"</f>
        <v>Profitability (2024)</v>
      </c>
      <c r="J19" s="1091"/>
      <c r="K19" s="1092"/>
      <c r="L19" s="1090" t="s">
        <v>41</v>
      </c>
      <c r="M19" s="1190"/>
      <c r="P19" s="829"/>
    </row>
    <row r="20" spans="2:17" ht="13">
      <c r="B20" s="642" t="s">
        <v>42</v>
      </c>
      <c r="C20" s="651" cm="1">
        <f t="array" aca="1" ref="C20" ca="1">_FV(E2,"Price")</f>
        <v>248.17</v>
      </c>
      <c r="D20" s="8" t="s">
        <v>43</v>
      </c>
      <c r="E20" s="108">
        <f>_xlfn.XLOOKUP(D20,'Fin. Data'!A:A,'Fin. Data'!B:B,,0)</f>
        <v>25691.7</v>
      </c>
      <c r="F20" s="1120" t="s">
        <v>44</v>
      </c>
      <c r="G20" s="1121"/>
      <c r="H20" s="91" t="s">
        <v>45</v>
      </c>
      <c r="I20" t="s">
        <v>46</v>
      </c>
      <c r="J20" s="1135">
        <v>2024</v>
      </c>
      <c r="K20" s="1136"/>
      <c r="L20" s="7" t="s">
        <v>47</v>
      </c>
      <c r="M20" s="645">
        <f>164.92/181.54</f>
        <v>0.90844992839043737</v>
      </c>
    </row>
    <row r="21" spans="2:17" ht="12.75" customHeight="1">
      <c r="B21" s="642" t="s">
        <v>48</v>
      </c>
      <c r="C21" s="652" cm="1">
        <f t="array" aca="1" ref="C21" ca="1">_FV(E2,"Shares outstanding",TRUE)</f>
        <v>182192400</v>
      </c>
      <c r="D21" s="7" t="s">
        <v>49</v>
      </c>
      <c r="E21" s="108">
        <f>_xlfn.XLOOKUP(D21,'Fin. Data'!A:A,'Fin. Data'!B:B,,0)</f>
        <v>15627.1</v>
      </c>
      <c r="F21" s="1193" t="str">
        <f>Segments!C5</f>
        <v>U.S.</v>
      </c>
      <c r="G21" s="1194"/>
      <c r="H21" s="1191">
        <f>Segments!B5</f>
        <v>0.97854805356461672</v>
      </c>
      <c r="I21" s="7" t="s">
        <v>50</v>
      </c>
      <c r="J21" s="1124">
        <v>45291</v>
      </c>
      <c r="K21" s="1125"/>
      <c r="L21" s="7" t="s">
        <v>51</v>
      </c>
      <c r="M21" s="645">
        <v>0.11940000000000001</v>
      </c>
    </row>
    <row r="22" spans="2:17" ht="12.75" customHeight="1">
      <c r="B22" s="642" t="s">
        <v>52</v>
      </c>
      <c r="C22" s="43">
        <f ca="1">C20*C21/1000000</f>
        <v>45214.687908</v>
      </c>
      <c r="D22" s="7" t="s">
        <v>53</v>
      </c>
      <c r="E22" s="322">
        <f ca="1">_xlfn.XLOOKUP("Cash &amp; Eq.",'Fin. Data'!A:A,'Fin. Data'!B:B,,0)*1000000/C21</f>
        <v>0.83647836023895616</v>
      </c>
      <c r="F22" s="1225"/>
      <c r="G22" s="1226"/>
      <c r="H22" s="1227"/>
      <c r="I22" s="1098" t="s">
        <v>54</v>
      </c>
      <c r="J22" s="1098"/>
      <c r="K22" s="108">
        <f>_xlfn.XLOOKUP(I22,'Fin. Data'!A:A,'Fin. Data'!B:B,,0)</f>
        <v>4111.3999999999996</v>
      </c>
      <c r="L22" s="4" t="s">
        <v>55</v>
      </c>
      <c r="M22" s="644" cm="1">
        <f t="array" aca="1" ref="M22" ca="1">IF(_FV(E2,"Beta") &lt;&gt; "",_FV(E2,"Beta"),"")</f>
        <v>0.87339999999999995</v>
      </c>
    </row>
    <row r="23" spans="2:17" ht="12.75" customHeight="1">
      <c r="B23" s="643" t="s">
        <v>56</v>
      </c>
      <c r="C23" s="43">
        <f>'Fin. Data'!B58</f>
        <v>12575.400000000001</v>
      </c>
      <c r="D23" s="7" t="s">
        <v>57</v>
      </c>
      <c r="E23" s="322">
        <f>IFERROR(_xlfn.XLOOKUP("EBITDA",'Fin. Data'!A:A,'Fin. Data'!B:B,,0)/_xlfn.XLOOKUP("Net Financial Cost",'Fin. Data'!A:A,'Fin. Data'!B:B,,0),"")</f>
        <v>-9.4428112080845192</v>
      </c>
      <c r="F23" s="1195"/>
      <c r="G23" s="1196"/>
      <c r="H23" s="1192"/>
      <c r="I23" s="1126" t="s">
        <v>58</v>
      </c>
      <c r="J23" s="1126"/>
      <c r="K23" s="108">
        <f>_xlfn.XLOOKUP(I23,'Fin. Data'!A:A,'Fin. Data'!B:B,,0)</f>
        <v>429.2</v>
      </c>
      <c r="L23" s="7" t="s">
        <v>59</v>
      </c>
      <c r="M23" s="696" t="s">
        <v>60</v>
      </c>
    </row>
    <row r="24" spans="2:17" ht="12.75" customHeight="1">
      <c r="B24" s="643" t="s">
        <v>61</v>
      </c>
      <c r="C24" s="43">
        <f>'Fin. Data'!B39</f>
        <v>152.4</v>
      </c>
      <c r="D24" s="7" t="s">
        <v>62</v>
      </c>
      <c r="E24" s="322">
        <f>IFERROR(_xlfn.XLOOKUP("Total Debt",'Fin. Data'!A:A,'Fin. Data'!B:B,,0)/_xlfn.XLOOKUP("EBITDA",'Fin. Data'!A:A,'Fin. Data'!B:B,,0),"")</f>
        <v>3.0586661477842103</v>
      </c>
      <c r="F24" s="1193" t="str">
        <f>Segments!C6</f>
        <v>Non-U.S.</v>
      </c>
      <c r="G24" s="1194"/>
      <c r="H24" s="1191">
        <f>Segments!B6</f>
        <v>2.145194643538316E-2</v>
      </c>
      <c r="I24" s="1126" t="s">
        <v>63</v>
      </c>
      <c r="J24" s="1126"/>
      <c r="K24" s="108">
        <f>_xlfn.XLOOKUP(I24,'Fin. Data'!A:A,'Fin. Data'!B:B,,0)</f>
        <v>3682.2</v>
      </c>
      <c r="L24" s="7" t="s">
        <v>64</v>
      </c>
      <c r="M24" s="644">
        <f ca="1">IFERROR((C20*C21/(E20-E21))/1000000,"")</f>
        <v>4.4924475794368375</v>
      </c>
    </row>
    <row r="25" spans="2:17" ht="12.75" customHeight="1">
      <c r="B25" s="643" t="s">
        <v>65</v>
      </c>
      <c r="C25" s="43">
        <f ca="1">C22+C23-C24</f>
        <v>57637.687908</v>
      </c>
      <c r="D25" s="7" t="s">
        <v>66</v>
      </c>
      <c r="E25" s="322">
        <f>IFERROR(_xlfn.XLOOKUP("Other Assets",'Fin. Data'!A:A,'Fin. Data'!B:B,,0)/_xlfn.XLOOKUP("Total Assets",'Fin. Data'!A:A,'Fin. Data'!B:B,,0),"")</f>
        <v>0.53663634559021012</v>
      </c>
      <c r="F25" s="1195"/>
      <c r="G25" s="1196"/>
      <c r="H25" s="1192"/>
      <c r="I25" s="1098" t="s">
        <v>67</v>
      </c>
      <c r="J25" s="1098"/>
      <c r="K25" s="108">
        <f>_xlfn.XLOOKUP(I25,'Fin. Data'!A:A,'Fin. Data'!B:B,,0)</f>
        <v>1765.2</v>
      </c>
      <c r="L25" s="7" t="s">
        <v>68</v>
      </c>
      <c r="M25" s="645">
        <f>IFERROR(K31/E20,"")</f>
        <v>-1.5445974121343986E-2</v>
      </c>
    </row>
    <row r="26" spans="2:17" ht="12.75" customHeight="1">
      <c r="B26" s="643" t="s">
        <v>69</v>
      </c>
      <c r="C26" s="110" t="s">
        <v>70</v>
      </c>
      <c r="D26" s="7" t="s">
        <v>71</v>
      </c>
      <c r="E26" s="322">
        <f>_xlfn.XLOOKUP(D26,'Fin. Data'!A:A,'Fin. Data'!B:B,,0)</f>
        <v>0.48947325400810382</v>
      </c>
      <c r="F26" s="1122" t="s">
        <v>72</v>
      </c>
      <c r="G26" s="1123"/>
      <c r="H26" s="92" t="s">
        <v>45</v>
      </c>
      <c r="I26" s="1098" t="s">
        <v>73</v>
      </c>
      <c r="J26" s="1098"/>
      <c r="K26" s="59">
        <f ca="1">1000000*K25/C21</f>
        <v>9.6886588024527924</v>
      </c>
      <c r="L26" s="7" t="s">
        <v>74</v>
      </c>
      <c r="M26" s="646">
        <f ca="1">IFERROR(C22/K30,"")</f>
        <v>78.511352505643345</v>
      </c>
    </row>
    <row r="27" spans="2:17" ht="12.75" customHeight="1">
      <c r="B27" s="642" t="s">
        <v>75</v>
      </c>
      <c r="C27" s="111" t="s">
        <v>70</v>
      </c>
      <c r="D27" s="7" t="s">
        <v>76</v>
      </c>
      <c r="E27" s="109">
        <f>IFERROR(AVERAGE(_xlfn.XLOOKUP("EBITDA Margin",'Fin. Data'!A:A,'Fin. Data'!B:D,,0)),"")</f>
        <v>0.48856340497990675</v>
      </c>
      <c r="F27" s="1193" t="str">
        <f>Segments!C18</f>
        <v>Beer</v>
      </c>
      <c r="G27" s="1194"/>
      <c r="H27" s="1191">
        <f>Segments!B18</f>
        <v>0.8193900700676584</v>
      </c>
      <c r="I27" s="1098" t="s">
        <v>77</v>
      </c>
      <c r="J27" s="1098"/>
      <c r="K27" s="60">
        <f>IFERROR(K25/E20,"")</f>
        <v>6.8707014327584401E-2</v>
      </c>
      <c r="L27" s="7" t="s">
        <v>78</v>
      </c>
      <c r="M27" s="647">
        <f ca="1">IFERROR(C25/E20,"")</f>
        <v>2.2434361255969826</v>
      </c>
    </row>
    <row r="28" spans="2:17" ht="12.75" customHeight="1">
      <c r="B28" s="642" t="s">
        <v>79</v>
      </c>
      <c r="C28" s="10">
        <v>1.274E-2</v>
      </c>
      <c r="D28" s="7" t="s">
        <v>80</v>
      </c>
      <c r="E28" s="109">
        <f>IFERROR(AVERAGE(_xlfn.XLOOKUP("Operating Margin",'Fin. Data'!A:A,'Fin. Data'!B:D,,0)),"")</f>
        <v>0.29442760002642937</v>
      </c>
      <c r="F28" s="1195"/>
      <c r="G28" s="1196"/>
      <c r="H28" s="1192"/>
      <c r="I28" s="1098" t="s">
        <v>81</v>
      </c>
      <c r="J28" s="1098"/>
      <c r="K28" s="60">
        <f>IFERROR(Peers!C18,"")</f>
        <v>0.12488643067984981</v>
      </c>
      <c r="L28" s="7" t="s">
        <v>82</v>
      </c>
      <c r="M28" s="647">
        <f ca="1">IFERROR(C25/K29,"")</f>
        <v>12.571929687143284</v>
      </c>
      <c r="Q28" s="830"/>
    </row>
    <row r="29" spans="2:17" ht="15.5">
      <c r="B29" s="1209" t="s">
        <v>83</v>
      </c>
      <c r="C29" s="1210"/>
      <c r="D29" s="7" t="s">
        <v>84</v>
      </c>
      <c r="E29" s="109">
        <f>IFERROR(AVERAGE(_xlfn.XLOOKUP("Net Income Margin",'Fin. Data'!A:A,'Fin. Data'!B:D,,0)),"")</f>
        <v>5.7745769447341083E-2</v>
      </c>
      <c r="F29" s="1193" t="str">
        <f>Segments!C19</f>
        <v>Wine</v>
      </c>
      <c r="G29" s="1194"/>
      <c r="H29" s="1191">
        <f>Segments!B19</f>
        <v>0.1558051757714469</v>
      </c>
      <c r="I29" s="1097" t="s">
        <v>85</v>
      </c>
      <c r="J29" s="1097"/>
      <c r="K29" s="582">
        <f>AVERAGE(_xlfn.XLOOKUP("EBITDA",'Fin. Data'!A:A,'Fin. Data'!B:D,,0))</f>
        <v>4584.6333333333332</v>
      </c>
      <c r="L29" s="7" t="s">
        <v>86</v>
      </c>
      <c r="M29" s="646">
        <f ca="1">IFERROR(C22/K31,"")</f>
        <v>-113.93873475346494</v>
      </c>
      <c r="Q29" s="830"/>
    </row>
    <row r="30" spans="2:17" ht="12.75" customHeight="1">
      <c r="B30" s="648" t="s">
        <v>87</v>
      </c>
      <c r="C30" s="656"/>
      <c r="D30" s="649"/>
      <c r="E30" s="116"/>
      <c r="F30" s="1195"/>
      <c r="G30" s="1196"/>
      <c r="H30" s="1192"/>
      <c r="I30" s="1098" t="s">
        <v>88</v>
      </c>
      <c r="J30" s="1098"/>
      <c r="K30" s="108">
        <f>AVERAGE(_xlfn.XLOOKUP("Net Income",'Fin. Data'!A:A,'Fin. Data'!B:D,,0))</f>
        <v>575.9</v>
      </c>
      <c r="L30" s="7" t="s">
        <v>89</v>
      </c>
      <c r="M30" s="646" t="s">
        <v>70</v>
      </c>
    </row>
    <row r="31" spans="2:17" ht="12.75" customHeight="1">
      <c r="B31" s="648" t="s">
        <v>90</v>
      </c>
      <c r="C31" s="657"/>
      <c r="D31" s="7" t="s">
        <v>91</v>
      </c>
      <c r="E31" s="432">
        <f>IFERROR(-_xlfn.XLOOKUP("Net Financial Cost",'Fin. Data'!A:A,'Fin. Data'!B:B,,0)/AVERAGE(_xlfn.XLOOKUP("Net Debt",'Fin. Data'!A:A,'Fin. Data'!B:D,,0)),"")</f>
        <v>3.6222057685748266E-2</v>
      </c>
      <c r="F31" s="1193" t="str">
        <f>Segments!C20</f>
        <v>Spirits</v>
      </c>
      <c r="G31" s="1194"/>
      <c r="H31" s="1191">
        <f>Segments!B20</f>
        <v>2.4804754160894615E-2</v>
      </c>
      <c r="I31" s="1098" t="s">
        <v>92</v>
      </c>
      <c r="J31" s="1098"/>
      <c r="K31" s="108">
        <f>AVERAGE(_xlfn.XLOOKUP("Net Financial Cost",'Fin. Data'!A:A,'Fin. Data'!B:D,,0))</f>
        <v>-396.83333333333331</v>
      </c>
      <c r="L31" s="7" t="s">
        <v>93</v>
      </c>
      <c r="M31" s="645">
        <f ca="1">-IFERROR(SUM(E53:E55)/(3*C22),"")</f>
        <v>3.8003137464893894E-2</v>
      </c>
    </row>
    <row r="32" spans="2:17" ht="12.65" customHeight="1">
      <c r="B32" s="648" t="s">
        <v>94</v>
      </c>
      <c r="C32" s="658"/>
      <c r="D32" s="113"/>
      <c r="E32" s="115"/>
      <c r="F32" s="1195"/>
      <c r="G32" s="1196"/>
      <c r="H32" s="1192"/>
      <c r="I32" s="113"/>
      <c r="J32" s="114"/>
      <c r="K32" s="114"/>
      <c r="L32" s="7" t="s">
        <v>95</v>
      </c>
      <c r="M32" s="653">
        <f ca="1">-IFERROR(L54/C22,"")</f>
        <v>1.4459902970696404E-2</v>
      </c>
    </row>
    <row r="33" spans="1:19" ht="18.5" thickBot="1">
      <c r="B33" s="1197" t="s">
        <v>96</v>
      </c>
      <c r="C33" s="1198"/>
      <c r="D33" s="1198"/>
      <c r="E33" s="1198"/>
      <c r="F33" s="1198"/>
      <c r="G33" s="1198"/>
      <c r="H33" s="1198"/>
      <c r="I33" s="1198"/>
      <c r="J33" s="1198"/>
      <c r="K33" s="1198"/>
      <c r="L33" s="1198"/>
      <c r="M33" s="1199"/>
    </row>
    <row r="34" spans="1:19" ht="16" thickBot="1">
      <c r="B34" s="1088" t="s">
        <v>97</v>
      </c>
      <c r="C34" s="1089"/>
      <c r="D34" s="1089"/>
      <c r="E34" s="1089"/>
      <c r="F34" s="1089"/>
      <c r="G34" s="1089"/>
      <c r="H34" s="437" t="s">
        <v>98</v>
      </c>
      <c r="I34" s="1099" t="s">
        <v>99</v>
      </c>
      <c r="J34" s="1100"/>
      <c r="K34" s="1100"/>
      <c r="L34" s="1100"/>
      <c r="M34" s="1101"/>
      <c r="N34" s="6"/>
    </row>
    <row r="35" spans="1:19" ht="13.4" customHeight="1" thickBot="1">
      <c r="A35" s="6"/>
      <c r="B35" s="438" t="s">
        <v>100</v>
      </c>
      <c r="C35" s="1219" t="s">
        <v>101</v>
      </c>
      <c r="D35" s="1220"/>
      <c r="E35" s="1220"/>
      <c r="F35" s="1220"/>
      <c r="G35" s="1221"/>
      <c r="H35" s="1211" t="s">
        <v>102</v>
      </c>
      <c r="I35" s="1138" t="s">
        <v>103</v>
      </c>
      <c r="J35" s="1139"/>
      <c r="K35" s="1139"/>
      <c r="L35" s="1139"/>
      <c r="M35" s="1140"/>
    </row>
    <row r="36" spans="1:19" ht="27" customHeight="1" thickBot="1">
      <c r="A36" s="6"/>
      <c r="B36" s="695" t="s">
        <v>104</v>
      </c>
      <c r="C36" s="1164" t="s">
        <v>105</v>
      </c>
      <c r="D36" s="1165"/>
      <c r="E36" s="1165"/>
      <c r="F36" s="1165"/>
      <c r="G36" s="1166"/>
      <c r="H36" s="1211"/>
      <c r="I36" s="1141"/>
      <c r="J36" s="1142"/>
      <c r="K36" s="1142"/>
      <c r="L36" s="1142"/>
      <c r="M36" s="1143"/>
    </row>
    <row r="37" spans="1:19" ht="26.5" thickBot="1">
      <c r="A37" s="6"/>
      <c r="B37" s="695" t="s">
        <v>106</v>
      </c>
      <c r="C37" s="1164" t="s">
        <v>107</v>
      </c>
      <c r="D37" s="1165"/>
      <c r="E37" s="1165"/>
      <c r="F37" s="1165"/>
      <c r="G37" s="1166"/>
      <c r="H37" s="1211"/>
      <c r="I37" s="1141"/>
      <c r="J37" s="1142"/>
      <c r="K37" s="1142"/>
      <c r="L37" s="1142"/>
      <c r="M37" s="1143"/>
    </row>
    <row r="38" spans="1:19" ht="26.5" thickBot="1">
      <c r="B38" s="699" t="s">
        <v>108</v>
      </c>
      <c r="C38" s="1213" t="s">
        <v>109</v>
      </c>
      <c r="D38" s="1214"/>
      <c r="E38" s="1214"/>
      <c r="F38" s="1214"/>
      <c r="G38" s="1215"/>
      <c r="H38" s="1212"/>
      <c r="I38" s="1144"/>
      <c r="J38" s="1145"/>
      <c r="K38" s="1145"/>
      <c r="L38" s="1145"/>
      <c r="M38" s="1146"/>
    </row>
    <row r="39" spans="1:19" ht="16" thickBot="1">
      <c r="B39" s="1102" t="s">
        <v>110</v>
      </c>
      <c r="C39" s="1103"/>
      <c r="D39" s="1103"/>
      <c r="E39" s="1103"/>
      <c r="F39" s="1103"/>
      <c r="G39" s="1104"/>
      <c r="H39" s="439" t="s">
        <v>111</v>
      </c>
      <c r="I39" s="1147" t="s">
        <v>112</v>
      </c>
      <c r="J39" s="1147"/>
      <c r="K39" s="1147"/>
      <c r="L39" s="1147"/>
      <c r="M39" s="1148"/>
    </row>
    <row r="40" spans="1:19" ht="13.4" customHeight="1" thickBot="1">
      <c r="B40" s="440" t="s">
        <v>113</v>
      </c>
      <c r="C40" s="1105" t="s">
        <v>101</v>
      </c>
      <c r="D40" s="1106"/>
      <c r="E40" s="1106"/>
      <c r="F40" s="1106"/>
      <c r="G40" s="1107"/>
      <c r="H40" s="1110">
        <f ca="1">DCF!D75</f>
        <v>188.41005008754922</v>
      </c>
      <c r="I40" s="1171" t="s">
        <v>114</v>
      </c>
      <c r="J40" s="1113">
        <f>DCF!F50</f>
        <v>8.7499999999999994E-2</v>
      </c>
      <c r="K40" s="1114"/>
      <c r="L40" s="1182" t="s">
        <v>115</v>
      </c>
      <c r="M40" s="1200" t="s">
        <v>70</v>
      </c>
    </row>
    <row r="41" spans="1:19" ht="24" customHeight="1" thickBot="1">
      <c r="B41" s="664" t="s">
        <v>116</v>
      </c>
      <c r="C41" s="1216" t="s">
        <v>117</v>
      </c>
      <c r="D41" s="1217"/>
      <c r="E41" s="1217"/>
      <c r="F41" s="1217"/>
      <c r="G41" s="1218"/>
      <c r="H41" s="1111"/>
      <c r="I41" s="1172"/>
      <c r="J41" s="1115"/>
      <c r="K41" s="1116"/>
      <c r="L41" s="1183"/>
      <c r="M41" s="1109"/>
    </row>
    <row r="42" spans="1:19" ht="18.649999999999999" customHeight="1" thickBot="1">
      <c r="B42" s="694" t="s">
        <v>118</v>
      </c>
      <c r="C42" s="1096" t="s">
        <v>119</v>
      </c>
      <c r="D42" s="1094"/>
      <c r="E42" s="1094"/>
      <c r="F42" s="1094"/>
      <c r="G42" s="1095"/>
      <c r="H42" s="1111"/>
      <c r="I42" s="1171" t="s">
        <v>120</v>
      </c>
      <c r="J42" s="1201">
        <f ca="1">IFERROR(DCF!D74,"")</f>
        <v>-0.24080247375770947</v>
      </c>
      <c r="K42" s="1202"/>
      <c r="L42" s="1184" t="s">
        <v>121</v>
      </c>
      <c r="M42" s="1108" t="s">
        <v>70</v>
      </c>
    </row>
    <row r="43" spans="1:19" ht="31.5" customHeight="1" thickBot="1">
      <c r="B43" s="695" t="s">
        <v>122</v>
      </c>
      <c r="C43" s="1093" t="s">
        <v>123</v>
      </c>
      <c r="D43" s="1094"/>
      <c r="E43" s="1094"/>
      <c r="F43" s="1094"/>
      <c r="G43" s="1095"/>
      <c r="H43" s="1111"/>
      <c r="I43" s="1172"/>
      <c r="J43" s="1201"/>
      <c r="K43" s="1202"/>
      <c r="L43" s="1184"/>
      <c r="M43" s="1108"/>
    </row>
    <row r="44" spans="1:19" ht="20.149999999999999" customHeight="1" thickBot="1">
      <c r="B44" s="694" t="s">
        <v>124</v>
      </c>
      <c r="C44" s="1093" t="s">
        <v>125</v>
      </c>
      <c r="D44" s="1094"/>
      <c r="E44" s="1094"/>
      <c r="F44" s="1094"/>
      <c r="G44" s="1095"/>
      <c r="H44" s="1112"/>
      <c r="I44" s="1172"/>
      <c r="J44" s="1115"/>
      <c r="K44" s="1116"/>
      <c r="L44" s="1185"/>
      <c r="M44" s="1109"/>
    </row>
    <row r="45" spans="1:19" ht="18">
      <c r="B45" s="1168" t="s">
        <v>126</v>
      </c>
      <c r="C45" s="1169"/>
      <c r="D45" s="1169"/>
      <c r="E45" s="1169"/>
      <c r="F45" s="1169"/>
      <c r="G45" s="1169"/>
      <c r="H45" s="1169"/>
      <c r="I45" s="1169"/>
      <c r="J45" s="1169"/>
      <c r="K45" s="1169"/>
      <c r="L45" s="1169"/>
      <c r="M45" s="1170"/>
    </row>
    <row r="46" spans="1:19" ht="13">
      <c r="B46" s="560" t="s">
        <v>127</v>
      </c>
      <c r="C46" s="99" t="s">
        <v>128</v>
      </c>
      <c r="D46" s="99" t="s">
        <v>129</v>
      </c>
      <c r="E46" s="120" t="s">
        <v>130</v>
      </c>
      <c r="F46" s="99" t="s">
        <v>131</v>
      </c>
      <c r="G46" s="99" t="s">
        <v>71</v>
      </c>
      <c r="H46" s="119" t="s">
        <v>58</v>
      </c>
      <c r="I46" s="119" t="s">
        <v>132</v>
      </c>
      <c r="J46" s="1057" t="s">
        <v>133</v>
      </c>
      <c r="K46" s="1057"/>
      <c r="L46" s="1057"/>
      <c r="M46" s="1167"/>
    </row>
    <row r="47" spans="1:19" ht="13">
      <c r="B47" s="561">
        <f t="shared" ref="B47:B53" si="0">B48-1</f>
        <v>2016</v>
      </c>
      <c r="C47" s="118" cm="1">
        <f t="array" ref="C47:C55">_xlfn.SORTBY(TRANSPOSE(_xlfn.XLOOKUP(C$46,'Fin. Data'!$A:$A,'Fin. Data'!$B:$J,,0)),$B$47:$B$55,-1)</f>
        <v>6548.4</v>
      </c>
      <c r="D47" s="94" cm="1">
        <f t="array" ref="D47:D55">_xlfn.SORTBY(TRANSPOSE(_xlfn.XLOOKUP(D$46,'Fin. Data'!$A:$A,'Fin. Data'!$B:$J,,0)),$B$47:$B$55,-1)</f>
        <v>0.26954675951377438</v>
      </c>
      <c r="E47" s="118" cm="1">
        <f t="array" ref="E47:E55">_xlfn.SORTBY(TRANSPOSE(_xlfn.XLOOKUP(E$46,'Fin. Data'!$A:$A,'Fin. Data'!$B:$J,,0)),$B$47:$B$55,-1)</f>
        <v>-572.1</v>
      </c>
      <c r="F47" s="117">
        <f>Inputs!K77</f>
        <v>46.200000000000024</v>
      </c>
      <c r="G47" s="94" cm="1">
        <f t="array" ref="G47:G55">_xlfn.SORTBY(TRANSPOSE(_xlfn.XLOOKUP(G$46,'Fin. Data'!$A:$A,'Fin. Data'!$B:$J,,0)),$B$47:$B$55,-1)</f>
        <v>0.47634541703507222</v>
      </c>
      <c r="H47" s="118" cm="1">
        <f t="array" ref="H47:H55">_xlfn.SORTBY(TRANSPOSE(_xlfn.XLOOKUP(H$46,'Fin. Data'!$A:$A,'Fin. Data'!$B:$J,,0)),$B$47:$B$55,-1)</f>
        <v>221</v>
      </c>
      <c r="I47" s="118" cm="1">
        <f t="array" ref="I47:I55">_xlfn.SORTBY(TRANSPOSE(_xlfn.XLOOKUP(I$46,'Fin. Data'!$A:$A,'Fin. Data'!$B:$J,,0)),$B$47:$B$55,-1)</f>
        <v>-2207.6999999999998</v>
      </c>
      <c r="J47" s="347"/>
      <c r="K47" s="113"/>
      <c r="L47" s="95">
        <f>J20</f>
        <v>2024</v>
      </c>
      <c r="M47" s="349">
        <f>L47-1</f>
        <v>2023</v>
      </c>
    </row>
    <row r="48" spans="1:19" ht="13">
      <c r="B48" s="561">
        <f t="shared" si="0"/>
        <v>2017</v>
      </c>
      <c r="C48" s="118">
        <v>7331.5</v>
      </c>
      <c r="D48" s="93">
        <v>0.32727272727272727</v>
      </c>
      <c r="E48" s="118">
        <v>-768.2</v>
      </c>
      <c r="F48" s="117">
        <f>Inputs!J77</f>
        <v>-27.000000000000046</v>
      </c>
      <c r="G48" s="94">
        <v>0.4966079645637122</v>
      </c>
      <c r="H48" s="118">
        <v>293.89999999999998</v>
      </c>
      <c r="I48" s="118">
        <v>-1443.1</v>
      </c>
      <c r="J48" s="1149" t="s">
        <v>67</v>
      </c>
      <c r="K48" s="1150"/>
      <c r="L48" s="43">
        <f>_xlfn.XLOOKUP($J48,'Fin. Data'!$A:$A,'Fin. Data'!B:B,,0)</f>
        <v>1765.2</v>
      </c>
      <c r="M48" s="401">
        <f>_xlfn.XLOOKUP($J48,'Fin. Data'!$A:$A,'Fin. Data'!C:C,,0)</f>
        <v>-38.5</v>
      </c>
      <c r="N48" s="13">
        <f t="shared" ref="N48:N56" si="1">(C48/C47)-1</f>
        <v>0.11958646386903671</v>
      </c>
      <c r="O48" s="13">
        <f t="shared" ref="O48:O56" si="2">(D48/D47)-1</f>
        <v>0.21415938319229899</v>
      </c>
      <c r="P48" s="12"/>
      <c r="Q48" s="11"/>
      <c r="R48" s="11"/>
      <c r="S48" s="11"/>
    </row>
    <row r="49" spans="2:19" ht="13">
      <c r="B49" s="561">
        <f t="shared" si="0"/>
        <v>2018</v>
      </c>
      <c r="C49" s="118">
        <v>7585</v>
      </c>
      <c r="D49" s="93">
        <v>0.30118655240606462</v>
      </c>
      <c r="E49" s="118">
        <v>-912.9</v>
      </c>
      <c r="F49" s="117">
        <f>Inputs!I77</f>
        <v>94.30000000000004</v>
      </c>
      <c r="G49" s="94">
        <v>0.49597588941851239</v>
      </c>
      <c r="H49" s="118">
        <v>386.5</v>
      </c>
      <c r="I49" s="118">
        <v>-1413.1</v>
      </c>
      <c r="J49" s="1149" t="s">
        <v>134</v>
      </c>
      <c r="K49" s="1150"/>
      <c r="L49" s="43">
        <f>_xlfn.XLOOKUP($J49,'Fin. Data'!$A:$A,'Fin. Data'!B:B,,0)</f>
        <v>2780</v>
      </c>
      <c r="M49" s="401">
        <f>_xlfn.XLOOKUP($J49,'Fin. Data'!$A:$A,'Fin. Data'!C:C,,0)</f>
        <v>2756.9</v>
      </c>
      <c r="N49" s="13">
        <f t="shared" si="1"/>
        <v>3.4576826024687923E-2</v>
      </c>
      <c r="O49" s="13">
        <f t="shared" si="2"/>
        <v>-7.9707756537024776E-2</v>
      </c>
      <c r="P49" s="12"/>
      <c r="Q49" s="11">
        <f t="shared" ref="Q49:Q55" si="3">F49/F48-1</f>
        <v>-4.4925925925925885</v>
      </c>
      <c r="R49" s="11">
        <f t="shared" ref="R49:S55" si="4">H49/H48-1</f>
        <v>0.31507315413405923</v>
      </c>
      <c r="S49" s="11">
        <f t="shared" si="4"/>
        <v>-2.078858013997642E-2</v>
      </c>
    </row>
    <row r="50" spans="2:19" ht="13">
      <c r="B50" s="561">
        <f t="shared" si="0"/>
        <v>2019</v>
      </c>
      <c r="C50" s="118">
        <v>8116</v>
      </c>
      <c r="D50" s="93">
        <v>0.29721537703302114</v>
      </c>
      <c r="E50" s="118">
        <v>-1553.6</v>
      </c>
      <c r="F50" s="117">
        <f>Inputs!H77</f>
        <v>-87.099999999999866</v>
      </c>
      <c r="G50" s="94">
        <v>0.46581598617929287</v>
      </c>
      <c r="H50" s="118">
        <v>447.1</v>
      </c>
      <c r="I50" s="118">
        <v>-4830.9000000000005</v>
      </c>
      <c r="J50" s="1149" t="s">
        <v>135</v>
      </c>
      <c r="K50" s="1150"/>
      <c r="L50" s="43">
        <f>_xlfn.XLOOKUP($J50,'Fin. Data'!$A:$A,'Fin. Data'!B:B,,0)</f>
        <v>-1285.9000000000001</v>
      </c>
      <c r="M50" s="401">
        <f>_xlfn.XLOOKUP($J50,'Fin. Data'!$A:$A,'Fin. Data'!C:C,,0)</f>
        <v>-999.4</v>
      </c>
      <c r="N50" s="13">
        <f t="shared" si="1"/>
        <v>7.0006591957811448E-2</v>
      </c>
      <c r="O50" s="13">
        <f t="shared" si="2"/>
        <v>-1.3185101862348336E-2</v>
      </c>
      <c r="P50" s="12"/>
      <c r="Q50" s="11">
        <f t="shared" si="3"/>
        <v>-1.9236479321314934</v>
      </c>
      <c r="R50" s="11">
        <f t="shared" si="4"/>
        <v>0.15679172056921087</v>
      </c>
      <c r="S50" s="11">
        <f t="shared" si="4"/>
        <v>2.418654023069847</v>
      </c>
    </row>
    <row r="51" spans="2:19" ht="13">
      <c r="B51" s="561">
        <f t="shared" si="0"/>
        <v>2020</v>
      </c>
      <c r="C51" s="118">
        <v>8343.5</v>
      </c>
      <c r="D51" s="93">
        <v>0.25822496554203872</v>
      </c>
      <c r="E51" s="118">
        <v>-1615.1000000000001</v>
      </c>
      <c r="F51" s="117">
        <f>Inputs!G77</f>
        <v>3.3000000000001819</v>
      </c>
      <c r="G51" s="94">
        <v>0.46735009076535683</v>
      </c>
      <c r="H51" s="118">
        <v>343.2</v>
      </c>
      <c r="I51" s="118">
        <v>-531.40000000000009</v>
      </c>
      <c r="J51" s="1151" t="s">
        <v>136</v>
      </c>
      <c r="K51" s="1152"/>
      <c r="L51" s="43">
        <f>_xlfn.XLOOKUP($J51,'Fin. Data'!$A:$A,'Fin. Data'!B:B,,0)</f>
        <v>-1269.0999999999999</v>
      </c>
      <c r="M51" s="401">
        <f>_xlfn.XLOOKUP($J51,'Fin. Data'!$A:$A,'Fin. Data'!C:C,,0)</f>
        <v>-1028.7</v>
      </c>
      <c r="N51" s="13">
        <f t="shared" si="1"/>
        <v>2.8031049778215911E-2</v>
      </c>
      <c r="O51" s="13">
        <f t="shared" si="2"/>
        <v>-0.13118571414510127</v>
      </c>
      <c r="P51" s="12"/>
      <c r="Q51" s="11">
        <f t="shared" si="3"/>
        <v>-1.0378874856486817</v>
      </c>
      <c r="R51" s="11">
        <f t="shared" si="4"/>
        <v>-0.23238649071796025</v>
      </c>
      <c r="S51" s="11">
        <f t="shared" si="4"/>
        <v>-0.88999979299923404</v>
      </c>
    </row>
    <row r="52" spans="2:19" ht="13">
      <c r="B52" s="561">
        <f t="shared" si="0"/>
        <v>2021</v>
      </c>
      <c r="C52" s="118">
        <v>8614.9</v>
      </c>
      <c r="D52" s="93">
        <v>0.32398518845256474</v>
      </c>
      <c r="E52" s="118">
        <v>-1620.9</v>
      </c>
      <c r="F52" s="117">
        <f>Inputs!F77</f>
        <v>-12.200000000000182</v>
      </c>
      <c r="G52" s="94">
        <v>0.40574732150762971</v>
      </c>
      <c r="H52" s="118">
        <v>305.10000000000002</v>
      </c>
      <c r="I52" s="118">
        <v>-88.5</v>
      </c>
      <c r="J52" s="1151" t="s">
        <v>137</v>
      </c>
      <c r="K52" s="1152"/>
      <c r="L52" s="43">
        <f>_xlfn.XLOOKUP($J52,'Fin. Data'!$A:$A,'Fin. Data'!B:B,,0)</f>
        <v>47.8</v>
      </c>
      <c r="M52" s="401">
        <f>_xlfn.XLOOKUP($J52,'Fin. Data'!$A:$A,'Fin. Data'!C:C,,0)</f>
        <v>28.799999999999997</v>
      </c>
      <c r="N52" s="13">
        <f t="shared" si="1"/>
        <v>3.2528315455144785E-2</v>
      </c>
      <c r="O52" s="13">
        <f t="shared" si="2"/>
        <v>0.25466252952145463</v>
      </c>
      <c r="P52" s="12"/>
      <c r="Q52" s="11">
        <f t="shared" si="3"/>
        <v>-4.696969696969548</v>
      </c>
      <c r="R52" s="11">
        <f t="shared" si="4"/>
        <v>-0.11101398601398593</v>
      </c>
      <c r="S52" s="11">
        <f t="shared" si="4"/>
        <v>-0.83345878810688756</v>
      </c>
    </row>
    <row r="53" spans="2:19" ht="13">
      <c r="B53" s="561">
        <f t="shared" si="0"/>
        <v>2022</v>
      </c>
      <c r="C53" s="118">
        <v>8820.7000000000007</v>
      </c>
      <c r="D53" s="93">
        <v>0.26434409967462896</v>
      </c>
      <c r="E53" s="118">
        <v>-1963.5</v>
      </c>
      <c r="F53" s="117">
        <f>Inputs!E77</f>
        <v>379.2</v>
      </c>
      <c r="G53" s="94">
        <v>0.42443474964998185</v>
      </c>
      <c r="H53" s="118">
        <v>342.4</v>
      </c>
      <c r="I53" s="118">
        <v>-1033.8</v>
      </c>
      <c r="J53" s="1149" t="s">
        <v>138</v>
      </c>
      <c r="K53" s="1150"/>
      <c r="L53" s="43">
        <f>_xlfn.XLOOKUP($J53,'Fin. Data'!$A:$A,'Fin. Data'!B:B,,0)</f>
        <v>-1474.6</v>
      </c>
      <c r="M53" s="401">
        <f>_xlfn.XLOOKUP($J53,'Fin. Data'!$A:$A,'Fin. Data'!C:C,,0)</f>
        <v>-1819.9</v>
      </c>
      <c r="N53" s="13">
        <f t="shared" si="1"/>
        <v>2.3888843747460919E-2</v>
      </c>
      <c r="O53" s="13">
        <f t="shared" si="2"/>
        <v>-0.18408584992047539</v>
      </c>
      <c r="P53" s="12"/>
      <c r="Q53" s="11">
        <f t="shared" si="3"/>
        <v>-32.081967213114289</v>
      </c>
      <c r="R53" s="11">
        <f t="shared" si="4"/>
        <v>0.12225499836119291</v>
      </c>
      <c r="S53" s="11">
        <f t="shared" si="4"/>
        <v>10.68135593220339</v>
      </c>
    </row>
    <row r="54" spans="2:19" ht="13">
      <c r="B54" s="561">
        <f>B55-1</f>
        <v>2023</v>
      </c>
      <c r="C54" s="118">
        <v>9452.6</v>
      </c>
      <c r="D54" s="93">
        <v>0.30075323191502867</v>
      </c>
      <c r="E54" s="118">
        <v>-2287.9</v>
      </c>
      <c r="F54" s="117">
        <f>Inputs!D$77</f>
        <v>-261.19999999999987</v>
      </c>
      <c r="G54" s="94">
        <v>0.52698653410265872</v>
      </c>
      <c r="H54" s="118">
        <v>400</v>
      </c>
      <c r="I54" s="118">
        <v>-999.90000000000009</v>
      </c>
      <c r="J54" s="1151" t="s">
        <v>139</v>
      </c>
      <c r="K54" s="1152"/>
      <c r="L54" s="43">
        <f>_xlfn.XLOOKUP($J54,'Fin. Data'!$A:$A,'Fin. Data'!B:B,,0)</f>
        <v>-653.79999999999995</v>
      </c>
      <c r="M54" s="401">
        <f>_xlfn.XLOOKUP($J54,'Fin. Data'!$A:$A,'Fin. Data'!C:C,,0)</f>
        <v>-587.70000000000005</v>
      </c>
      <c r="N54" s="13">
        <f t="shared" si="1"/>
        <v>7.1638305349915443E-2</v>
      </c>
      <c r="O54" s="13">
        <f t="shared" si="2"/>
        <v>0.13773385630779855</v>
      </c>
      <c r="P54" s="12"/>
      <c r="Q54" s="11">
        <f t="shared" si="3"/>
        <v>-1.6888185654008434</v>
      </c>
      <c r="R54" s="11">
        <f t="shared" si="4"/>
        <v>0.16822429906542058</v>
      </c>
      <c r="S54" s="11">
        <f t="shared" si="4"/>
        <v>-3.2791642484039318E-2</v>
      </c>
    </row>
    <row r="55" spans="2:19" ht="13">
      <c r="B55" s="561">
        <v>2024</v>
      </c>
      <c r="C55" s="118">
        <v>9961.7999999999993</v>
      </c>
      <c r="D55" s="93">
        <v>0.31818546848963042</v>
      </c>
      <c r="E55" s="118">
        <v>-903.5</v>
      </c>
      <c r="F55" s="117">
        <f>Inputs!C77</f>
        <v>-65.900000000000091</v>
      </c>
      <c r="G55" s="94">
        <v>0.48947325400810382</v>
      </c>
      <c r="H55" s="118">
        <v>429.2</v>
      </c>
      <c r="I55" s="118">
        <v>-1221.3</v>
      </c>
      <c r="J55" s="1151" t="s">
        <v>140</v>
      </c>
      <c r="K55" s="1152"/>
      <c r="L55" s="43">
        <f>_xlfn.XLOOKUP($J55,'Fin. Data'!$A:$A,'Fin. Data'!B:B,,0)</f>
        <v>-249.7</v>
      </c>
      <c r="M55" s="401">
        <f>_xlfn.XLOOKUP($J55,'Fin. Data'!$A:$A,'Fin. Data'!C:C,,0)</f>
        <v>-1700.2</v>
      </c>
      <c r="N55" s="13">
        <f t="shared" si="1"/>
        <v>5.3868776844465893E-2</v>
      </c>
      <c r="O55" s="13">
        <f t="shared" si="2"/>
        <v>5.7961926006922626E-2</v>
      </c>
      <c r="P55" s="12"/>
      <c r="Q55" s="11">
        <f t="shared" si="3"/>
        <v>-0.74770290964777897</v>
      </c>
      <c r="R55" s="11">
        <f t="shared" si="4"/>
        <v>7.2999999999999954E-2</v>
      </c>
      <c r="S55" s="11">
        <f t="shared" si="4"/>
        <v>0.2214221422142213</v>
      </c>
    </row>
    <row r="56" spans="2:19">
      <c r="B56" s="562" t="s">
        <v>141</v>
      </c>
      <c r="C56" s="96">
        <f>IFERROR((C55/C47)^(1/8)-1,"")</f>
        <v>5.3841573601139725E-2</v>
      </c>
      <c r="D56" s="96">
        <f>IFERROR((D55/D47)^(1/8)-1,"")</f>
        <v>2.0953067439422712E-2</v>
      </c>
      <c r="E56" s="112"/>
      <c r="F56" s="96" t="str">
        <f>IFERROR((F55/F47)^(1/8)-1,"")</f>
        <v/>
      </c>
      <c r="G56" s="112"/>
      <c r="H56" s="96">
        <f>IFERROR((H55/H47)^(1/8)-1,"")</f>
        <v>8.6509254781770739E-2</v>
      </c>
      <c r="I56" s="112"/>
      <c r="J56" s="1149" t="s">
        <v>142</v>
      </c>
      <c r="K56" s="1150"/>
      <c r="L56" s="43">
        <f>_xlfn.XLOOKUP($J56,'Fin. Data'!$A:$A,'Fin. Data'!B:B,,0)</f>
        <v>-0.6</v>
      </c>
      <c r="M56" s="401">
        <f>_xlfn.XLOOKUP($J56,'Fin. Data'!$A:$A,'Fin. Data'!C:C,,0)</f>
        <v>-3.5</v>
      </c>
      <c r="N56" s="13">
        <f t="shared" si="1"/>
        <v>-0.99999459519628975</v>
      </c>
      <c r="O56" s="13">
        <f t="shared" si="2"/>
        <v>-0.93414825781050537</v>
      </c>
      <c r="P56" s="12"/>
      <c r="Q56" s="11"/>
      <c r="R56" s="11"/>
      <c r="S56" s="11"/>
    </row>
    <row r="57" spans="2:19" ht="13">
      <c r="B57" s="562" t="s">
        <v>143</v>
      </c>
      <c r="C57" s="96">
        <f>IFERROR(AVERAGE(N48:N55),"")</f>
        <v>5.4265646628342379E-2</v>
      </c>
      <c r="D57" s="96">
        <f>IFERROR(AVERAGE(O48:O55),"")</f>
        <v>3.2044159070440628E-2</v>
      </c>
      <c r="E57" s="112"/>
      <c r="F57" s="96">
        <f>IFERROR(AVERAGE(Q48:Q55),"")</f>
        <v>-6.6670837707864603</v>
      </c>
      <c r="G57" s="112"/>
      <c r="H57" s="96">
        <f>IFERROR(AVERAGE(S48:S55),"")</f>
        <v>1.6491990419653317</v>
      </c>
      <c r="I57" s="112"/>
      <c r="J57" s="1176" t="s">
        <v>144</v>
      </c>
      <c r="K57" s="1177"/>
      <c r="L57" s="121">
        <f>L49-L50+L53-L54-L55</f>
        <v>3494.8</v>
      </c>
      <c r="M57" s="350">
        <f>M49-M50+M53-M54-M55</f>
        <v>4224.3</v>
      </c>
    </row>
    <row r="58" spans="2:19">
      <c r="B58" s="562" t="s">
        <v>145</v>
      </c>
      <c r="C58" s="96">
        <f>IFERROR(STDEV(C48:C55)/AVERAGE(C48:C55),"")</f>
        <v>0.10420683052863217</v>
      </c>
      <c r="D58" s="96">
        <f>IFERROR(STDEV(D47:D55)/AVERAGE(D47:D55),"")</f>
        <v>8.8140779752340123E-2</v>
      </c>
      <c r="E58" s="112"/>
      <c r="F58" s="96">
        <f>IFERROR(STDEV(F47:F55)/AVERAGE(F47:F55),"")</f>
        <v>22.177983275805836</v>
      </c>
      <c r="G58" s="112"/>
      <c r="H58" s="96">
        <f>IFERROR(STDEV(H47:H55)/AVERAGE(H47:H55),"")</f>
        <v>0.20435164989821492</v>
      </c>
      <c r="I58" s="112"/>
      <c r="J58" s="1178" t="s">
        <v>146</v>
      </c>
      <c r="K58" s="1179"/>
      <c r="L58" s="345">
        <f>IFERROR(SUM(I52:I55)/(C55-C51),"")</f>
        <v>-2.0660569733671146</v>
      </c>
      <c r="M58" s="400">
        <f>IFERROR((SUM(I52:I55)-SUM(H52:H55))/(C55-C51),"")</f>
        <v>-2.9785577457826125</v>
      </c>
    </row>
    <row r="59" spans="2:19">
      <c r="B59" s="562" t="s">
        <v>147</v>
      </c>
      <c r="C59" s="96">
        <f>IFERROR(C55/C54-1,"")</f>
        <v>5.3868776844465893E-2</v>
      </c>
      <c r="D59" s="96">
        <f>IFERROR(D55/D54-1,"")</f>
        <v>5.7961926006922626E-2</v>
      </c>
      <c r="E59" s="112"/>
      <c r="F59" s="96">
        <f>IFERROR(1-(F55/F54),"")</f>
        <v>0.74770290964777897</v>
      </c>
      <c r="G59" s="112"/>
      <c r="H59" s="96">
        <f>IFERROR(1-(H55/H54),"")</f>
        <v>-7.2999999999999954E-2</v>
      </c>
      <c r="I59" s="112"/>
      <c r="J59" s="1180" t="s">
        <v>148</v>
      </c>
      <c r="K59" s="1181"/>
      <c r="L59" s="346">
        <f>IFERROR(L58/E27,"")</f>
        <v>-4.2288410312927258</v>
      </c>
      <c r="M59" s="351">
        <f>IFERROR(M58/E27,"")</f>
        <v>-6.0965633435134423</v>
      </c>
    </row>
    <row r="60" spans="2:19" ht="18">
      <c r="B60" s="1168" t="s">
        <v>149</v>
      </c>
      <c r="C60" s="1169"/>
      <c r="D60" s="1169"/>
      <c r="E60" s="1169"/>
      <c r="F60" s="1169"/>
      <c r="G60" s="1169"/>
      <c r="H60" s="1169"/>
      <c r="I60" s="1169"/>
      <c r="J60" s="1169"/>
      <c r="K60" s="1169"/>
      <c r="L60" s="1169"/>
      <c r="M60" s="1170"/>
    </row>
    <row r="61" spans="2:19" ht="15.5">
      <c r="B61" s="1086" t="s">
        <v>150</v>
      </c>
      <c r="C61" s="1087"/>
      <c r="D61" s="1087"/>
      <c r="E61" s="1087"/>
      <c r="F61" s="1087"/>
      <c r="G61" s="1087"/>
      <c r="H61" s="1087"/>
      <c r="I61" s="1087"/>
      <c r="J61" s="1087" t="s">
        <v>151</v>
      </c>
      <c r="K61" s="1087"/>
      <c r="L61" s="1087"/>
      <c r="M61" s="1174"/>
    </row>
    <row r="62" spans="2:19" ht="13">
      <c r="B62" s="1173" t="s">
        <v>152</v>
      </c>
      <c r="C62" s="1057"/>
      <c r="D62" s="1057"/>
      <c r="E62" s="1064" t="s">
        <v>153</v>
      </c>
      <c r="F62" s="1064"/>
      <c r="G62" s="1064"/>
      <c r="H62" s="1064"/>
      <c r="I62" s="1064"/>
      <c r="J62" s="1057" t="s">
        <v>154</v>
      </c>
      <c r="K62" s="1057"/>
      <c r="L62" s="1057"/>
      <c r="M62" s="348" t="s">
        <v>155</v>
      </c>
    </row>
    <row r="63" spans="2:19" ht="15" customHeight="1">
      <c r="B63" s="1018" t="s">
        <v>156</v>
      </c>
      <c r="C63" s="1019"/>
      <c r="D63" s="1019"/>
      <c r="E63" s="1161"/>
      <c r="F63" s="1162"/>
      <c r="G63" s="1162"/>
      <c r="H63" s="1162"/>
      <c r="I63" s="1163"/>
      <c r="J63" s="1061" t="s">
        <v>157</v>
      </c>
      <c r="K63" s="1062"/>
      <c r="L63" s="1063"/>
      <c r="M63" s="352">
        <v>7.5499999999999998E-2</v>
      </c>
    </row>
    <row r="64" spans="2:19" ht="15" customHeight="1">
      <c r="B64" s="1039" t="s">
        <v>158</v>
      </c>
      <c r="C64" s="1040"/>
      <c r="D64" s="1040"/>
      <c r="E64" s="1153" t="s">
        <v>159</v>
      </c>
      <c r="F64" s="1154"/>
      <c r="G64" s="1154"/>
      <c r="H64" s="1154"/>
      <c r="I64" s="1155"/>
      <c r="J64" s="1059" t="s">
        <v>160</v>
      </c>
      <c r="K64" s="1060"/>
      <c r="L64" s="1060"/>
      <c r="M64" s="352">
        <v>6.0199999999999997E-2</v>
      </c>
    </row>
    <row r="65" spans="2:13" ht="15" customHeight="1">
      <c r="B65" s="1041"/>
      <c r="C65" s="1042"/>
      <c r="D65" s="1042"/>
      <c r="E65" s="1156"/>
      <c r="F65" s="1157"/>
      <c r="G65" s="1157"/>
      <c r="H65" s="1157"/>
      <c r="I65" s="1158"/>
      <c r="J65" s="1059" t="s">
        <v>161</v>
      </c>
      <c r="K65" s="1060"/>
      <c r="L65" s="1060"/>
      <c r="M65" s="352">
        <v>5.7099999999999998E-2</v>
      </c>
    </row>
    <row r="66" spans="2:13" ht="16.5" customHeight="1">
      <c r="B66" s="1018"/>
      <c r="C66" s="1019"/>
      <c r="D66" s="1019"/>
      <c r="E66" s="1161"/>
      <c r="F66" s="1162"/>
      <c r="G66" s="1162"/>
      <c r="H66" s="1162"/>
      <c r="I66" s="1163"/>
      <c r="J66" s="1059" t="s">
        <v>162</v>
      </c>
      <c r="K66" s="1060"/>
      <c r="L66" s="1060"/>
      <c r="M66" s="352">
        <v>5.4300000000000001E-2</v>
      </c>
    </row>
    <row r="67" spans="2:13" ht="14.25" customHeight="1">
      <c r="B67" s="1039" t="s">
        <v>163</v>
      </c>
      <c r="C67" s="1040"/>
      <c r="D67" s="1040"/>
      <c r="E67" s="1153" t="s">
        <v>164</v>
      </c>
      <c r="F67" s="1154"/>
      <c r="G67" s="1154"/>
      <c r="H67" s="1154"/>
      <c r="I67" s="1155"/>
      <c r="J67" s="1059" t="s">
        <v>165</v>
      </c>
      <c r="K67" s="1060"/>
      <c r="L67" s="1060"/>
      <c r="M67" s="352">
        <v>4.4200000000000003E-2</v>
      </c>
    </row>
    <row r="68" spans="2:13" ht="12.75" customHeight="1">
      <c r="B68" s="1041"/>
      <c r="C68" s="1042"/>
      <c r="D68" s="1042"/>
      <c r="E68" s="1159"/>
      <c r="F68" s="1142"/>
      <c r="G68" s="1142"/>
      <c r="H68" s="1142"/>
      <c r="I68" s="1160"/>
      <c r="J68" s="1059" t="s">
        <v>166</v>
      </c>
      <c r="K68" s="1060"/>
      <c r="L68" s="1060"/>
      <c r="M68" s="352">
        <v>3.6999999999999998E-2</v>
      </c>
    </row>
    <row r="69" spans="2:13" ht="14">
      <c r="B69" s="1018" t="s">
        <v>156</v>
      </c>
      <c r="C69" s="1019"/>
      <c r="D69" s="1019"/>
      <c r="E69" s="1161"/>
      <c r="F69" s="1162"/>
      <c r="G69" s="1162"/>
      <c r="H69" s="1162"/>
      <c r="I69" s="1163"/>
      <c r="J69" s="1059" t="s">
        <v>167</v>
      </c>
      <c r="K69" s="1060"/>
      <c r="L69" s="1060"/>
      <c r="M69" s="352">
        <v>1.7500000000000002E-2</v>
      </c>
    </row>
    <row r="70" spans="2:13" ht="14.15" customHeight="1">
      <c r="B70" s="1039" t="s">
        <v>168</v>
      </c>
      <c r="C70" s="1040"/>
      <c r="D70" s="1040"/>
      <c r="E70" s="1153" t="s">
        <v>169</v>
      </c>
      <c r="F70" s="1154"/>
      <c r="G70" s="1154"/>
      <c r="H70" s="1154"/>
      <c r="I70" s="1155"/>
      <c r="J70" s="1059" t="s">
        <v>170</v>
      </c>
      <c r="K70" s="1060"/>
      <c r="L70" s="1060"/>
      <c r="M70" s="352">
        <v>1.7399999999999999E-2</v>
      </c>
    </row>
    <row r="71" spans="2:13" ht="14">
      <c r="B71" s="1041"/>
      <c r="C71" s="1042"/>
      <c r="D71" s="1042"/>
      <c r="E71" s="1156"/>
      <c r="F71" s="1157"/>
      <c r="G71" s="1157"/>
      <c r="H71" s="1157"/>
      <c r="I71" s="1158"/>
      <c r="J71" s="1059" t="s">
        <v>171</v>
      </c>
      <c r="K71" s="1060"/>
      <c r="L71" s="1060"/>
      <c r="M71" s="352">
        <v>1.6899999999999998E-2</v>
      </c>
    </row>
    <row r="72" spans="2:13" ht="14">
      <c r="B72" s="1018" t="s">
        <v>156</v>
      </c>
      <c r="C72" s="1019"/>
      <c r="D72" s="1019"/>
      <c r="E72" s="681" t="s">
        <v>156</v>
      </c>
      <c r="F72" s="682"/>
      <c r="G72" s="682"/>
      <c r="H72" s="682"/>
      <c r="I72" s="683"/>
      <c r="J72" s="1059" t="s">
        <v>172</v>
      </c>
      <c r="K72" s="1060"/>
      <c r="L72" s="1060"/>
      <c r="M72" s="352">
        <v>1.6199999999999999E-2</v>
      </c>
    </row>
    <row r="73" spans="2:13" ht="13">
      <c r="B73" s="1173" t="s">
        <v>173</v>
      </c>
      <c r="C73" s="1057"/>
      <c r="D73" s="1057"/>
      <c r="E73" s="1058" t="s">
        <v>174</v>
      </c>
      <c r="F73" s="1058"/>
      <c r="G73" s="1058"/>
      <c r="H73" s="1058"/>
      <c r="I73" s="1058"/>
      <c r="J73" s="1175" t="s">
        <v>175</v>
      </c>
      <c r="K73" s="1060"/>
      <c r="L73" s="1060"/>
      <c r="M73" s="352">
        <v>3.49E-2</v>
      </c>
    </row>
    <row r="74" spans="2:13" ht="15" customHeight="1" thickBot="1">
      <c r="B74" s="1018"/>
      <c r="C74" s="1019"/>
      <c r="D74" s="1020"/>
      <c r="E74" s="1021" t="s">
        <v>156</v>
      </c>
      <c r="F74" s="1022"/>
      <c r="G74" s="1022"/>
      <c r="H74" s="1022"/>
      <c r="I74" s="1023"/>
      <c r="J74" s="1065" t="s">
        <v>176</v>
      </c>
      <c r="K74" s="1062"/>
      <c r="L74" s="1063"/>
      <c r="M74" s="352">
        <v>2.9499999999999998E-2</v>
      </c>
    </row>
    <row r="75" spans="2:13" ht="15" customHeight="1">
      <c r="B75" s="1039" t="s">
        <v>177</v>
      </c>
      <c r="C75" s="1040"/>
      <c r="D75" s="1051"/>
      <c r="E75" s="1033" t="s">
        <v>178</v>
      </c>
      <c r="F75" s="1034"/>
      <c r="G75" s="1034"/>
      <c r="H75" s="1034"/>
      <c r="I75" s="1035"/>
      <c r="J75" s="1065" t="s">
        <v>179</v>
      </c>
      <c r="K75" s="1062"/>
      <c r="L75" s="1063"/>
      <c r="M75" s="352">
        <v>2.8500000000000001E-2</v>
      </c>
    </row>
    <row r="76" spans="2:13" ht="15" customHeight="1" thickBot="1">
      <c r="B76" s="1041"/>
      <c r="C76" s="1042"/>
      <c r="D76" s="1052"/>
      <c r="E76" s="1036"/>
      <c r="F76" s="1037"/>
      <c r="G76" s="1037"/>
      <c r="H76" s="1037"/>
      <c r="I76" s="1038"/>
      <c r="J76" s="1065" t="s">
        <v>180</v>
      </c>
      <c r="K76" s="1062"/>
      <c r="L76" s="1063"/>
      <c r="M76" s="352">
        <v>2.2700000000000001E-2</v>
      </c>
    </row>
    <row r="77" spans="2:13" ht="15" customHeight="1" thickBot="1">
      <c r="B77" s="1018" t="s">
        <v>181</v>
      </c>
      <c r="C77" s="1019"/>
      <c r="D77" s="1020"/>
      <c r="E77" s="1030" t="s">
        <v>156</v>
      </c>
      <c r="F77" s="1031"/>
      <c r="G77" s="1031"/>
      <c r="H77" s="1031"/>
      <c r="I77" s="1032"/>
      <c r="J77" s="1065" t="s">
        <v>182</v>
      </c>
      <c r="K77" s="1062"/>
      <c r="L77" s="1063"/>
      <c r="M77" s="352">
        <v>1.7600000000000001E-2</v>
      </c>
    </row>
    <row r="78" spans="2:13" ht="31.5" customHeight="1" thickBot="1">
      <c r="B78" s="1039" t="s">
        <v>183</v>
      </c>
      <c r="C78" s="1040"/>
      <c r="D78" s="1040"/>
      <c r="E78" s="1027" t="s">
        <v>184</v>
      </c>
      <c r="F78" s="1028"/>
      <c r="G78" s="1028"/>
      <c r="H78" s="1028"/>
      <c r="I78" s="1029"/>
      <c r="J78" s="1066" t="s">
        <v>185</v>
      </c>
      <c r="K78" s="1067"/>
      <c r="L78" s="1068"/>
      <c r="M78" s="684">
        <v>1.0800000000000001E-2</v>
      </c>
    </row>
    <row r="79" spans="2:13" ht="14.5" thickBot="1">
      <c r="B79" s="1018"/>
      <c r="C79" s="1019"/>
      <c r="D79" s="1020"/>
      <c r="E79" s="1030" t="s">
        <v>156</v>
      </c>
      <c r="F79" s="1031"/>
      <c r="G79" s="1031"/>
      <c r="H79" s="1031"/>
      <c r="I79" s="1032"/>
      <c r="J79" s="1065" t="s">
        <v>186</v>
      </c>
      <c r="K79" s="1061"/>
      <c r="L79" s="1059"/>
      <c r="M79" s="352">
        <v>1.0500000000000001E-2</v>
      </c>
    </row>
    <row r="80" spans="2:13" ht="13.15" customHeight="1">
      <c r="B80" s="1039" t="s">
        <v>187</v>
      </c>
      <c r="C80" s="1040"/>
      <c r="D80" s="1049"/>
      <c r="E80" s="1043" t="s">
        <v>188</v>
      </c>
      <c r="F80" s="1044"/>
      <c r="G80" s="1044"/>
      <c r="H80" s="1044"/>
      <c r="I80" s="1045"/>
      <c r="J80" s="1065" t="s">
        <v>189</v>
      </c>
      <c r="K80" s="1062"/>
      <c r="L80" s="1063"/>
      <c r="M80" s="352">
        <v>9.7000000000000003E-3</v>
      </c>
    </row>
    <row r="81" spans="2:13" ht="13.15" customHeight="1" thickBot="1">
      <c r="B81" s="1041"/>
      <c r="C81" s="1042"/>
      <c r="D81" s="1050"/>
      <c r="E81" s="1046"/>
      <c r="F81" s="1047"/>
      <c r="G81" s="1047"/>
      <c r="H81" s="1047"/>
      <c r="I81" s="1048"/>
      <c r="J81" s="1065" t="s">
        <v>190</v>
      </c>
      <c r="K81" s="1062"/>
      <c r="L81" s="1063"/>
      <c r="M81" s="352">
        <v>9.4999999999999998E-3</v>
      </c>
    </row>
    <row r="82" spans="2:13" ht="13.15" customHeight="1">
      <c r="B82" s="1018" t="s">
        <v>156</v>
      </c>
      <c r="C82" s="1019"/>
      <c r="D82" s="1020"/>
      <c r="E82" s="1024" t="s">
        <v>156</v>
      </c>
      <c r="F82" s="1025"/>
      <c r="G82" s="1025"/>
      <c r="H82" s="1025"/>
      <c r="I82" s="1026"/>
      <c r="J82" s="1069" t="s">
        <v>191</v>
      </c>
      <c r="K82" s="1062"/>
      <c r="L82" s="1063"/>
      <c r="M82" s="352">
        <f>SUM(M63:M81)</f>
        <v>0.56999999999999995</v>
      </c>
    </row>
    <row r="83" spans="2:13" ht="15.65" customHeight="1">
      <c r="B83" s="1079" t="s">
        <v>192</v>
      </c>
      <c r="C83" s="1080"/>
      <c r="D83" s="1080"/>
      <c r="E83" s="1080"/>
      <c r="F83" s="1081"/>
      <c r="G83" s="1054" t="s">
        <v>193</v>
      </c>
      <c r="H83" s="1055"/>
      <c r="I83" s="1055"/>
      <c r="J83" s="1055"/>
      <c r="K83" s="1055"/>
      <c r="L83" s="1055"/>
      <c r="M83" s="1056"/>
    </row>
    <row r="84" spans="2:13" s="6" customFormat="1">
      <c r="B84" s="1070"/>
      <c r="C84" s="1071"/>
      <c r="D84" s="1071"/>
      <c r="E84" s="1071"/>
      <c r="F84" s="1072"/>
      <c r="G84"/>
      <c r="H84"/>
      <c r="I84"/>
      <c r="J84"/>
      <c r="K84"/>
      <c r="L84"/>
      <c r="M84" s="40"/>
    </row>
    <row r="85" spans="2:13">
      <c r="B85" s="1073"/>
      <c r="C85" s="1074"/>
      <c r="D85" s="1074"/>
      <c r="E85" s="1074"/>
      <c r="F85" s="1075"/>
      <c r="M85" s="40"/>
    </row>
    <row r="86" spans="2:13">
      <c r="B86" s="1073"/>
      <c r="C86" s="1074"/>
      <c r="D86" s="1074"/>
      <c r="E86" s="1074"/>
      <c r="F86" s="1075"/>
      <c r="M86" s="40"/>
    </row>
    <row r="87" spans="2:13">
      <c r="B87" s="1073"/>
      <c r="C87" s="1074"/>
      <c r="D87" s="1074"/>
      <c r="E87" s="1074"/>
      <c r="F87" s="1075"/>
      <c r="M87" s="40"/>
    </row>
    <row r="88" spans="2:13">
      <c r="B88" s="1073"/>
      <c r="C88" s="1074"/>
      <c r="D88" s="1074"/>
      <c r="E88" s="1074"/>
      <c r="F88" s="1075"/>
      <c r="M88" s="40"/>
    </row>
    <row r="89" spans="2:13">
      <c r="B89" s="1073"/>
      <c r="C89" s="1074"/>
      <c r="D89" s="1074"/>
      <c r="E89" s="1074"/>
      <c r="F89" s="1075"/>
      <c r="M89" s="40"/>
    </row>
    <row r="90" spans="2:13">
      <c r="B90" s="1073"/>
      <c r="C90" s="1074"/>
      <c r="D90" s="1074"/>
      <c r="E90" s="1074"/>
      <c r="F90" s="1075"/>
      <c r="M90" s="40"/>
    </row>
    <row r="91" spans="2:13">
      <c r="B91" s="1073"/>
      <c r="C91" s="1074"/>
      <c r="D91" s="1074"/>
      <c r="E91" s="1074"/>
      <c r="F91" s="1075"/>
      <c r="M91" s="40"/>
    </row>
    <row r="92" spans="2:13">
      <c r="B92" s="1073"/>
      <c r="C92" s="1074"/>
      <c r="D92" s="1074"/>
      <c r="E92" s="1074"/>
      <c r="F92" s="1075"/>
      <c r="M92" s="40"/>
    </row>
    <row r="93" spans="2:13">
      <c r="B93" s="1073"/>
      <c r="C93" s="1074"/>
      <c r="D93" s="1074"/>
      <c r="E93" s="1074"/>
      <c r="F93" s="1075"/>
      <c r="M93" s="40"/>
    </row>
    <row r="94" spans="2:13">
      <c r="B94" s="1073"/>
      <c r="C94" s="1074"/>
      <c r="D94" s="1074"/>
      <c r="E94" s="1074"/>
      <c r="F94" s="1075"/>
      <c r="M94" s="40"/>
    </row>
    <row r="95" spans="2:13">
      <c r="B95" s="1073"/>
      <c r="C95" s="1074"/>
      <c r="D95" s="1074"/>
      <c r="E95" s="1074"/>
      <c r="F95" s="1075"/>
      <c r="M95" s="40"/>
    </row>
    <row r="96" spans="2:13">
      <c r="B96" s="1073"/>
      <c r="C96" s="1074"/>
      <c r="D96" s="1074"/>
      <c r="E96" s="1074"/>
      <c r="F96" s="1075"/>
      <c r="M96" s="40"/>
    </row>
    <row r="97" spans="2:13">
      <c r="B97" s="1073"/>
      <c r="C97" s="1074"/>
      <c r="D97" s="1074"/>
      <c r="E97" s="1074"/>
      <c r="F97" s="1075"/>
      <c r="M97" s="40"/>
    </row>
    <row r="98" spans="2:13">
      <c r="B98" s="1073"/>
      <c r="C98" s="1074"/>
      <c r="D98" s="1074"/>
      <c r="E98" s="1074"/>
      <c r="F98" s="1075"/>
      <c r="M98" s="40"/>
    </row>
    <row r="99" spans="2:13">
      <c r="B99" s="1073"/>
      <c r="C99" s="1074"/>
      <c r="D99" s="1074"/>
      <c r="E99" s="1074"/>
      <c r="F99" s="1075"/>
      <c r="M99" s="40"/>
    </row>
    <row r="100" spans="2:13">
      <c r="B100" s="1073"/>
      <c r="C100" s="1074"/>
      <c r="D100" s="1074"/>
      <c r="E100" s="1074"/>
      <c r="F100" s="1075"/>
      <c r="M100" s="40"/>
    </row>
    <row r="101" spans="2:13">
      <c r="B101" s="1073"/>
      <c r="C101" s="1074"/>
      <c r="D101" s="1074"/>
      <c r="E101" s="1074"/>
      <c r="F101" s="1075"/>
      <c r="M101" s="40"/>
    </row>
    <row r="102" spans="2:13">
      <c r="B102" s="1073"/>
      <c r="C102" s="1074"/>
      <c r="D102" s="1074"/>
      <c r="E102" s="1074"/>
      <c r="F102" s="1075"/>
      <c r="M102" s="40"/>
    </row>
    <row r="103" spans="2:13">
      <c r="B103" s="1073"/>
      <c r="C103" s="1074"/>
      <c r="D103" s="1074"/>
      <c r="E103" s="1074"/>
      <c r="F103" s="1075"/>
      <c r="M103" s="40"/>
    </row>
    <row r="104" spans="2:13">
      <c r="B104" s="1073"/>
      <c r="C104" s="1074"/>
      <c r="D104" s="1074"/>
      <c r="E104" s="1074"/>
      <c r="F104" s="1075"/>
      <c r="M104" s="40"/>
    </row>
    <row r="105" spans="2:13">
      <c r="B105" s="1073"/>
      <c r="C105" s="1074"/>
      <c r="D105" s="1074"/>
      <c r="E105" s="1074"/>
      <c r="F105" s="1075"/>
      <c r="M105" s="40"/>
    </row>
    <row r="106" spans="2:13">
      <c r="B106" s="1073"/>
      <c r="C106" s="1074"/>
      <c r="D106" s="1074"/>
      <c r="E106" s="1074"/>
      <c r="F106" s="1075"/>
      <c r="M106" s="40"/>
    </row>
    <row r="107" spans="2:13" ht="41.25" customHeight="1" thickBot="1">
      <c r="B107" s="1073"/>
      <c r="C107" s="1074"/>
      <c r="D107" s="1074"/>
      <c r="E107" s="1074"/>
      <c r="F107" s="1075"/>
      <c r="M107" s="40"/>
    </row>
    <row r="108" spans="2:13" ht="54" customHeight="1" thickBot="1">
      <c r="B108" s="1076"/>
      <c r="C108" s="1077"/>
      <c r="D108" s="1077"/>
      <c r="E108" s="1077"/>
      <c r="F108" s="1078"/>
      <c r="G108" s="1053" t="e" vm="1">
        <f>E2</f>
        <v>#VALUE!</v>
      </c>
      <c r="H108" s="1053"/>
      <c r="I108" s="1000" t="e" vm="2">
        <f>Peers!C2</f>
        <v>#VALUE!</v>
      </c>
      <c r="J108" s="1004" t="e" vm="3">
        <f>Peers!C3</f>
        <v>#VALUE!</v>
      </c>
      <c r="K108" s="1001" t="e" vm="4">
        <f>Peers!C5</f>
        <v>#VALUE!</v>
      </c>
      <c r="L108" s="1002" t="e" vm="5">
        <f>Peers!C4</f>
        <v>#VALUE!</v>
      </c>
      <c r="M108" s="1003" t="e" vm="6">
        <f>Peers!C6</f>
        <v>#VALUE!</v>
      </c>
    </row>
  </sheetData>
  <mergeCells count="163">
    <mergeCell ref="B3:C14"/>
    <mergeCell ref="E63:I63"/>
    <mergeCell ref="B19:C19"/>
    <mergeCell ref="B29:C29"/>
    <mergeCell ref="H35:H38"/>
    <mergeCell ref="C37:G37"/>
    <mergeCell ref="C38:G38"/>
    <mergeCell ref="C41:G41"/>
    <mergeCell ref="C35:G35"/>
    <mergeCell ref="B60:M60"/>
    <mergeCell ref="L4:M4"/>
    <mergeCell ref="L5:M5"/>
    <mergeCell ref="L6:M6"/>
    <mergeCell ref="L7:M7"/>
    <mergeCell ref="L8:M8"/>
    <mergeCell ref="L9:M9"/>
    <mergeCell ref="L10:M10"/>
    <mergeCell ref="L11:M11"/>
    <mergeCell ref="L12:M12"/>
    <mergeCell ref="J4:K4"/>
    <mergeCell ref="J5:K5"/>
    <mergeCell ref="F21:G23"/>
    <mergeCell ref="H21:H23"/>
    <mergeCell ref="F24:G25"/>
    <mergeCell ref="E66:I66"/>
    <mergeCell ref="C43:G43"/>
    <mergeCell ref="H24:H25"/>
    <mergeCell ref="F31:G32"/>
    <mergeCell ref="F29:G30"/>
    <mergeCell ref="F27:G28"/>
    <mergeCell ref="H31:H32"/>
    <mergeCell ref="H29:H30"/>
    <mergeCell ref="H27:H28"/>
    <mergeCell ref="I42:I44"/>
    <mergeCell ref="B63:D63"/>
    <mergeCell ref="B66:D66"/>
    <mergeCell ref="B33:M33"/>
    <mergeCell ref="M40:M41"/>
    <mergeCell ref="J42:K44"/>
    <mergeCell ref="L17:M17"/>
    <mergeCell ref="J55:K55"/>
    <mergeCell ref="J56:K56"/>
    <mergeCell ref="J57:K57"/>
    <mergeCell ref="J58:K58"/>
    <mergeCell ref="J59:K59"/>
    <mergeCell ref="L40:L41"/>
    <mergeCell ref="L42:L44"/>
    <mergeCell ref="B15:C15"/>
    <mergeCell ref="D19:E19"/>
    <mergeCell ref="B18:M18"/>
    <mergeCell ref="L19:M19"/>
    <mergeCell ref="J75:L75"/>
    <mergeCell ref="I35:M38"/>
    <mergeCell ref="I39:M39"/>
    <mergeCell ref="J48:K48"/>
    <mergeCell ref="J49:K49"/>
    <mergeCell ref="J50:K50"/>
    <mergeCell ref="J51:K51"/>
    <mergeCell ref="J52:K52"/>
    <mergeCell ref="J53:K53"/>
    <mergeCell ref="J54:K54"/>
    <mergeCell ref="E70:I71"/>
    <mergeCell ref="E67:I68"/>
    <mergeCell ref="E64:I65"/>
    <mergeCell ref="E69:I69"/>
    <mergeCell ref="C36:G36"/>
    <mergeCell ref="J46:M46"/>
    <mergeCell ref="B45:M45"/>
    <mergeCell ref="I40:I41"/>
    <mergeCell ref="B62:D62"/>
    <mergeCell ref="B73:D73"/>
    <mergeCell ref="J61:M61"/>
    <mergeCell ref="J73:L73"/>
    <mergeCell ref="J74:L74"/>
    <mergeCell ref="B64:D65"/>
    <mergeCell ref="E2:K2"/>
    <mergeCell ref="F20:G20"/>
    <mergeCell ref="F26:G26"/>
    <mergeCell ref="J21:K21"/>
    <mergeCell ref="I22:J22"/>
    <mergeCell ref="I23:J23"/>
    <mergeCell ref="I24:J24"/>
    <mergeCell ref="I25:J25"/>
    <mergeCell ref="I26:J26"/>
    <mergeCell ref="D4:G17"/>
    <mergeCell ref="D3:G3"/>
    <mergeCell ref="H3:M3"/>
    <mergeCell ref="F19:H19"/>
    <mergeCell ref="J20:K20"/>
    <mergeCell ref="J12:K12"/>
    <mergeCell ref="J13:K13"/>
    <mergeCell ref="J14:K14"/>
    <mergeCell ref="J15:K15"/>
    <mergeCell ref="J16:K16"/>
    <mergeCell ref="J17:K17"/>
    <mergeCell ref="L13:M13"/>
    <mergeCell ref="L14:M14"/>
    <mergeCell ref="L15:M15"/>
    <mergeCell ref="L16:M16"/>
    <mergeCell ref="J77:L77"/>
    <mergeCell ref="J72:L72"/>
    <mergeCell ref="J6:K6"/>
    <mergeCell ref="J7:K7"/>
    <mergeCell ref="J8:K8"/>
    <mergeCell ref="J9:K9"/>
    <mergeCell ref="J10:K10"/>
    <mergeCell ref="J11:K11"/>
    <mergeCell ref="B61:I61"/>
    <mergeCell ref="B34:G34"/>
    <mergeCell ref="I19:K19"/>
    <mergeCell ref="C44:G44"/>
    <mergeCell ref="C42:G42"/>
    <mergeCell ref="I29:J29"/>
    <mergeCell ref="I30:J30"/>
    <mergeCell ref="I31:J31"/>
    <mergeCell ref="I34:M34"/>
    <mergeCell ref="B39:G39"/>
    <mergeCell ref="C40:G40"/>
    <mergeCell ref="M42:M44"/>
    <mergeCell ref="I27:J27"/>
    <mergeCell ref="I28:J28"/>
    <mergeCell ref="H40:H44"/>
    <mergeCell ref="J40:K41"/>
    <mergeCell ref="G108:H108"/>
    <mergeCell ref="G83:M83"/>
    <mergeCell ref="J62:L62"/>
    <mergeCell ref="E73:I73"/>
    <mergeCell ref="J65:L65"/>
    <mergeCell ref="J66:L66"/>
    <mergeCell ref="J67:L67"/>
    <mergeCell ref="J68:L68"/>
    <mergeCell ref="J69:L69"/>
    <mergeCell ref="J70:L70"/>
    <mergeCell ref="J71:L71"/>
    <mergeCell ref="J63:L63"/>
    <mergeCell ref="J64:L64"/>
    <mergeCell ref="E62:I62"/>
    <mergeCell ref="J76:L76"/>
    <mergeCell ref="J78:L78"/>
    <mergeCell ref="J79:L79"/>
    <mergeCell ref="J80:L80"/>
    <mergeCell ref="J82:L82"/>
    <mergeCell ref="J81:L81"/>
    <mergeCell ref="B84:F108"/>
    <mergeCell ref="B83:F83"/>
    <mergeCell ref="B74:D74"/>
    <mergeCell ref="B77:D77"/>
    <mergeCell ref="B82:D82"/>
    <mergeCell ref="E74:I74"/>
    <mergeCell ref="E82:I82"/>
    <mergeCell ref="E78:I78"/>
    <mergeCell ref="E79:I79"/>
    <mergeCell ref="E77:I77"/>
    <mergeCell ref="E75:I76"/>
    <mergeCell ref="B70:D71"/>
    <mergeCell ref="B67:D68"/>
    <mergeCell ref="B69:D69"/>
    <mergeCell ref="B72:D72"/>
    <mergeCell ref="E80:I81"/>
    <mergeCell ref="B80:D81"/>
    <mergeCell ref="B75:D76"/>
    <mergeCell ref="B78:D78"/>
    <mergeCell ref="B79:D79"/>
  </mergeCells>
  <phoneticPr fontId="0" type="noConversion"/>
  <conditionalFormatting sqref="C47:C55 D47:E47">
    <cfRule type="dataBar" priority="11">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7:D55">
    <cfRule type="dataBar" priority="10">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8:D55">
    <cfRule type="dataBar" priority="17">
      <dataBar>
        <cfvo type="min"/>
        <cfvo type="max"/>
        <color rgb="FF638EC6"/>
      </dataBar>
      <extLst>
        <ext xmlns:x14="http://schemas.microsoft.com/office/spreadsheetml/2009/9/main" uri="{B025F937-C7B1-47D3-B67F-A62EFF666E3E}">
          <x14:id>{8F05AC94-FB75-41DC-A030-BD50695363B2}</x14:id>
        </ext>
      </extLst>
    </cfRule>
    <cfRule type="dataBar" priority="19">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7:E55">
    <cfRule type="dataBar" priority="9">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8:E55">
    <cfRule type="dataBar" priority="12">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6:E59 G56:G59 I56:I59">
    <cfRule type="dataBar" priority="14">
      <dataBar>
        <cfvo type="min"/>
        <cfvo type="max"/>
        <color rgb="FF638EC6"/>
      </dataBar>
      <extLst>
        <ext xmlns:x14="http://schemas.microsoft.com/office/spreadsheetml/2009/9/main" uri="{B025F937-C7B1-47D3-B67F-A62EFF666E3E}">
          <x14:id>{4382A5A4-8938-4754-913D-04C8EB3E9944}</x14:id>
        </ext>
      </extLst>
    </cfRule>
    <cfRule type="dataBar" priority="15">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7:F55">
    <cfRule type="dataBar" priority="16">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7:G55">
    <cfRule type="dataBar" priority="18">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1 H24">
    <cfRule type="dataBar" priority="272">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7 H29 H31">
    <cfRule type="dataBar" priority="274">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7:H55">
    <cfRule type="dataBar" priority="21">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7:I55">
    <cfRule type="dataBar" priority="13">
      <dataBar>
        <cfvo type="min"/>
        <cfvo type="max"/>
        <color rgb="FF63C384"/>
      </dataBar>
      <extLst>
        <ext xmlns:x14="http://schemas.microsoft.com/office/spreadsheetml/2009/9/main" uri="{B025F937-C7B1-47D3-B67F-A62EFF666E3E}">
          <x14:id>{60823727-C433-4BFE-A422-F2DB16A0B39B}</x14:id>
        </ext>
      </extLst>
    </cfRule>
  </conditionalFormatting>
  <conditionalFormatting sqref="J42:K44">
    <cfRule type="cellIs" dxfId="34" priority="1" operator="lessThan">
      <formula>0</formula>
    </cfRule>
    <cfRule type="cellIs" dxfId="33" priority="2" operator="greaterThan">
      <formula>0</formula>
    </cfRule>
  </conditionalFormatting>
  <conditionalFormatting sqref="M40:M44">
    <cfRule type="cellIs" dxfId="32" priority="3" operator="lessThan">
      <formula>0</formula>
    </cfRule>
    <cfRule type="cellIs" dxfId="31" priority="4" operator="greaterThan">
      <formula>0</formula>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8:S58"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C47:C55 D47:E47</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D47:D55</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D48:D55</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E47:E55</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E48:E55</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E56:E59 G56:G59 I56:I59</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F47:F55</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G47:G55</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 H24</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H27 H29 H31</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H47:H55</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I47:I55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2:Y97"/>
  <sheetViews>
    <sheetView showGridLines="0" topLeftCell="A51" zoomScale="85" zoomScaleNormal="85" workbookViewId="0">
      <selection activeCell="D40" sqref="D40:I41"/>
    </sheetView>
  </sheetViews>
  <sheetFormatPr defaultColWidth="11.453125" defaultRowHeight="12.5"/>
  <cols>
    <col min="1" max="1" width="2.26953125" customWidth="1"/>
    <col min="2" max="2" width="11.26953125" customWidth="1"/>
    <col min="3" max="3" width="42.7265625" customWidth="1"/>
    <col min="4" max="4" width="15.453125" style="1" customWidth="1"/>
    <col min="5" max="9" width="15.453125" customWidth="1"/>
    <col min="10" max="10" width="11.453125" bestFit="1" customWidth="1"/>
    <col min="11" max="11" width="14.26953125" customWidth="1"/>
    <col min="12" max="12" width="14.453125" customWidth="1"/>
    <col min="17" max="17" width="23.453125" customWidth="1"/>
  </cols>
  <sheetData>
    <row r="2" spans="2:25" ht="20">
      <c r="B2" s="1265" t="str">
        <f>"Regions "&amp;"("&amp;OP!$J$20&amp;")"</f>
        <v>Regions (2024)</v>
      </c>
      <c r="C2" s="1266"/>
      <c r="D2" s="1266"/>
      <c r="E2" s="1266"/>
      <c r="F2" s="1266"/>
      <c r="G2" s="1266"/>
      <c r="H2" s="1266"/>
      <c r="I2" s="1266"/>
      <c r="J2" s="1266"/>
      <c r="K2" s="1266"/>
      <c r="L2" s="1266"/>
      <c r="M2" s="1266"/>
      <c r="N2" s="1266"/>
      <c r="O2" s="1266"/>
      <c r="P2" s="1266"/>
      <c r="Q2" s="1261" t="s">
        <v>194</v>
      </c>
      <c r="R2" s="1262"/>
      <c r="S2" s="1262"/>
      <c r="T2" s="1262"/>
      <c r="U2" s="1262"/>
      <c r="V2" s="1262"/>
      <c r="W2" s="1262"/>
      <c r="X2" s="1262"/>
      <c r="Y2" s="1263"/>
    </row>
    <row r="3" spans="2:25" ht="18.649999999999999" customHeight="1">
      <c r="B3" s="722"/>
      <c r="C3" s="137"/>
      <c r="D3" s="1275" t="s">
        <v>195</v>
      </c>
      <c r="E3" s="1275"/>
      <c r="F3" s="1275"/>
      <c r="G3" s="1275"/>
      <c r="H3" s="1275"/>
      <c r="I3" s="1276"/>
      <c r="J3" s="127"/>
      <c r="K3" s="1264" t="s">
        <v>196</v>
      </c>
      <c r="L3" s="1264"/>
      <c r="M3" s="1264"/>
      <c r="N3" s="1264"/>
      <c r="O3" s="1264"/>
      <c r="P3" s="1264"/>
      <c r="Q3" s="1271"/>
      <c r="R3" s="1271"/>
      <c r="S3" s="1271"/>
      <c r="T3" s="1271"/>
      <c r="U3" s="1271"/>
      <c r="V3" s="1271"/>
      <c r="W3" s="1271"/>
      <c r="X3" s="1271"/>
      <c r="Y3" s="1271"/>
    </row>
    <row r="4" spans="2:25" ht="13.5" customHeight="1">
      <c r="B4" s="723" t="s">
        <v>197</v>
      </c>
      <c r="C4" s="132" t="s">
        <v>198</v>
      </c>
      <c r="D4" s="133">
        <v>2024</v>
      </c>
      <c r="E4" s="133">
        <f>D4-1</f>
        <v>2023</v>
      </c>
      <c r="F4" s="133">
        <f>E4-1</f>
        <v>2022</v>
      </c>
      <c r="G4" s="133">
        <f>F4-1</f>
        <v>2021</v>
      </c>
      <c r="H4" s="133">
        <f>G4-1</f>
        <v>2020</v>
      </c>
      <c r="I4" s="133">
        <f>H4-1</f>
        <v>2019</v>
      </c>
      <c r="J4" s="128"/>
      <c r="K4" s="133">
        <v>2024</v>
      </c>
      <c r="L4" s="133">
        <f t="shared" ref="L4:P4" si="0">K4-1</f>
        <v>2023</v>
      </c>
      <c r="M4" s="133">
        <f t="shared" si="0"/>
        <v>2022</v>
      </c>
      <c r="N4" s="133">
        <f t="shared" si="0"/>
        <v>2021</v>
      </c>
      <c r="O4" s="133">
        <f t="shared" si="0"/>
        <v>2020</v>
      </c>
      <c r="P4" s="138">
        <f t="shared" si="0"/>
        <v>2019</v>
      </c>
      <c r="Q4" s="1271"/>
      <c r="R4" s="1271"/>
      <c r="S4" s="1271"/>
      <c r="T4" s="1271"/>
      <c r="U4" s="1271"/>
      <c r="V4" s="1271"/>
      <c r="W4" s="1271"/>
      <c r="X4" s="1271"/>
      <c r="Y4" s="1271"/>
    </row>
    <row r="5" spans="2:25" ht="13" customHeight="1">
      <c r="B5" s="724">
        <f t="shared" ref="B5:B12" si="1">IFERROR(D5/$D$13,"")</f>
        <v>0.97854805356461672</v>
      </c>
      <c r="C5" s="131" t="s">
        <v>199</v>
      </c>
      <c r="D5" s="134">
        <v>9748.1</v>
      </c>
      <c r="E5" s="134">
        <v>9194.5</v>
      </c>
      <c r="F5" s="134">
        <v>8585.7999999999993</v>
      </c>
      <c r="G5" s="134">
        <v>8396.5</v>
      </c>
      <c r="H5" s="134">
        <v>8116.2</v>
      </c>
      <c r="I5" s="134">
        <v>7894.8</v>
      </c>
      <c r="J5" s="129"/>
      <c r="K5" s="252">
        <f t="shared" ref="K5:O10" si="2">(D5-E5)/E5</f>
        <v>6.0209908097232083E-2</v>
      </c>
      <c r="L5" s="252">
        <f t="shared" si="2"/>
        <v>7.089613082065746E-2</v>
      </c>
      <c r="M5" s="252">
        <f t="shared" si="2"/>
        <v>2.2545108080747844E-2</v>
      </c>
      <c r="N5" s="252">
        <f t="shared" si="2"/>
        <v>3.4535866538527908E-2</v>
      </c>
      <c r="O5" s="252">
        <f t="shared" si="2"/>
        <v>2.8043775649794756E-2</v>
      </c>
      <c r="P5" s="716" t="s">
        <v>70</v>
      </c>
      <c r="Q5" s="1271"/>
      <c r="R5" s="1271"/>
      <c r="S5" s="1271"/>
      <c r="T5" s="1271"/>
      <c r="U5" s="1271"/>
      <c r="V5" s="1271"/>
      <c r="W5" s="1271"/>
      <c r="X5" s="1271"/>
      <c r="Y5" s="1271"/>
    </row>
    <row r="6" spans="2:25" ht="13.5" customHeight="1" thickBot="1">
      <c r="B6" s="724">
        <f t="shared" si="1"/>
        <v>2.145194643538316E-2</v>
      </c>
      <c r="C6" s="131" t="s">
        <v>200</v>
      </c>
      <c r="D6" s="134">
        <v>213.7</v>
      </c>
      <c r="E6" s="134">
        <v>258.10000000000002</v>
      </c>
      <c r="F6" s="134">
        <v>234.9</v>
      </c>
      <c r="G6" s="134">
        <v>218.4</v>
      </c>
      <c r="H6" s="134">
        <v>227.3</v>
      </c>
      <c r="I6" s="134">
        <v>221.2</v>
      </c>
      <c r="J6" s="129"/>
      <c r="K6" s="252">
        <f t="shared" ref="K6:O9" si="3">(D6-E6)/E6</f>
        <v>-0.17202634637737324</v>
      </c>
      <c r="L6" s="252">
        <f t="shared" si="3"/>
        <v>9.8765432098765496E-2</v>
      </c>
      <c r="M6" s="252">
        <f t="shared" si="3"/>
        <v>7.5549450549450545E-2</v>
      </c>
      <c r="N6" s="252">
        <f t="shared" si="3"/>
        <v>-3.915530136383636E-2</v>
      </c>
      <c r="O6" s="252">
        <f t="shared" si="3"/>
        <v>2.7576853526220718E-2</v>
      </c>
      <c r="P6" s="716" t="s">
        <v>70</v>
      </c>
      <c r="Q6" s="1271"/>
      <c r="R6" s="1271"/>
      <c r="S6" s="1271"/>
      <c r="T6" s="1271"/>
      <c r="U6" s="1271"/>
      <c r="V6" s="1271"/>
      <c r="W6" s="1271"/>
      <c r="X6" s="1271"/>
      <c r="Y6" s="1271"/>
    </row>
    <row r="7" spans="2:25" ht="13" hidden="1" customHeight="1">
      <c r="B7" s="724">
        <f t="shared" si="1"/>
        <v>0</v>
      </c>
      <c r="C7" s="131"/>
      <c r="D7" s="134"/>
      <c r="E7" s="134"/>
      <c r="F7" s="134"/>
      <c r="G7" s="134"/>
      <c r="H7" s="134"/>
      <c r="I7" s="134"/>
      <c r="J7" s="129"/>
      <c r="K7" s="252" t="e">
        <f t="shared" si="3"/>
        <v>#DIV/0!</v>
      </c>
      <c r="L7" s="252" t="e">
        <f t="shared" si="3"/>
        <v>#DIV/0!</v>
      </c>
      <c r="M7" s="252" t="e">
        <f t="shared" si="3"/>
        <v>#DIV/0!</v>
      </c>
      <c r="N7" s="252" t="e">
        <f t="shared" si="3"/>
        <v>#DIV/0!</v>
      </c>
      <c r="O7" s="252" t="e">
        <f t="shared" si="3"/>
        <v>#DIV/0!</v>
      </c>
      <c r="P7" s="716" t="s">
        <v>70</v>
      </c>
      <c r="Q7" s="1271"/>
      <c r="R7" s="1271"/>
      <c r="S7" s="1271"/>
      <c r="T7" s="1271"/>
      <c r="U7" s="1271"/>
      <c r="V7" s="1271"/>
      <c r="W7" s="1271"/>
      <c r="X7" s="1271"/>
      <c r="Y7" s="1271"/>
    </row>
    <row r="8" spans="2:25" ht="13" hidden="1" customHeight="1">
      <c r="B8" s="724">
        <f t="shared" si="1"/>
        <v>0</v>
      </c>
      <c r="C8" s="131"/>
      <c r="D8" s="134"/>
      <c r="E8" s="134"/>
      <c r="F8" s="134"/>
      <c r="G8" s="134"/>
      <c r="H8" s="134"/>
      <c r="I8" s="134"/>
      <c r="J8" s="129"/>
      <c r="K8" s="252" t="e">
        <f t="shared" si="3"/>
        <v>#DIV/0!</v>
      </c>
      <c r="L8" s="252" t="e">
        <f t="shared" si="3"/>
        <v>#DIV/0!</v>
      </c>
      <c r="M8" s="252" t="e">
        <f t="shared" si="3"/>
        <v>#DIV/0!</v>
      </c>
      <c r="N8" s="252" t="e">
        <f t="shared" si="3"/>
        <v>#DIV/0!</v>
      </c>
      <c r="O8" s="252" t="e">
        <f t="shared" si="3"/>
        <v>#DIV/0!</v>
      </c>
      <c r="P8" s="716" t="s">
        <v>70</v>
      </c>
      <c r="Q8" s="1271"/>
      <c r="R8" s="1271"/>
      <c r="S8" s="1271"/>
      <c r="T8" s="1271"/>
      <c r="U8" s="1271"/>
      <c r="V8" s="1271"/>
      <c r="W8" s="1271"/>
      <c r="X8" s="1271"/>
      <c r="Y8" s="1271"/>
    </row>
    <row r="9" spans="2:25" ht="13" hidden="1" customHeight="1">
      <c r="B9" s="724">
        <f t="shared" si="1"/>
        <v>0</v>
      </c>
      <c r="C9" s="131"/>
      <c r="D9" s="134"/>
      <c r="E9" s="134"/>
      <c r="F9" s="134"/>
      <c r="G9" s="134"/>
      <c r="H9" s="134"/>
      <c r="I9" s="134"/>
      <c r="J9" s="129"/>
      <c r="K9" s="252" t="e">
        <f t="shared" si="3"/>
        <v>#DIV/0!</v>
      </c>
      <c r="L9" s="252" t="e">
        <f t="shared" si="3"/>
        <v>#DIV/0!</v>
      </c>
      <c r="M9" s="252" t="e">
        <f t="shared" si="3"/>
        <v>#DIV/0!</v>
      </c>
      <c r="N9" s="252" t="e">
        <f t="shared" si="3"/>
        <v>#DIV/0!</v>
      </c>
      <c r="O9" s="252" t="e">
        <f t="shared" si="3"/>
        <v>#DIV/0!</v>
      </c>
      <c r="P9" s="716" t="s">
        <v>70</v>
      </c>
      <c r="Q9" s="1271"/>
      <c r="R9" s="1271"/>
      <c r="S9" s="1271"/>
      <c r="T9" s="1271"/>
      <c r="U9" s="1271"/>
      <c r="V9" s="1271"/>
      <c r="W9" s="1271"/>
      <c r="X9" s="1271"/>
      <c r="Y9" s="1271"/>
    </row>
    <row r="10" spans="2:25" ht="13.5" hidden="1" customHeight="1">
      <c r="B10" s="724">
        <f t="shared" si="1"/>
        <v>0</v>
      </c>
      <c r="C10" s="124"/>
      <c r="D10" s="125"/>
      <c r="E10" s="125"/>
      <c r="F10" s="125"/>
      <c r="G10" s="125"/>
      <c r="H10" s="125"/>
      <c r="I10" s="125"/>
      <c r="J10" s="129"/>
      <c r="K10" s="252" t="e">
        <f t="shared" si="2"/>
        <v>#DIV/0!</v>
      </c>
      <c r="L10" s="252" t="e">
        <f t="shared" si="2"/>
        <v>#DIV/0!</v>
      </c>
      <c r="M10" s="252" t="e">
        <f t="shared" si="2"/>
        <v>#DIV/0!</v>
      </c>
      <c r="N10" s="252" t="e">
        <f t="shared" si="2"/>
        <v>#DIV/0!</v>
      </c>
      <c r="O10" s="252" t="e">
        <f t="shared" si="2"/>
        <v>#DIV/0!</v>
      </c>
      <c r="P10" s="716" t="s">
        <v>70</v>
      </c>
      <c r="Q10" s="1271"/>
      <c r="R10" s="1271"/>
      <c r="S10" s="1271"/>
      <c r="T10" s="1271"/>
      <c r="U10" s="1271"/>
      <c r="V10" s="1271"/>
      <c r="W10" s="1271"/>
      <c r="X10" s="1271"/>
      <c r="Y10" s="1271"/>
    </row>
    <row r="11" spans="2:25" ht="13" hidden="1" customHeight="1">
      <c r="B11" s="725">
        <f t="shared" si="1"/>
        <v>0</v>
      </c>
      <c r="C11" s="124"/>
      <c r="D11" s="125"/>
      <c r="E11" s="125"/>
      <c r="F11" s="125"/>
      <c r="G11" s="125"/>
      <c r="H11" s="125"/>
      <c r="I11" s="125"/>
      <c r="J11" s="129"/>
      <c r="K11" s="125"/>
      <c r="L11" s="125"/>
      <c r="M11" s="125"/>
      <c r="N11" s="125"/>
      <c r="O11" s="125"/>
      <c r="P11" s="139"/>
      <c r="Q11" s="1271"/>
      <c r="R11" s="1271"/>
      <c r="S11" s="1271"/>
      <c r="T11" s="1271"/>
      <c r="U11" s="1271"/>
      <c r="V11" s="1271"/>
      <c r="W11" s="1271"/>
      <c r="X11" s="1271"/>
      <c r="Y11" s="1271"/>
    </row>
    <row r="12" spans="2:25" ht="13" hidden="1" customHeight="1">
      <c r="B12" s="726">
        <f t="shared" si="1"/>
        <v>0</v>
      </c>
      <c r="C12" s="135"/>
      <c r="D12" s="600"/>
      <c r="E12" s="600"/>
      <c r="F12" s="600"/>
      <c r="G12" s="600"/>
      <c r="H12" s="600"/>
      <c r="I12" s="600"/>
      <c r="J12" s="129"/>
      <c r="K12" s="126"/>
      <c r="L12" s="126"/>
      <c r="M12" s="126"/>
      <c r="N12" s="126"/>
      <c r="O12" s="126"/>
      <c r="P12" s="140"/>
      <c r="Q12" s="1271"/>
      <c r="R12" s="1271"/>
      <c r="S12" s="1271"/>
      <c r="T12" s="1271"/>
      <c r="U12" s="1271"/>
      <c r="V12" s="1271"/>
      <c r="W12" s="1271"/>
      <c r="X12" s="1271"/>
      <c r="Y12" s="1271"/>
    </row>
    <row r="13" spans="2:25" ht="13.5" thickBot="1">
      <c r="B13" s="727">
        <f>SUM(B5:B12)</f>
        <v>0.99999999999999989</v>
      </c>
      <c r="C13" s="598" t="s">
        <v>191</v>
      </c>
      <c r="D13" s="595">
        <f>SUM(D5:D12)</f>
        <v>9961.8000000000011</v>
      </c>
      <c r="E13" s="596">
        <f t="shared" ref="E13:I13" si="4">SUM(E5:E12)</f>
        <v>9452.6</v>
      </c>
      <c r="F13" s="596">
        <f t="shared" si="4"/>
        <v>8820.6999999999989</v>
      </c>
      <c r="G13" s="596">
        <f t="shared" si="4"/>
        <v>8614.9</v>
      </c>
      <c r="H13" s="596">
        <f t="shared" si="4"/>
        <v>8343.5</v>
      </c>
      <c r="I13" s="597">
        <f t="shared" si="4"/>
        <v>8116</v>
      </c>
      <c r="J13" s="599"/>
      <c r="K13" s="254">
        <f>(D13-E13)/E13</f>
        <v>5.386877684446615E-2</v>
      </c>
      <c r="L13" s="254">
        <f>(E13-F13)/F13</f>
        <v>7.1638305349915707E-2</v>
      </c>
      <c r="M13" s="254">
        <f>(F13-G13)/G13</f>
        <v>2.3888843747460711E-2</v>
      </c>
      <c r="N13" s="254">
        <f t="shared" ref="N13:O13" si="5">(G13-H13)/H13</f>
        <v>3.2528315455144681E-2</v>
      </c>
      <c r="O13" s="254">
        <f t="shared" si="5"/>
        <v>2.8031049778215869E-2</v>
      </c>
      <c r="P13" s="254" t="s">
        <v>70</v>
      </c>
      <c r="Q13" s="1271"/>
      <c r="R13" s="1271"/>
      <c r="S13" s="1271"/>
      <c r="T13" s="1271"/>
      <c r="U13" s="1271"/>
      <c r="V13" s="1271"/>
      <c r="W13" s="1271"/>
      <c r="X13" s="1271"/>
      <c r="Y13" s="1271"/>
    </row>
    <row r="14" spans="2:25" ht="13" customHeight="1" thickBot="1">
      <c r="B14" s="728"/>
      <c r="C14" s="701"/>
      <c r="D14" s="702"/>
      <c r="E14" s="702"/>
      <c r="F14" s="702"/>
      <c r="G14" s="702"/>
      <c r="H14" s="702"/>
      <c r="I14" s="702"/>
      <c r="J14" s="702"/>
      <c r="K14" s="702"/>
      <c r="L14" s="702"/>
      <c r="M14" s="702"/>
      <c r="N14" s="702"/>
      <c r="O14" s="702"/>
      <c r="P14" s="702"/>
      <c r="Q14" s="1271"/>
      <c r="R14" s="1271"/>
      <c r="S14" s="1271"/>
      <c r="T14" s="1271"/>
      <c r="U14" s="1271"/>
      <c r="V14" s="1271"/>
      <c r="W14" s="1271"/>
      <c r="X14" s="1271"/>
      <c r="Y14" s="1271"/>
    </row>
    <row r="15" spans="2:25" ht="20.5" customHeight="1">
      <c r="B15" s="1265" t="str">
        <f>"Categories "&amp;"("&amp;OP!$J$20&amp;")"</f>
        <v>Categories (2024)</v>
      </c>
      <c r="C15" s="1266"/>
      <c r="D15" s="1266"/>
      <c r="E15" s="1266"/>
      <c r="F15" s="1266"/>
      <c r="G15" s="1266"/>
      <c r="H15" s="1266"/>
      <c r="I15" s="1266"/>
      <c r="J15" s="1266"/>
      <c r="K15" s="1266"/>
      <c r="L15" s="1266"/>
      <c r="M15" s="1266"/>
      <c r="N15" s="1266"/>
      <c r="O15" s="1266"/>
      <c r="P15" s="1267"/>
      <c r="Q15" s="1272"/>
      <c r="R15" s="1271"/>
      <c r="S15" s="1271"/>
      <c r="T15" s="1271"/>
      <c r="U15" s="1271"/>
      <c r="V15" s="1271"/>
      <c r="W15" s="1271"/>
      <c r="X15" s="1271"/>
      <c r="Y15" s="1271"/>
    </row>
    <row r="16" spans="2:25" ht="20.149999999999999" customHeight="1">
      <c r="B16" s="722"/>
      <c r="C16" s="137"/>
      <c r="D16" s="1268" t="s">
        <v>195</v>
      </c>
      <c r="E16" s="1269"/>
      <c r="F16" s="1269"/>
      <c r="G16" s="1269"/>
      <c r="H16" s="1269"/>
      <c r="I16" s="1270"/>
      <c r="J16" s="127"/>
      <c r="K16" s="1237" t="s">
        <v>196</v>
      </c>
      <c r="L16" s="1238"/>
      <c r="M16" s="1238"/>
      <c r="N16" s="1238"/>
      <c r="O16" s="1238"/>
      <c r="P16" s="1239"/>
      <c r="Q16" s="1272"/>
      <c r="R16" s="1271"/>
      <c r="S16" s="1271"/>
      <c r="T16" s="1271"/>
      <c r="U16" s="1271"/>
      <c r="V16" s="1271"/>
      <c r="W16" s="1271"/>
      <c r="X16" s="1271"/>
      <c r="Y16" s="1271"/>
    </row>
    <row r="17" spans="2:25" ht="13" customHeight="1">
      <c r="B17" s="729" t="s">
        <v>197</v>
      </c>
      <c r="C17" s="122" t="s">
        <v>201</v>
      </c>
      <c r="D17" s="133">
        <v>2024</v>
      </c>
      <c r="E17" s="133">
        <f>D17-1</f>
        <v>2023</v>
      </c>
      <c r="F17" s="133">
        <f>E17-1</f>
        <v>2022</v>
      </c>
      <c r="G17" s="133">
        <f>F17-1</f>
        <v>2021</v>
      </c>
      <c r="H17" s="133">
        <f>G17-1</f>
        <v>2020</v>
      </c>
      <c r="I17" s="133">
        <f>H17-1</f>
        <v>2019</v>
      </c>
      <c r="J17" s="128"/>
      <c r="K17" s="130">
        <v>2024</v>
      </c>
      <c r="L17" s="130">
        <f t="shared" ref="L17:P17" si="6">K17-1</f>
        <v>2023</v>
      </c>
      <c r="M17" s="130">
        <f t="shared" si="6"/>
        <v>2022</v>
      </c>
      <c r="N17" s="130">
        <f t="shared" si="6"/>
        <v>2021</v>
      </c>
      <c r="O17" s="130">
        <f t="shared" si="6"/>
        <v>2020</v>
      </c>
      <c r="P17" s="141">
        <f t="shared" si="6"/>
        <v>2019</v>
      </c>
      <c r="Q17" s="1271"/>
      <c r="R17" s="1271"/>
      <c r="S17" s="1271"/>
      <c r="T17" s="1271"/>
      <c r="U17" s="1271"/>
      <c r="V17" s="1271"/>
      <c r="W17" s="1271"/>
      <c r="X17" s="1271"/>
      <c r="Y17" s="1271"/>
    </row>
    <row r="18" spans="2:25" ht="13" customHeight="1">
      <c r="B18" s="724">
        <f t="shared" ref="B18:B23" si="7">IFERROR(D18/$D$24,"")</f>
        <v>0.8193900700676584</v>
      </c>
      <c r="C18" s="123" t="s">
        <v>202</v>
      </c>
      <c r="D18" s="134">
        <v>8162.6</v>
      </c>
      <c r="E18" s="134">
        <v>7465</v>
      </c>
      <c r="F18" s="134">
        <v>6751.6</v>
      </c>
      <c r="G18" s="134">
        <v>6074.6</v>
      </c>
      <c r="H18" s="134">
        <v>5615.9</v>
      </c>
      <c r="I18" s="134">
        <v>5202.1000000000004</v>
      </c>
      <c r="J18" s="129"/>
      <c r="K18" s="255">
        <f>(D18-E18)/E18</f>
        <v>9.3449430676490336E-2</v>
      </c>
      <c r="L18" s="255">
        <f t="shared" ref="L18:O24" si="8">(E18-F18)/F18</f>
        <v>0.10566384264470638</v>
      </c>
      <c r="M18" s="255">
        <f t="shared" si="8"/>
        <v>0.1114476673361209</v>
      </c>
      <c r="N18" s="255">
        <f t="shared" si="8"/>
        <v>8.1678804822023318E-2</v>
      </c>
      <c r="O18" s="255">
        <f t="shared" si="8"/>
        <v>7.9544799215701206E-2</v>
      </c>
      <c r="P18" s="255" t="s">
        <v>70</v>
      </c>
      <c r="Q18" s="1271"/>
      <c r="R18" s="1271"/>
      <c r="S18" s="1271"/>
      <c r="T18" s="1271"/>
      <c r="U18" s="1271"/>
      <c r="V18" s="1271"/>
      <c r="W18" s="1271"/>
      <c r="X18" s="1271"/>
      <c r="Y18" s="1271"/>
    </row>
    <row r="19" spans="2:25" ht="13" customHeight="1">
      <c r="B19" s="724">
        <f t="shared" si="7"/>
        <v>0.1558051757714469</v>
      </c>
      <c r="C19" s="487" t="s">
        <v>203</v>
      </c>
      <c r="D19" s="134">
        <v>1552.1</v>
      </c>
      <c r="E19" s="134">
        <v>1722.7</v>
      </c>
      <c r="F19" s="134">
        <v>1819.3</v>
      </c>
      <c r="G19" s="134">
        <v>2208.4</v>
      </c>
      <c r="H19" s="134">
        <v>2367.5</v>
      </c>
      <c r="I19" s="134">
        <v>2532.5</v>
      </c>
      <c r="J19" s="129"/>
      <c r="K19" s="255">
        <f>(D19-E19)/E19</f>
        <v>-9.9030591513322191E-2</v>
      </c>
      <c r="L19" s="255">
        <f t="shared" ref="L19" si="9">(E19-F19)/F19</f>
        <v>-5.3097345132743314E-2</v>
      </c>
      <c r="M19" s="255">
        <f t="shared" ref="M19" si="10">(F19-G19)/G19</f>
        <v>-0.17619090744430363</v>
      </c>
      <c r="N19" s="255">
        <f t="shared" ref="N19" si="11">(G19-H19)/H19</f>
        <v>-6.7201689545934487E-2</v>
      </c>
      <c r="O19" s="255">
        <f t="shared" ref="O19" si="12">(H19-I19)/I19</f>
        <v>-6.5153010858835139E-2</v>
      </c>
      <c r="P19" s="488" t="s">
        <v>70</v>
      </c>
      <c r="Q19" s="1271"/>
      <c r="R19" s="1271"/>
      <c r="S19" s="1271"/>
      <c r="T19" s="1271"/>
      <c r="U19" s="1271"/>
      <c r="V19" s="1271"/>
      <c r="W19" s="1271"/>
      <c r="X19" s="1271"/>
      <c r="Y19" s="1271"/>
    </row>
    <row r="20" spans="2:25" ht="13.5" customHeight="1" thickBot="1">
      <c r="B20" s="724">
        <f t="shared" si="7"/>
        <v>2.4804754160894615E-2</v>
      </c>
      <c r="C20" s="124" t="s">
        <v>204</v>
      </c>
      <c r="D20" s="134">
        <v>247.1</v>
      </c>
      <c r="E20" s="134">
        <v>264.89999999999998</v>
      </c>
      <c r="F20" s="134">
        <v>249.8</v>
      </c>
      <c r="G20" s="134">
        <v>331.9</v>
      </c>
      <c r="H20" s="134">
        <v>360.1</v>
      </c>
      <c r="I20" s="134">
        <v>381.4</v>
      </c>
      <c r="J20" s="129"/>
      <c r="K20" s="256">
        <f t="shared" ref="K20:K23" si="13">(D20-E20)/E20</f>
        <v>-6.7195167987919913E-2</v>
      </c>
      <c r="L20" s="256">
        <f t="shared" si="8"/>
        <v>6.0448358686949422E-2</v>
      </c>
      <c r="M20" s="256">
        <f t="shared" si="8"/>
        <v>-0.24736366375414273</v>
      </c>
      <c r="N20" s="256">
        <f t="shared" si="8"/>
        <v>-7.8311580116634388E-2</v>
      </c>
      <c r="O20" s="256">
        <f t="shared" si="8"/>
        <v>-5.584687991609847E-2</v>
      </c>
      <c r="P20" s="256" t="s">
        <v>70</v>
      </c>
      <c r="Q20" s="1271"/>
      <c r="R20" s="1271"/>
      <c r="S20" s="1271"/>
      <c r="T20" s="1271"/>
      <c r="U20" s="1271"/>
      <c r="V20" s="1271"/>
      <c r="W20" s="1271"/>
      <c r="X20" s="1271"/>
      <c r="Y20" s="1271"/>
    </row>
    <row r="21" spans="2:25" ht="13" hidden="1" customHeight="1">
      <c r="B21" s="724">
        <f t="shared" si="7"/>
        <v>0</v>
      </c>
      <c r="C21" s="124"/>
      <c r="D21" s="134"/>
      <c r="E21" s="134"/>
      <c r="F21" s="134"/>
      <c r="G21" s="134"/>
      <c r="H21" s="134"/>
      <c r="I21" s="134"/>
      <c r="J21" s="129"/>
      <c r="K21" s="256" t="e">
        <f t="shared" si="13"/>
        <v>#DIV/0!</v>
      </c>
      <c r="L21" s="256" t="e">
        <f t="shared" si="8"/>
        <v>#DIV/0!</v>
      </c>
      <c r="M21" s="256" t="e">
        <f t="shared" si="8"/>
        <v>#DIV/0!</v>
      </c>
      <c r="N21" s="256" t="e">
        <f t="shared" si="8"/>
        <v>#DIV/0!</v>
      </c>
      <c r="O21" s="256" t="e">
        <f t="shared" si="8"/>
        <v>#DIV/0!</v>
      </c>
      <c r="P21" s="256" t="s">
        <v>70</v>
      </c>
      <c r="Q21" s="1271"/>
      <c r="R21" s="1271"/>
      <c r="S21" s="1271"/>
      <c r="T21" s="1271"/>
      <c r="U21" s="1271"/>
      <c r="V21" s="1271"/>
      <c r="W21" s="1271"/>
      <c r="X21" s="1271"/>
      <c r="Y21" s="1271"/>
    </row>
    <row r="22" spans="2:25" ht="13" hidden="1" customHeight="1">
      <c r="B22" s="724">
        <f t="shared" si="7"/>
        <v>0</v>
      </c>
      <c r="C22" s="124"/>
      <c r="D22" s="134"/>
      <c r="E22" s="134"/>
      <c r="F22" s="134"/>
      <c r="G22" s="134"/>
      <c r="H22" s="134"/>
      <c r="I22" s="134"/>
      <c r="J22" s="129"/>
      <c r="K22" s="256" t="e">
        <f t="shared" si="13"/>
        <v>#DIV/0!</v>
      </c>
      <c r="L22" s="256" t="e">
        <f t="shared" si="8"/>
        <v>#DIV/0!</v>
      </c>
      <c r="M22" s="256" t="e">
        <f t="shared" si="8"/>
        <v>#DIV/0!</v>
      </c>
      <c r="N22" s="256" t="e">
        <f t="shared" si="8"/>
        <v>#DIV/0!</v>
      </c>
      <c r="O22" s="256" t="e">
        <f t="shared" si="8"/>
        <v>#DIV/0!</v>
      </c>
      <c r="P22" s="256" t="s">
        <v>70</v>
      </c>
      <c r="Q22" s="1271"/>
      <c r="R22" s="1271"/>
      <c r="S22" s="1271"/>
      <c r="T22" s="1271"/>
      <c r="U22" s="1271"/>
      <c r="V22" s="1271"/>
      <c r="W22" s="1271"/>
      <c r="X22" s="1271"/>
      <c r="Y22" s="1271"/>
    </row>
    <row r="23" spans="2:25" ht="13" hidden="1" customHeight="1">
      <c r="B23" s="724">
        <f t="shared" si="7"/>
        <v>0</v>
      </c>
      <c r="C23" s="135"/>
      <c r="D23" s="601"/>
      <c r="E23" s="601"/>
      <c r="F23" s="601"/>
      <c r="G23" s="601"/>
      <c r="H23" s="601"/>
      <c r="I23" s="601"/>
      <c r="J23" s="129"/>
      <c r="K23" s="257" t="e">
        <f t="shared" si="13"/>
        <v>#DIV/0!</v>
      </c>
      <c r="L23" s="257" t="e">
        <f t="shared" si="8"/>
        <v>#DIV/0!</v>
      </c>
      <c r="M23" s="257" t="e">
        <f t="shared" si="8"/>
        <v>#DIV/0!</v>
      </c>
      <c r="N23" s="257" t="e">
        <f t="shared" si="8"/>
        <v>#DIV/0!</v>
      </c>
      <c r="O23" s="257" t="e">
        <f t="shared" si="8"/>
        <v>#DIV/0!</v>
      </c>
      <c r="P23" s="257" t="s">
        <v>70</v>
      </c>
      <c r="Q23" s="1271"/>
      <c r="R23" s="1271"/>
      <c r="S23" s="1271"/>
      <c r="T23" s="1271"/>
      <c r="U23" s="1271"/>
      <c r="V23" s="1271"/>
      <c r="W23" s="1271"/>
      <c r="X23" s="1271"/>
      <c r="Y23" s="1271"/>
    </row>
    <row r="24" spans="2:25" ht="13.5" thickBot="1">
      <c r="B24" s="727">
        <f>SUM(B18:B23)</f>
        <v>1</v>
      </c>
      <c r="C24" s="598" t="s">
        <v>191</v>
      </c>
      <c r="D24" s="595">
        <f>SUM(D18:D23)</f>
        <v>9961.8000000000011</v>
      </c>
      <c r="E24" s="596">
        <f t="shared" ref="E24:I24" si="14">SUM(E18:E23)</f>
        <v>9452.6</v>
      </c>
      <c r="F24" s="596">
        <f t="shared" si="14"/>
        <v>8820.6999999999989</v>
      </c>
      <c r="G24" s="596">
        <f t="shared" si="14"/>
        <v>8614.9</v>
      </c>
      <c r="H24" s="596">
        <f t="shared" si="14"/>
        <v>8343.5</v>
      </c>
      <c r="I24" s="597">
        <f t="shared" si="14"/>
        <v>8116</v>
      </c>
      <c r="J24" s="599"/>
      <c r="K24" s="253">
        <f>(D24-E24)/E24</f>
        <v>5.386877684446615E-2</v>
      </c>
      <c r="L24" s="254">
        <f t="shared" si="8"/>
        <v>7.1638305349915707E-2</v>
      </c>
      <c r="M24" s="254">
        <f t="shared" ref="M24" si="15">(F24-G24)/G24</f>
        <v>2.3888843747460711E-2</v>
      </c>
      <c r="N24" s="254">
        <f t="shared" ref="N24" si="16">(G24-H24)/H24</f>
        <v>3.2528315455144681E-2</v>
      </c>
      <c r="O24" s="254">
        <f t="shared" ref="O24" si="17">(H24-I24)/I24</f>
        <v>2.8031049778215869E-2</v>
      </c>
      <c r="P24" s="254" t="s">
        <v>70</v>
      </c>
      <c r="Q24" s="1271"/>
      <c r="R24" s="1271"/>
      <c r="S24" s="1271"/>
      <c r="T24" s="1271"/>
      <c r="U24" s="1271"/>
      <c r="V24" s="1271"/>
      <c r="W24" s="1271"/>
      <c r="X24" s="1271"/>
      <c r="Y24" s="1271"/>
    </row>
    <row r="25" spans="2:25" ht="13.5" thickBot="1">
      <c r="B25" s="728"/>
      <c r="C25" s="701"/>
      <c r="D25" s="702"/>
      <c r="E25" s="702"/>
      <c r="F25" s="702"/>
      <c r="G25" s="702"/>
      <c r="H25" s="702"/>
      <c r="I25" s="702"/>
      <c r="J25" s="702"/>
      <c r="K25" s="702"/>
      <c r="L25" s="702"/>
      <c r="M25" s="702"/>
      <c r="N25" s="702"/>
      <c r="O25" s="702"/>
      <c r="P25" s="702"/>
      <c r="Q25" s="1271"/>
      <c r="R25" s="1271"/>
      <c r="S25" s="1271"/>
      <c r="T25" s="1271"/>
      <c r="U25" s="1271"/>
      <c r="V25" s="1271"/>
      <c r="W25" s="1271"/>
      <c r="X25" s="1271"/>
      <c r="Y25" s="1271"/>
    </row>
    <row r="26" spans="2:25" ht="20">
      <c r="B26" s="1228" t="s">
        <v>205</v>
      </c>
      <c r="C26" s="1229"/>
      <c r="D26" s="1229"/>
      <c r="E26" s="1229"/>
      <c r="F26" s="1229"/>
      <c r="G26" s="1229"/>
      <c r="H26" s="1229"/>
      <c r="I26" s="1229"/>
      <c r="J26" s="1229"/>
      <c r="K26" s="1229"/>
      <c r="L26" s="1229"/>
      <c r="M26" s="1229"/>
      <c r="N26" s="1229"/>
      <c r="O26" s="1229"/>
      <c r="P26" s="1230"/>
      <c r="Q26" s="1272"/>
      <c r="R26" s="1271"/>
      <c r="S26" s="1271"/>
      <c r="T26" s="1271"/>
      <c r="U26" s="1271"/>
      <c r="V26" s="1271"/>
      <c r="W26" s="1271"/>
      <c r="X26" s="1271"/>
      <c r="Y26" s="1271"/>
    </row>
    <row r="27" spans="2:25" ht="20">
      <c r="B27" s="730"/>
      <c r="C27" s="713"/>
      <c r="D27" s="1231" t="s">
        <v>195</v>
      </c>
      <c r="E27" s="1232"/>
      <c r="F27" s="1232"/>
      <c r="G27" s="1232"/>
      <c r="H27" s="1232"/>
      <c r="I27" s="1233"/>
      <c r="J27" s="1234"/>
      <c r="K27" s="1237" t="s">
        <v>196</v>
      </c>
      <c r="L27" s="1238"/>
      <c r="M27" s="1238"/>
      <c r="N27" s="1238"/>
      <c r="O27" s="1238"/>
      <c r="P27" s="1239"/>
      <c r="Q27" s="1272"/>
      <c r="R27" s="1271"/>
      <c r="S27" s="1271"/>
      <c r="T27" s="1271"/>
      <c r="U27" s="1271"/>
      <c r="V27" s="1271"/>
      <c r="W27" s="1271"/>
      <c r="X27" s="1271"/>
      <c r="Y27" s="1271"/>
    </row>
    <row r="28" spans="2:25" ht="13">
      <c r="B28" s="1240" t="s">
        <v>201</v>
      </c>
      <c r="C28" s="1241"/>
      <c r="D28" s="706">
        <v>2024</v>
      </c>
      <c r="E28" s="706">
        <f>D28-1</f>
        <v>2023</v>
      </c>
      <c r="F28" s="706">
        <f>E28-1</f>
        <v>2022</v>
      </c>
      <c r="G28" s="706">
        <f>F28-1</f>
        <v>2021</v>
      </c>
      <c r="H28" s="706">
        <f>G28-1</f>
        <v>2020</v>
      </c>
      <c r="I28" s="706">
        <f>H28-1</f>
        <v>2019</v>
      </c>
      <c r="J28" s="1235"/>
      <c r="K28" s="707">
        <v>2024</v>
      </c>
      <c r="L28" s="707">
        <f t="shared" ref="L28" si="18">K28-1</f>
        <v>2023</v>
      </c>
      <c r="M28" s="707">
        <f t="shared" ref="M28" si="19">L28-1</f>
        <v>2022</v>
      </c>
      <c r="N28" s="707">
        <f t="shared" ref="N28" si="20">M28-1</f>
        <v>2021</v>
      </c>
      <c r="O28" s="707">
        <f t="shared" ref="O28" si="21">N28-1</f>
        <v>2020</v>
      </c>
      <c r="P28" s="708">
        <f t="shared" ref="P28" si="22">O28-1</f>
        <v>2019</v>
      </c>
      <c r="Q28" s="1272"/>
      <c r="R28" s="1271"/>
      <c r="S28" s="1271"/>
      <c r="T28" s="1271"/>
      <c r="U28" s="1271"/>
      <c r="V28" s="1271"/>
      <c r="W28" s="1271"/>
      <c r="X28" s="1271"/>
      <c r="Y28" s="1271"/>
    </row>
    <row r="29" spans="2:25" ht="13">
      <c r="B29" s="1242" t="s">
        <v>202</v>
      </c>
      <c r="C29" s="1243"/>
      <c r="D29" s="703">
        <v>0.379</v>
      </c>
      <c r="E29" s="703">
        <v>0.38300000000000001</v>
      </c>
      <c r="F29" s="703">
        <v>0.4</v>
      </c>
      <c r="G29" s="703">
        <v>0.41099999999999998</v>
      </c>
      <c r="H29" s="703">
        <v>0.4</v>
      </c>
      <c r="I29" s="703">
        <v>0.39300000000000002</v>
      </c>
      <c r="J29" s="1235"/>
      <c r="K29" s="255">
        <f>(D29-E29)/E29</f>
        <v>-1.0443864229765022E-2</v>
      </c>
      <c r="L29" s="255">
        <f>(E29-F29)/F29</f>
        <v>-4.2500000000000038E-2</v>
      </c>
      <c r="M29" s="255">
        <f t="shared" ref="M29:M35" si="23">(F29-G29)/G29</f>
        <v>-2.6763990267639794E-2</v>
      </c>
      <c r="N29" s="255">
        <f t="shared" ref="N29:N35" si="24">(G29-H29)/H29</f>
        <v>2.7499999999999886E-2</v>
      </c>
      <c r="O29" s="255">
        <f t="shared" ref="O29:O35" si="25">(H29-I29)/I29</f>
        <v>1.7811704834605611E-2</v>
      </c>
      <c r="P29" s="709" t="s">
        <v>70</v>
      </c>
      <c r="Q29" s="1272"/>
      <c r="R29" s="1271"/>
      <c r="S29" s="1271"/>
      <c r="T29" s="1271"/>
      <c r="U29" s="1271"/>
      <c r="V29" s="1271"/>
      <c r="W29" s="1271"/>
      <c r="X29" s="1271"/>
      <c r="Y29" s="1271"/>
    </row>
    <row r="30" spans="2:25" ht="13.5" thickBot="1">
      <c r="B30" s="1273" t="s">
        <v>206</v>
      </c>
      <c r="C30" s="1274"/>
      <c r="D30" s="710">
        <v>0.222</v>
      </c>
      <c r="E30" s="710">
        <v>0.22800000000000001</v>
      </c>
      <c r="F30" s="710">
        <v>0.22700000000000001</v>
      </c>
      <c r="G30" s="710">
        <v>0.245</v>
      </c>
      <c r="H30" s="710">
        <v>0.26</v>
      </c>
      <c r="I30" s="710">
        <v>0.26500000000000001</v>
      </c>
      <c r="J30" s="1236"/>
      <c r="K30" s="711">
        <f>(D30-E30)/E30</f>
        <v>-2.6315789473684233E-2</v>
      </c>
      <c r="L30" s="711">
        <f t="shared" ref="L30:L35" si="26">(E30-F30)/F30</f>
        <v>4.4052863436123387E-3</v>
      </c>
      <c r="M30" s="711">
        <f t="shared" si="23"/>
        <v>-7.3469387755101992E-2</v>
      </c>
      <c r="N30" s="711">
        <f t="shared" si="24"/>
        <v>-5.7692307692307744E-2</v>
      </c>
      <c r="O30" s="711">
        <f t="shared" si="25"/>
        <v>-1.8867924528301903E-2</v>
      </c>
      <c r="P30" s="712" t="s">
        <v>70</v>
      </c>
      <c r="Q30" s="1272"/>
      <c r="R30" s="1271"/>
      <c r="S30" s="1271"/>
      <c r="T30" s="1271"/>
      <c r="U30" s="1271"/>
      <c r="V30" s="1271"/>
      <c r="W30" s="1271"/>
      <c r="X30" s="1271"/>
      <c r="Y30" s="1271"/>
    </row>
    <row r="31" spans="2:25" ht="12.75" hidden="1" customHeight="1">
      <c r="B31" s="724"/>
      <c r="C31" s="487" t="s">
        <v>204</v>
      </c>
      <c r="D31" s="134"/>
      <c r="E31" s="134"/>
      <c r="F31" s="134"/>
      <c r="G31" s="134"/>
      <c r="H31" s="134"/>
      <c r="I31" s="134"/>
      <c r="J31" s="129"/>
      <c r="K31" s="488" t="e">
        <f t="shared" ref="K31:K34" si="27">(D31-E31)/E31</f>
        <v>#DIV/0!</v>
      </c>
      <c r="L31" s="488" t="e">
        <f t="shared" si="26"/>
        <v>#DIV/0!</v>
      </c>
      <c r="M31" s="488" t="e">
        <f t="shared" si="23"/>
        <v>#DIV/0!</v>
      </c>
      <c r="N31" s="488" t="e">
        <f t="shared" si="24"/>
        <v>#DIV/0!</v>
      </c>
      <c r="O31" s="488" t="e">
        <f t="shared" si="25"/>
        <v>#DIV/0!</v>
      </c>
      <c r="P31" s="717" t="s">
        <v>70</v>
      </c>
      <c r="Q31" s="1272"/>
      <c r="R31" s="1271"/>
      <c r="S31" s="1271"/>
      <c r="T31" s="1271"/>
      <c r="U31" s="1271"/>
      <c r="V31" s="1271"/>
      <c r="W31" s="1271"/>
      <c r="X31" s="1271"/>
      <c r="Y31" s="1271"/>
    </row>
    <row r="32" spans="2:25" ht="12.75" hidden="1" customHeight="1">
      <c r="B32" s="724"/>
      <c r="C32" s="124"/>
      <c r="D32" s="134"/>
      <c r="E32" s="134"/>
      <c r="F32" s="134"/>
      <c r="G32" s="134"/>
      <c r="H32" s="134"/>
      <c r="I32" s="134"/>
      <c r="J32" s="129"/>
      <c r="K32" s="256" t="e">
        <f t="shared" si="27"/>
        <v>#DIV/0!</v>
      </c>
      <c r="L32" s="256" t="e">
        <f t="shared" si="26"/>
        <v>#DIV/0!</v>
      </c>
      <c r="M32" s="256" t="e">
        <f t="shared" si="23"/>
        <v>#DIV/0!</v>
      </c>
      <c r="N32" s="256" t="e">
        <f t="shared" si="24"/>
        <v>#DIV/0!</v>
      </c>
      <c r="O32" s="256" t="e">
        <f t="shared" si="25"/>
        <v>#DIV/0!</v>
      </c>
      <c r="P32" s="718" t="s">
        <v>70</v>
      </c>
      <c r="Q32" s="1272"/>
      <c r="R32" s="1271"/>
      <c r="S32" s="1271"/>
      <c r="T32" s="1271"/>
      <c r="U32" s="1271"/>
      <c r="V32" s="1271"/>
      <c r="W32" s="1271"/>
      <c r="X32" s="1271"/>
      <c r="Y32" s="1271"/>
    </row>
    <row r="33" spans="2:25" ht="12.75" hidden="1" customHeight="1">
      <c r="B33" s="724"/>
      <c r="C33" s="124"/>
      <c r="D33" s="134"/>
      <c r="E33" s="134"/>
      <c r="F33" s="134"/>
      <c r="G33" s="134"/>
      <c r="H33" s="134"/>
      <c r="I33" s="134"/>
      <c r="J33" s="129"/>
      <c r="K33" s="256" t="e">
        <f t="shared" si="27"/>
        <v>#DIV/0!</v>
      </c>
      <c r="L33" s="256" t="e">
        <f t="shared" si="26"/>
        <v>#DIV/0!</v>
      </c>
      <c r="M33" s="256" t="e">
        <f t="shared" si="23"/>
        <v>#DIV/0!</v>
      </c>
      <c r="N33" s="256" t="e">
        <f t="shared" si="24"/>
        <v>#DIV/0!</v>
      </c>
      <c r="O33" s="256" t="e">
        <f t="shared" si="25"/>
        <v>#DIV/0!</v>
      </c>
      <c r="P33" s="718" t="s">
        <v>70</v>
      </c>
      <c r="Q33" s="1272"/>
      <c r="R33" s="1271"/>
      <c r="S33" s="1271"/>
      <c r="T33" s="1271"/>
      <c r="U33" s="1271"/>
      <c r="V33" s="1271"/>
      <c r="W33" s="1271"/>
      <c r="X33" s="1271"/>
      <c r="Y33" s="1271"/>
    </row>
    <row r="34" spans="2:25" ht="12.75" hidden="1" customHeight="1">
      <c r="B34" s="731"/>
      <c r="C34" s="135"/>
      <c r="D34" s="601"/>
      <c r="E34" s="601"/>
      <c r="F34" s="601"/>
      <c r="G34" s="601"/>
      <c r="H34" s="601"/>
      <c r="I34" s="601"/>
      <c r="J34" s="129"/>
      <c r="K34" s="257" t="e">
        <f t="shared" si="27"/>
        <v>#DIV/0!</v>
      </c>
      <c r="L34" s="257" t="e">
        <f t="shared" si="26"/>
        <v>#DIV/0!</v>
      </c>
      <c r="M34" s="257" t="e">
        <f t="shared" si="23"/>
        <v>#DIV/0!</v>
      </c>
      <c r="N34" s="257" t="e">
        <f t="shared" si="24"/>
        <v>#DIV/0!</v>
      </c>
      <c r="O34" s="257" t="e">
        <f t="shared" si="25"/>
        <v>#DIV/0!</v>
      </c>
      <c r="P34" s="719" t="s">
        <v>70</v>
      </c>
      <c r="Q34" s="1272"/>
      <c r="R34" s="1271"/>
      <c r="S34" s="1271"/>
      <c r="T34" s="1271"/>
      <c r="U34" s="1271"/>
      <c r="V34" s="1271"/>
      <c r="W34" s="1271"/>
      <c r="X34" s="1271"/>
      <c r="Y34" s="1271"/>
    </row>
    <row r="35" spans="2:25" ht="12.75" hidden="1" customHeight="1">
      <c r="B35" s="1253" t="s">
        <v>191</v>
      </c>
      <c r="C35" s="1253"/>
      <c r="D35" s="704">
        <f>SUM(D29:D34)</f>
        <v>0.60099999999999998</v>
      </c>
      <c r="E35" s="704">
        <f t="shared" ref="E35:I35" si="28">SUM(E29:E34)</f>
        <v>0.61099999999999999</v>
      </c>
      <c r="F35" s="704">
        <f t="shared" si="28"/>
        <v>0.627</v>
      </c>
      <c r="G35" s="704">
        <f t="shared" si="28"/>
        <v>0.65599999999999992</v>
      </c>
      <c r="H35" s="704">
        <f t="shared" si="28"/>
        <v>0.66</v>
      </c>
      <c r="I35" s="705">
        <f t="shared" si="28"/>
        <v>0.65800000000000003</v>
      </c>
      <c r="J35" s="599"/>
      <c r="K35" s="253">
        <f>(D35-E35)/E35</f>
        <v>-1.6366612111292977E-2</v>
      </c>
      <c r="L35" s="254">
        <f t="shared" si="26"/>
        <v>-2.5518341307815013E-2</v>
      </c>
      <c r="M35" s="254">
        <f t="shared" si="23"/>
        <v>-4.4207317073170604E-2</v>
      </c>
      <c r="N35" s="254">
        <f t="shared" si="24"/>
        <v>-6.0606060606062341E-3</v>
      </c>
      <c r="O35" s="254">
        <f t="shared" si="25"/>
        <v>3.0395136778115527E-3</v>
      </c>
      <c r="P35" s="720" t="s">
        <v>70</v>
      </c>
      <c r="Q35" s="1272"/>
      <c r="R35" s="1271"/>
      <c r="S35" s="1271"/>
      <c r="T35" s="1271"/>
      <c r="U35" s="1271"/>
      <c r="V35" s="1271"/>
      <c r="W35" s="1271"/>
      <c r="X35" s="1271"/>
      <c r="Y35" s="1271"/>
    </row>
    <row r="36" spans="2:25" ht="13" thickBot="1">
      <c r="B36" s="732"/>
      <c r="P36" s="721"/>
      <c r="Q36" s="1272"/>
      <c r="R36" s="1271"/>
      <c r="S36" s="1271"/>
      <c r="T36" s="1271"/>
      <c r="U36" s="1271"/>
      <c r="V36" s="1271"/>
      <c r="W36" s="1271"/>
      <c r="X36" s="1271"/>
      <c r="Y36" s="1271"/>
    </row>
    <row r="37" spans="2:25" ht="20.5" thickBot="1">
      <c r="B37" s="1228" t="s">
        <v>207</v>
      </c>
      <c r="C37" s="1229"/>
      <c r="D37" s="1229"/>
      <c r="E37" s="1229"/>
      <c r="F37" s="1229"/>
      <c r="G37" s="1229"/>
      <c r="H37" s="1229"/>
      <c r="I37" s="1229"/>
      <c r="J37" s="1229"/>
      <c r="K37" s="1229"/>
      <c r="L37" s="1229"/>
      <c r="M37" s="1229"/>
      <c r="N37" s="1229"/>
      <c r="O37" s="1229"/>
      <c r="P37" s="1230"/>
      <c r="Q37" s="1272"/>
      <c r="R37" s="1271"/>
      <c r="S37" s="1271"/>
      <c r="T37" s="1271"/>
      <c r="U37" s="1271"/>
      <c r="V37" s="1271"/>
      <c r="W37" s="1271"/>
      <c r="X37" s="1271"/>
      <c r="Y37" s="1271"/>
    </row>
    <row r="38" spans="2:25" ht="20">
      <c r="B38" s="730"/>
      <c r="C38" s="713"/>
      <c r="D38" s="1231" t="s">
        <v>195</v>
      </c>
      <c r="E38" s="1232"/>
      <c r="F38" s="1232"/>
      <c r="G38" s="1232"/>
      <c r="H38" s="1232"/>
      <c r="I38" s="1233"/>
      <c r="J38" s="1234"/>
      <c r="K38" s="1237" t="s">
        <v>196</v>
      </c>
      <c r="L38" s="1238"/>
      <c r="M38" s="1238"/>
      <c r="N38" s="1238"/>
      <c r="O38" s="1238"/>
      <c r="P38" s="1239"/>
      <c r="Q38" s="1272"/>
      <c r="R38" s="1271"/>
      <c r="S38" s="1271"/>
      <c r="T38" s="1271"/>
      <c r="U38" s="1271"/>
      <c r="V38" s="1271"/>
      <c r="W38" s="1271"/>
      <c r="X38" s="1271"/>
      <c r="Y38" s="1271"/>
    </row>
    <row r="39" spans="2:25" ht="13">
      <c r="B39" s="1240" t="s">
        <v>201</v>
      </c>
      <c r="C39" s="1241"/>
      <c r="D39" s="706">
        <v>2024</v>
      </c>
      <c r="E39" s="706">
        <f>D39-1</f>
        <v>2023</v>
      </c>
      <c r="F39" s="706">
        <f>E39-1</f>
        <v>2022</v>
      </c>
      <c r="G39" s="706">
        <f>F39-1</f>
        <v>2021</v>
      </c>
      <c r="H39" s="706">
        <f>G39-1</f>
        <v>2020</v>
      </c>
      <c r="I39" s="706">
        <f>H39-1</f>
        <v>2019</v>
      </c>
      <c r="J39" s="1235"/>
      <c r="K39" s="707">
        <v>2024</v>
      </c>
      <c r="L39" s="707">
        <f t="shared" ref="L39" si="29">K39-1</f>
        <v>2023</v>
      </c>
      <c r="M39" s="707">
        <f t="shared" ref="M39" si="30">L39-1</f>
        <v>2022</v>
      </c>
      <c r="N39" s="707">
        <f t="shared" ref="N39" si="31">M39-1</f>
        <v>2021</v>
      </c>
      <c r="O39" s="707">
        <f t="shared" ref="O39" si="32">N39-1</f>
        <v>2020</v>
      </c>
      <c r="P39" s="708">
        <f t="shared" ref="P39" si="33">O39-1</f>
        <v>2019</v>
      </c>
      <c r="Q39" s="1272"/>
      <c r="R39" s="1271"/>
      <c r="S39" s="1271"/>
      <c r="T39" s="1271"/>
      <c r="U39" s="1271"/>
      <c r="V39" s="1271"/>
      <c r="W39" s="1271"/>
      <c r="X39" s="1271"/>
      <c r="Y39" s="1271"/>
    </row>
    <row r="40" spans="2:25" ht="13">
      <c r="B40" s="1242" t="s">
        <v>202</v>
      </c>
      <c r="C40" s="1243"/>
      <c r="D40" s="714">
        <v>4181</v>
      </c>
      <c r="E40" s="714">
        <v>3892</v>
      </c>
      <c r="F40" s="714">
        <v>3642</v>
      </c>
      <c r="G40" s="714">
        <v>3346</v>
      </c>
      <c r="H40" s="714">
        <v>3119</v>
      </c>
      <c r="I40" s="714">
        <v>2941</v>
      </c>
      <c r="J40" s="1235"/>
      <c r="K40" s="255">
        <f>(D40-E40)/E40</f>
        <v>7.4254881808838644E-2</v>
      </c>
      <c r="L40" s="255">
        <f>(E40-F40)/F40</f>
        <v>6.8643602416254806E-2</v>
      </c>
      <c r="M40" s="255">
        <f t="shared" ref="M40:M41" si="34">(F40-G40)/G40</f>
        <v>8.8463837417812316E-2</v>
      </c>
      <c r="N40" s="255">
        <f t="shared" ref="N40:N41" si="35">(G40-H40)/H40</f>
        <v>7.2779737095222827E-2</v>
      </c>
      <c r="O40" s="255">
        <f t="shared" ref="O40:O41" si="36">(H40-I40)/I40</f>
        <v>6.0523631417885075E-2</v>
      </c>
      <c r="P40" s="709" t="s">
        <v>70</v>
      </c>
      <c r="Q40" s="1272"/>
      <c r="R40" s="1271"/>
      <c r="S40" s="1271"/>
      <c r="T40" s="1271"/>
      <c r="U40" s="1271"/>
      <c r="V40" s="1271"/>
      <c r="W40" s="1271"/>
      <c r="X40" s="1271"/>
      <c r="Y40" s="1271"/>
    </row>
    <row r="41" spans="2:25" ht="13">
      <c r="B41" s="1273" t="s">
        <v>206</v>
      </c>
      <c r="C41" s="1274"/>
      <c r="D41" s="715">
        <v>238</v>
      </c>
      <c r="E41" s="715">
        <v>271</v>
      </c>
      <c r="F41" s="715">
        <v>299</v>
      </c>
      <c r="G41" s="715">
        <v>450</v>
      </c>
      <c r="H41" s="715">
        <v>536</v>
      </c>
      <c r="I41" s="715">
        <v>585</v>
      </c>
      <c r="J41" s="1236"/>
      <c r="K41" s="711">
        <f>(D41-E41)/E41</f>
        <v>-0.12177121771217712</v>
      </c>
      <c r="L41" s="711">
        <f t="shared" ref="L41" si="37">(E41-F41)/F41</f>
        <v>-9.3645484949832769E-2</v>
      </c>
      <c r="M41" s="711">
        <f t="shared" si="34"/>
        <v>-0.33555555555555555</v>
      </c>
      <c r="N41" s="711">
        <f t="shared" si="35"/>
        <v>-0.16044776119402984</v>
      </c>
      <c r="O41" s="711">
        <f t="shared" si="36"/>
        <v>-8.3760683760683755E-2</v>
      </c>
      <c r="P41" s="712" t="s">
        <v>70</v>
      </c>
      <c r="Q41" s="1272"/>
      <c r="R41" s="1271"/>
      <c r="S41" s="1271"/>
      <c r="T41" s="1271"/>
      <c r="U41" s="1271"/>
      <c r="V41" s="1271"/>
      <c r="W41" s="1271"/>
      <c r="X41" s="1271"/>
      <c r="Y41" s="1271"/>
    </row>
    <row r="42" spans="2:25" ht="11.25" customHeight="1" thickBot="1">
      <c r="B42" s="732"/>
      <c r="C42" s="9"/>
      <c r="D42" s="702"/>
      <c r="E42" s="733"/>
      <c r="F42" s="702"/>
      <c r="G42" s="733"/>
      <c r="H42" s="702"/>
      <c r="I42" s="733"/>
    </row>
    <row r="43" spans="2:25" ht="13" hidden="1">
      <c r="B43" s="732"/>
      <c r="C43" s="9"/>
      <c r="D43" s="702"/>
      <c r="E43" s="733"/>
      <c r="F43" s="702"/>
      <c r="G43" s="733"/>
      <c r="H43" s="702"/>
      <c r="I43" s="733"/>
    </row>
    <row r="44" spans="2:25" ht="20.5" thickBot="1">
      <c r="B44" s="1244" t="s">
        <v>72</v>
      </c>
      <c r="C44" s="1233"/>
      <c r="D44" s="1261" t="s">
        <v>208</v>
      </c>
      <c r="E44" s="1262"/>
      <c r="F44" s="1262"/>
      <c r="G44" s="1262"/>
      <c r="H44" s="1262"/>
      <c r="I44" s="1262"/>
      <c r="J44" s="1260" t="s">
        <v>209</v>
      </c>
      <c r="K44" s="1260"/>
      <c r="L44" s="1260"/>
      <c r="M44" s="1260"/>
      <c r="N44" s="1260"/>
      <c r="O44" s="1260"/>
      <c r="P44" s="1260"/>
      <c r="Q44" s="1260"/>
    </row>
    <row r="45" spans="2:25" ht="54" customHeight="1" thickBot="1">
      <c r="B45" s="1257" t="s">
        <v>202</v>
      </c>
      <c r="C45" s="1257"/>
      <c r="D45" s="1285" t="s">
        <v>210</v>
      </c>
      <c r="E45" s="1285"/>
      <c r="F45" s="1285"/>
      <c r="G45" s="1285"/>
      <c r="H45" s="1285"/>
      <c r="I45" s="1285"/>
      <c r="J45" s="1245"/>
      <c r="K45" s="1245"/>
      <c r="L45" s="1245"/>
      <c r="M45" s="1245"/>
      <c r="N45" s="1245"/>
      <c r="O45" s="1245"/>
      <c r="P45" s="1245"/>
      <c r="Q45" s="1246"/>
    </row>
    <row r="46" spans="2:25" ht="32.15" customHeight="1">
      <c r="B46" s="1289" t="s">
        <v>206</v>
      </c>
      <c r="C46" s="1290"/>
      <c r="D46" s="1293" t="s">
        <v>211</v>
      </c>
      <c r="E46" s="1294"/>
      <c r="F46" s="1294"/>
      <c r="G46" s="1294"/>
      <c r="H46" s="1294"/>
      <c r="I46" s="1295"/>
      <c r="J46" s="1247"/>
      <c r="K46" s="1247"/>
      <c r="L46" s="1247"/>
      <c r="M46" s="1247"/>
      <c r="N46" s="1247"/>
      <c r="O46" s="1247"/>
      <c r="P46" s="1247"/>
      <c r="Q46" s="1248"/>
    </row>
    <row r="47" spans="2:25" ht="28.4" customHeight="1" thickBot="1">
      <c r="B47" s="1291"/>
      <c r="C47" s="1292"/>
      <c r="D47" s="1296"/>
      <c r="E47" s="1297"/>
      <c r="F47" s="1297"/>
      <c r="G47" s="1297"/>
      <c r="H47" s="1297"/>
      <c r="I47" s="1298"/>
      <c r="J47" s="1247"/>
      <c r="K47" s="1247"/>
      <c r="L47" s="1247"/>
      <c r="M47" s="1247"/>
      <c r="N47" s="1247"/>
      <c r="O47" s="1247"/>
      <c r="P47" s="1247"/>
      <c r="Q47" s="1248"/>
    </row>
    <row r="48" spans="2:25" ht="30.65" hidden="1" customHeight="1">
      <c r="B48" s="1257"/>
      <c r="C48" s="1257"/>
      <c r="D48" s="1256"/>
      <c r="E48" s="1256"/>
      <c r="F48" s="1256"/>
      <c r="G48" s="1256"/>
      <c r="H48" s="1256"/>
      <c r="I48" s="1256"/>
      <c r="J48" s="1247"/>
      <c r="K48" s="1247"/>
      <c r="L48" s="1247"/>
      <c r="M48" s="1247"/>
      <c r="N48" s="1247"/>
      <c r="O48" s="1247"/>
      <c r="P48" s="1247"/>
      <c r="Q48" s="1248"/>
    </row>
    <row r="49" spans="2:25" ht="15.75" customHeight="1" thickBot="1">
      <c r="B49" s="1257"/>
      <c r="C49" s="1257"/>
      <c r="D49" s="1257"/>
      <c r="E49" s="1257"/>
      <c r="F49" s="1257"/>
      <c r="G49" s="1257"/>
      <c r="H49" s="1257"/>
      <c r="I49" s="1257"/>
      <c r="J49" s="1247"/>
      <c r="K49" s="1247"/>
      <c r="L49" s="1247"/>
      <c r="M49" s="1247"/>
      <c r="N49" s="1247"/>
      <c r="O49" s="1247"/>
      <c r="P49" s="1247"/>
      <c r="Q49" s="1248"/>
    </row>
    <row r="50" spans="2:25" ht="28.4" customHeight="1" thickBot="1">
      <c r="B50" s="1258" t="s">
        <v>212</v>
      </c>
      <c r="C50" s="1258"/>
      <c r="D50" s="1258"/>
      <c r="E50" s="1258"/>
      <c r="F50" s="1258"/>
      <c r="G50" s="1258"/>
      <c r="H50" s="1258"/>
      <c r="I50" s="1258"/>
      <c r="J50" s="1247"/>
      <c r="K50" s="1247"/>
      <c r="L50" s="1247"/>
      <c r="M50" s="1247"/>
      <c r="N50" s="1247"/>
      <c r="O50" s="1247"/>
      <c r="P50" s="1247"/>
      <c r="Q50" s="1248"/>
    </row>
    <row r="51" spans="2:25" ht="13">
      <c r="B51" s="1252" t="s">
        <v>213</v>
      </c>
      <c r="C51" s="1252"/>
      <c r="D51" s="1253" t="s">
        <v>214</v>
      </c>
      <c r="E51" s="1253"/>
      <c r="F51" s="1253" t="s">
        <v>215</v>
      </c>
      <c r="G51" s="1253"/>
      <c r="H51" s="1253"/>
      <c r="I51" s="1253"/>
      <c r="J51" s="1247"/>
      <c r="K51" s="1247"/>
      <c r="L51" s="1247"/>
      <c r="M51" s="1247"/>
      <c r="N51" s="1247"/>
      <c r="O51" s="1247"/>
      <c r="P51" s="1247"/>
      <c r="Q51" s="1248"/>
    </row>
    <row r="52" spans="2:25" ht="54.75" customHeight="1">
      <c r="B52" s="1257" t="s">
        <v>216</v>
      </c>
      <c r="C52" s="1257"/>
      <c r="D52" s="1254">
        <v>0.251</v>
      </c>
      <c r="E52" s="1255"/>
      <c r="F52" s="1259" t="s">
        <v>217</v>
      </c>
      <c r="G52" s="1259"/>
      <c r="H52" s="1259"/>
      <c r="I52" s="1259"/>
      <c r="J52" s="1247"/>
      <c r="K52" s="1247"/>
      <c r="L52" s="1247"/>
      <c r="M52" s="1247"/>
      <c r="N52" s="1247"/>
      <c r="O52" s="1247"/>
      <c r="P52" s="1247"/>
      <c r="Q52" s="1248"/>
    </row>
    <row r="53" spans="2:25" ht="48" customHeight="1">
      <c r="B53" s="1257" t="s">
        <v>218</v>
      </c>
      <c r="C53" s="1257"/>
      <c r="D53" s="1254">
        <v>0.11700000000000001</v>
      </c>
      <c r="E53" s="1255"/>
      <c r="F53" s="1285" t="s">
        <v>219</v>
      </c>
      <c r="G53" s="1285"/>
      <c r="H53" s="1285"/>
      <c r="I53" s="1285"/>
      <c r="J53" s="1247"/>
      <c r="K53" s="1247"/>
      <c r="L53" s="1247"/>
      <c r="M53" s="1247"/>
      <c r="N53" s="1247"/>
      <c r="O53" s="1247"/>
      <c r="P53" s="1247"/>
      <c r="Q53" s="1248"/>
    </row>
    <row r="54" spans="2:25" ht="16.5" customHeight="1">
      <c r="B54" s="734"/>
      <c r="C54" s="700"/>
      <c r="D54" s="700"/>
      <c r="E54" s="700"/>
      <c r="F54" s="700"/>
      <c r="G54" s="700"/>
      <c r="H54" s="700"/>
      <c r="J54" s="1249"/>
      <c r="K54" s="1250"/>
      <c r="L54" s="1250"/>
      <c r="M54" s="1250"/>
      <c r="N54" s="1250"/>
      <c r="O54" s="1250"/>
      <c r="P54" s="1250"/>
      <c r="Q54" s="1251"/>
    </row>
    <row r="55" spans="2:25" ht="20.5" thickBot="1">
      <c r="B55" s="1302" t="s">
        <v>220</v>
      </c>
      <c r="C55" s="1269"/>
      <c r="D55" s="1269"/>
      <c r="E55" s="1269"/>
      <c r="F55" s="1269"/>
      <c r="G55" s="1269"/>
      <c r="H55" s="1269"/>
      <c r="I55" s="1270"/>
      <c r="J55" s="1299" t="s">
        <v>221</v>
      </c>
      <c r="K55" s="1300"/>
      <c r="L55" s="1300"/>
      <c r="M55" s="1300"/>
      <c r="N55" s="1300"/>
      <c r="O55" s="1300"/>
      <c r="P55" s="1300"/>
      <c r="Q55" s="1301"/>
    </row>
    <row r="56" spans="2:25" ht="13.5" thickBot="1">
      <c r="B56" s="1286" t="s">
        <v>222</v>
      </c>
      <c r="C56" s="1287"/>
      <c r="D56" s="1286" t="s">
        <v>208</v>
      </c>
      <c r="E56" s="1288"/>
      <c r="F56" s="1288"/>
      <c r="G56" s="1288"/>
      <c r="H56" s="1288"/>
      <c r="I56" s="1288"/>
      <c r="J56" s="1005"/>
      <c r="K56" s="1006"/>
      <c r="L56" s="1006"/>
      <c r="M56" s="1006"/>
      <c r="N56" s="1006"/>
      <c r="O56" s="1006"/>
      <c r="P56" s="1006"/>
      <c r="Q56" s="1007"/>
    </row>
    <row r="57" spans="2:25" ht="45.75" customHeight="1">
      <c r="B57" s="1303" t="s">
        <v>223</v>
      </c>
      <c r="C57" s="1304"/>
      <c r="D57" s="1279" t="s">
        <v>224</v>
      </c>
      <c r="E57" s="1280"/>
      <c r="F57" s="1280"/>
      <c r="G57" s="1280"/>
      <c r="H57" s="1280"/>
      <c r="I57" s="1280"/>
      <c r="J57" s="999"/>
      <c r="Q57" s="136"/>
    </row>
    <row r="58" spans="2:25" ht="51.75" customHeight="1">
      <c r="B58" s="1283" t="s">
        <v>225</v>
      </c>
      <c r="C58" s="1284"/>
      <c r="D58" s="1281" t="s">
        <v>226</v>
      </c>
      <c r="E58" s="1282"/>
      <c r="F58" s="1282"/>
      <c r="G58" s="1282"/>
      <c r="H58" s="1282"/>
      <c r="I58" s="1282"/>
      <c r="J58" s="999"/>
      <c r="Q58" s="136"/>
    </row>
    <row r="59" spans="2:25" ht="66.75" customHeight="1">
      <c r="B59" s="1283" t="s">
        <v>227</v>
      </c>
      <c r="C59" s="1284"/>
      <c r="D59" s="1281" t="s">
        <v>228</v>
      </c>
      <c r="E59" s="1282"/>
      <c r="F59" s="1282"/>
      <c r="G59" s="1282"/>
      <c r="H59" s="1282"/>
      <c r="I59" s="1282"/>
      <c r="J59" s="999"/>
      <c r="Q59" s="136"/>
    </row>
    <row r="60" spans="2:25" ht="56.25" customHeight="1" thickBot="1">
      <c r="B60" s="1283" t="s">
        <v>229</v>
      </c>
      <c r="C60" s="1284"/>
      <c r="D60" s="1281" t="s">
        <v>230</v>
      </c>
      <c r="E60" s="1282"/>
      <c r="F60" s="1282"/>
      <c r="G60" s="1282"/>
      <c r="H60" s="1282"/>
      <c r="I60" s="1282"/>
      <c r="J60" s="999"/>
      <c r="Q60" s="136"/>
      <c r="T60" s="958"/>
      <c r="U60" s="1"/>
      <c r="V60" s="1"/>
      <c r="W60" s="1"/>
      <c r="X60" s="1"/>
      <c r="Y60" s="1"/>
    </row>
    <row r="61" spans="2:25" ht="13.5" thickBot="1">
      <c r="B61" s="1286" t="s">
        <v>231</v>
      </c>
      <c r="C61" s="1288"/>
      <c r="D61" s="1288"/>
      <c r="E61" s="1288"/>
      <c r="F61" s="1288"/>
      <c r="G61" s="1288"/>
      <c r="H61" s="1288"/>
      <c r="I61" s="1288"/>
      <c r="J61" s="999"/>
      <c r="Q61" s="136"/>
      <c r="T61" s="1"/>
      <c r="U61" s="1"/>
      <c r="V61" s="1"/>
      <c r="W61" s="1"/>
      <c r="X61" s="1"/>
      <c r="Y61" s="1"/>
    </row>
    <row r="62" spans="2:25" ht="13.5" customHeight="1">
      <c r="B62" s="1314" t="s">
        <v>232</v>
      </c>
      <c r="C62" s="1315"/>
      <c r="D62" s="1307" t="s">
        <v>233</v>
      </c>
      <c r="E62" s="1308"/>
      <c r="F62" s="1309"/>
      <c r="G62" s="1307" t="s">
        <v>234</v>
      </c>
      <c r="H62" s="1308"/>
      <c r="I62" s="1316"/>
      <c r="J62" s="999"/>
      <c r="Q62" s="136"/>
      <c r="T62" s="1313"/>
      <c r="U62" s="1313"/>
      <c r="V62" s="1313"/>
      <c r="W62" s="1313"/>
      <c r="X62" s="1313"/>
      <c r="Y62" s="1313"/>
    </row>
    <row r="63" spans="2:25" ht="13">
      <c r="B63" s="1277" t="s">
        <v>235</v>
      </c>
      <c r="C63" s="1278"/>
      <c r="D63" s="1310">
        <v>9.2999999999999999E-2</v>
      </c>
      <c r="E63" s="1311"/>
      <c r="F63" s="1312"/>
      <c r="G63" s="1305" t="s">
        <v>236</v>
      </c>
      <c r="H63" s="1306"/>
      <c r="I63" s="1306"/>
      <c r="J63" s="999"/>
      <c r="Q63" s="136"/>
      <c r="T63" s="1313"/>
      <c r="U63" s="1313"/>
      <c r="V63" s="1313"/>
      <c r="W63" s="1313"/>
      <c r="X63" s="1313"/>
      <c r="Y63" s="1313"/>
    </row>
    <row r="64" spans="2:25" ht="13">
      <c r="B64" s="1277" t="s">
        <v>237</v>
      </c>
      <c r="C64" s="1278"/>
      <c r="D64" s="1310">
        <v>4.9500000000000002E-2</v>
      </c>
      <c r="E64" s="1311"/>
      <c r="F64" s="1312"/>
      <c r="G64" s="1305" t="s">
        <v>238</v>
      </c>
      <c r="H64" s="1306"/>
      <c r="I64" s="1306"/>
      <c r="J64" s="999"/>
      <c r="Q64" s="136"/>
      <c r="T64" s="1"/>
      <c r="U64" s="1"/>
      <c r="V64" s="1"/>
      <c r="W64" s="1"/>
      <c r="X64" s="1"/>
      <c r="Y64" s="1"/>
    </row>
    <row r="65" spans="2:17" ht="13.5" thickBot="1">
      <c r="B65" s="1277" t="s">
        <v>239</v>
      </c>
      <c r="C65" s="1278"/>
      <c r="D65" s="1321">
        <v>6.1499999999999999E-2</v>
      </c>
      <c r="E65" s="1322"/>
      <c r="F65" s="1323"/>
      <c r="G65" s="1324" t="s">
        <v>240</v>
      </c>
      <c r="H65" s="1325"/>
      <c r="I65" s="1325"/>
      <c r="J65" s="999"/>
      <c r="Q65" s="136"/>
    </row>
    <row r="66" spans="2:17" ht="12.65" customHeight="1" thickBot="1">
      <c r="B66" s="1326" t="s">
        <v>241</v>
      </c>
      <c r="C66" s="1327"/>
      <c r="D66" s="1328">
        <f>AVERAGE(D63:F65)</f>
        <v>6.8000000000000005E-2</v>
      </c>
      <c r="E66" s="1329"/>
      <c r="F66" s="1329"/>
      <c r="G66" s="1329"/>
      <c r="H66" s="1329"/>
      <c r="I66" s="1329"/>
      <c r="J66" s="999"/>
      <c r="Q66" s="136"/>
    </row>
    <row r="67" spans="2:17" ht="22.5" customHeight="1" thickBot="1">
      <c r="B67" s="1319" t="s">
        <v>242</v>
      </c>
      <c r="C67" s="1320"/>
      <c r="D67" s="1320"/>
      <c r="E67" s="1320"/>
      <c r="F67" s="1320"/>
      <c r="G67" s="1320"/>
      <c r="H67" s="1320"/>
      <c r="I67" s="1320"/>
      <c r="J67" s="999"/>
      <c r="Q67" s="136"/>
    </row>
    <row r="68" spans="2:17" ht="105.75" customHeight="1" thickBot="1">
      <c r="B68" s="1317" t="s">
        <v>243</v>
      </c>
      <c r="C68" s="1318"/>
      <c r="D68" s="1318"/>
      <c r="E68" s="1318"/>
      <c r="F68" s="1318"/>
      <c r="G68" s="1318"/>
      <c r="H68" s="1318"/>
      <c r="I68" s="1318"/>
      <c r="J68" s="999"/>
      <c r="Q68" s="136"/>
    </row>
    <row r="69" spans="2:17" ht="112.5" customHeight="1" thickBot="1">
      <c r="B69" s="1317" t="s">
        <v>244</v>
      </c>
      <c r="C69" s="1318"/>
      <c r="D69" s="1318"/>
      <c r="E69" s="1318"/>
      <c r="F69" s="1318"/>
      <c r="G69" s="1318"/>
      <c r="H69" s="1318"/>
      <c r="I69" s="1318"/>
      <c r="J69" s="1015"/>
      <c r="K69" s="700"/>
      <c r="L69" s="700"/>
      <c r="M69" s="700"/>
      <c r="N69" s="700"/>
      <c r="O69" s="700"/>
      <c r="P69" s="700"/>
      <c r="Q69" s="1016"/>
    </row>
    <row r="70" spans="2:17" ht="112.5" customHeight="1" thickBot="1">
      <c r="B70" s="1317" t="s">
        <v>245</v>
      </c>
      <c r="C70" s="1318"/>
      <c r="D70" s="1318"/>
      <c r="E70" s="1318"/>
      <c r="F70" s="1318"/>
      <c r="G70" s="1318"/>
      <c r="H70" s="1318"/>
      <c r="I70" s="1331"/>
    </row>
    <row r="71" spans="2:17" ht="112.5" customHeight="1" thickBot="1">
      <c r="B71" s="1317" t="s">
        <v>246</v>
      </c>
      <c r="C71" s="1318"/>
      <c r="D71" s="1318"/>
      <c r="E71" s="1318"/>
      <c r="F71" s="1318"/>
      <c r="G71" s="1318"/>
      <c r="H71" s="1318"/>
      <c r="I71" s="1331"/>
      <c r="J71" s="1008"/>
      <c r="K71" s="1009"/>
      <c r="L71" s="1009"/>
      <c r="M71" s="1009"/>
      <c r="N71" s="1009"/>
      <c r="O71" s="1009"/>
      <c r="P71" s="1009"/>
      <c r="Q71" s="1010"/>
    </row>
    <row r="72" spans="2:17" ht="112.5" customHeight="1" thickBot="1">
      <c r="B72" s="1317" t="s">
        <v>247</v>
      </c>
      <c r="C72" s="1318"/>
      <c r="D72" s="1318"/>
      <c r="E72" s="1318"/>
      <c r="F72" s="1318"/>
      <c r="G72" s="1318"/>
      <c r="H72" s="1318"/>
      <c r="I72" s="1331"/>
      <c r="J72" s="999"/>
      <c r="Q72" s="1011"/>
    </row>
    <row r="73" spans="2:17" ht="112.5" customHeight="1" thickBot="1">
      <c r="B73" s="1317" t="s">
        <v>248</v>
      </c>
      <c r="C73" s="1318"/>
      <c r="D73" s="1318"/>
      <c r="E73" s="1318"/>
      <c r="F73" s="1318"/>
      <c r="G73" s="1318"/>
      <c r="H73" s="1318"/>
      <c r="I73" s="1331"/>
      <c r="J73" s="1012"/>
      <c r="K73" s="1013"/>
      <c r="L73" s="1013"/>
      <c r="M73" s="1013"/>
      <c r="N73" s="1013"/>
      <c r="O73" s="1013"/>
      <c r="P73" s="1013"/>
      <c r="Q73" s="1014"/>
    </row>
    <row r="74" spans="2:17" ht="27" customHeight="1"/>
    <row r="75" spans="2:17" ht="45.75" customHeight="1"/>
    <row r="76" spans="2:17" ht="12.75" customHeight="1">
      <c r="D76"/>
    </row>
    <row r="77" spans="2:17" ht="21" customHeight="1">
      <c r="D77"/>
    </row>
    <row r="78" spans="2:17" ht="21" customHeight="1">
      <c r="D78"/>
    </row>
    <row r="79" spans="2:17" ht="13.5" customHeight="1">
      <c r="D79"/>
    </row>
    <row r="80" spans="2:17" ht="13.5" customHeight="1">
      <c r="D80"/>
    </row>
    <row r="81" spans="4:9" ht="13.5" customHeight="1">
      <c r="D81"/>
    </row>
    <row r="82" spans="4:9" ht="12.75" customHeight="1">
      <c r="D82"/>
    </row>
    <row r="83" spans="4:9" ht="12.75" customHeight="1">
      <c r="D83"/>
    </row>
    <row r="84" spans="4:9" ht="12.75" customHeight="1">
      <c r="D84"/>
    </row>
    <row r="85" spans="4:9" ht="13.5" customHeight="1">
      <c r="D85"/>
    </row>
    <row r="86" spans="4:9" ht="13.5" customHeight="1">
      <c r="D86"/>
    </row>
    <row r="87" spans="4:9" ht="12.75" customHeight="1">
      <c r="D87"/>
    </row>
    <row r="88" spans="4:9" ht="12.75" customHeight="1"/>
    <row r="89" spans="4:9" ht="12.75" customHeight="1"/>
    <row r="90" spans="4:9" ht="12.75" customHeight="1">
      <c r="D90"/>
      <c r="I90" s="1330"/>
    </row>
    <row r="91" spans="4:9" ht="12.75" customHeight="1">
      <c r="I91" s="1330"/>
    </row>
    <row r="92" spans="4:9" ht="12.75" customHeight="1">
      <c r="I92" s="1330"/>
    </row>
    <row r="93" spans="4:9" ht="12.75" customHeight="1">
      <c r="I93" s="1330"/>
    </row>
    <row r="94" spans="4:9" ht="12.75" customHeight="1">
      <c r="I94" s="1330"/>
    </row>
    <row r="95" spans="4:9" ht="12.75" customHeight="1">
      <c r="I95" s="1330"/>
    </row>
    <row r="96" spans="4:9" ht="12.75" customHeight="1">
      <c r="I96" s="1330"/>
    </row>
    <row r="97" spans="9:9" ht="12.75" customHeight="1">
      <c r="I97" s="1330"/>
    </row>
  </sheetData>
  <mergeCells count="80">
    <mergeCell ref="I90:I97"/>
    <mergeCell ref="B69:I69"/>
    <mergeCell ref="B70:I70"/>
    <mergeCell ref="B71:I71"/>
    <mergeCell ref="B72:I72"/>
    <mergeCell ref="B73:I73"/>
    <mergeCell ref="T62:Y63"/>
    <mergeCell ref="B61:I61"/>
    <mergeCell ref="B62:C62"/>
    <mergeCell ref="G62:I62"/>
    <mergeCell ref="B68:I68"/>
    <mergeCell ref="B67:I67"/>
    <mergeCell ref="D65:F65"/>
    <mergeCell ref="G65:I65"/>
    <mergeCell ref="B66:C66"/>
    <mergeCell ref="D66:I66"/>
    <mergeCell ref="B57:C57"/>
    <mergeCell ref="G63:I63"/>
    <mergeCell ref="G64:I64"/>
    <mergeCell ref="D62:F62"/>
    <mergeCell ref="D63:F63"/>
    <mergeCell ref="D64:F64"/>
    <mergeCell ref="B60:C60"/>
    <mergeCell ref="D60:I60"/>
    <mergeCell ref="J55:Q55"/>
    <mergeCell ref="B52:C52"/>
    <mergeCell ref="B55:I55"/>
    <mergeCell ref="B53:C53"/>
    <mergeCell ref="F53:I53"/>
    <mergeCell ref="D3:I3"/>
    <mergeCell ref="B64:C64"/>
    <mergeCell ref="B65:C65"/>
    <mergeCell ref="D57:I57"/>
    <mergeCell ref="D58:I58"/>
    <mergeCell ref="B58:C58"/>
    <mergeCell ref="B63:C63"/>
    <mergeCell ref="D44:I44"/>
    <mergeCell ref="D45:I45"/>
    <mergeCell ref="B45:C45"/>
    <mergeCell ref="B56:C56"/>
    <mergeCell ref="D56:I56"/>
    <mergeCell ref="B59:C59"/>
    <mergeCell ref="D59:I59"/>
    <mergeCell ref="B46:C47"/>
    <mergeCell ref="D46:I47"/>
    <mergeCell ref="Q2:Y2"/>
    <mergeCell ref="K3:P3"/>
    <mergeCell ref="B2:P2"/>
    <mergeCell ref="K16:P16"/>
    <mergeCell ref="B15:P15"/>
    <mergeCell ref="D16:I16"/>
    <mergeCell ref="Q3:Y41"/>
    <mergeCell ref="B41:C41"/>
    <mergeCell ref="B26:P26"/>
    <mergeCell ref="D27:I27"/>
    <mergeCell ref="K27:P27"/>
    <mergeCell ref="B35:C35"/>
    <mergeCell ref="B30:C30"/>
    <mergeCell ref="B29:C29"/>
    <mergeCell ref="B28:C28"/>
    <mergeCell ref="J27:J30"/>
    <mergeCell ref="B44:C44"/>
    <mergeCell ref="J45:Q54"/>
    <mergeCell ref="B51:C51"/>
    <mergeCell ref="D51:E51"/>
    <mergeCell ref="D52:E52"/>
    <mergeCell ref="D53:E53"/>
    <mergeCell ref="D48:I48"/>
    <mergeCell ref="B49:I49"/>
    <mergeCell ref="B50:I50"/>
    <mergeCell ref="F51:I51"/>
    <mergeCell ref="F52:I52"/>
    <mergeCell ref="B48:C48"/>
    <mergeCell ref="J44:Q44"/>
    <mergeCell ref="B37:P37"/>
    <mergeCell ref="D38:I38"/>
    <mergeCell ref="J38:J41"/>
    <mergeCell ref="K38:P38"/>
    <mergeCell ref="B39:C39"/>
    <mergeCell ref="B40:C40"/>
  </mergeCells>
  <phoneticPr fontId="0" type="noConversion"/>
  <conditionalFormatting sqref="B5:B12">
    <cfRule type="dataBar" priority="271">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8:B23">
    <cfRule type="dataBar" priority="242">
      <dataBar>
        <cfvo type="min"/>
        <cfvo type="max"/>
        <color rgb="FF638EC6"/>
      </dataBar>
      <extLst>
        <ext xmlns:x14="http://schemas.microsoft.com/office/spreadsheetml/2009/9/main" uri="{B025F937-C7B1-47D3-B67F-A62EFF666E3E}">
          <x14:id>{070902CC-8EB6-43DB-B9AD-5811F17D394B}</x14:id>
        </ext>
      </extLst>
    </cfRule>
  </conditionalFormatting>
  <conditionalFormatting sqref="B31:B34">
    <cfRule type="dataBar" priority="75">
      <dataBar>
        <cfvo type="min"/>
        <cfvo type="max"/>
        <color rgb="FF638EC6"/>
      </dataBar>
      <extLst>
        <ext xmlns:x14="http://schemas.microsoft.com/office/spreadsheetml/2009/9/main" uri="{B025F937-C7B1-47D3-B67F-A62EFF666E3E}">
          <x14:id>{39F0AEC7-5088-4EFE-93FE-239480F6BFBA}</x14:id>
        </ext>
      </extLst>
    </cfRule>
  </conditionalFormatting>
  <conditionalFormatting sqref="B80:B86">
    <cfRule type="dataBar" priority="107">
      <dataBar>
        <cfvo type="min"/>
        <cfvo type="max"/>
        <color rgb="FF638EC6"/>
      </dataBar>
      <extLst>
        <ext xmlns:x14="http://schemas.microsoft.com/office/spreadsheetml/2009/9/main" uri="{B025F937-C7B1-47D3-B67F-A62EFF666E3E}">
          <x14:id>{F1F47233-0E8B-4881-BB37-EBCFC4659177}</x14:id>
        </ext>
      </extLst>
    </cfRule>
  </conditionalFormatting>
  <conditionalFormatting sqref="D5:D12">
    <cfRule type="dataBar" priority="254">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8:D23">
    <cfRule type="dataBar" priority="212">
      <dataBar>
        <cfvo type="min"/>
        <cfvo type="max"/>
        <color rgb="FF63C384"/>
      </dataBar>
      <extLst>
        <ext xmlns:x14="http://schemas.microsoft.com/office/spreadsheetml/2009/9/main" uri="{B025F937-C7B1-47D3-B67F-A62EFF666E3E}">
          <x14:id>{3F107DCC-63A1-497B-B919-528218A545C1}</x14:id>
        </ext>
      </extLst>
    </cfRule>
  </conditionalFormatting>
  <conditionalFormatting sqref="D29:D34">
    <cfRule type="dataBar" priority="52">
      <dataBar>
        <cfvo type="min"/>
        <cfvo type="max"/>
        <color rgb="FF63C384"/>
      </dataBar>
      <extLst>
        <ext xmlns:x14="http://schemas.microsoft.com/office/spreadsheetml/2009/9/main" uri="{B025F937-C7B1-47D3-B67F-A62EFF666E3E}">
          <x14:id>{EE0E2DED-1531-4C37-9AC7-8FDBC0EBD7BB}</x14:id>
        </ext>
      </extLst>
    </cfRule>
  </conditionalFormatting>
  <conditionalFormatting sqref="D40:D41">
    <cfRule type="dataBar" priority="31">
      <dataBar>
        <cfvo type="min"/>
        <cfvo type="max"/>
        <color rgb="FF63C384"/>
      </dataBar>
      <extLst>
        <ext xmlns:x14="http://schemas.microsoft.com/office/spreadsheetml/2009/9/main" uri="{B025F937-C7B1-47D3-B67F-A62EFF666E3E}">
          <x14:id>{22E0B80A-798A-477B-BCC1-2AFEEBF525CB}</x14:id>
        </ext>
      </extLst>
    </cfRule>
  </conditionalFormatting>
  <conditionalFormatting sqref="D80:D85 E80:I81">
    <cfRule type="dataBar" priority="84">
      <dataBar>
        <cfvo type="min"/>
        <cfvo type="max"/>
        <color rgb="FF63C384"/>
      </dataBar>
      <extLst>
        <ext xmlns:x14="http://schemas.microsoft.com/office/spreadsheetml/2009/9/main" uri="{B025F937-C7B1-47D3-B67F-A62EFF666E3E}">
          <x14:id>{FCA3BFCF-6EE4-4CC0-8AD8-094A657EB7C4}</x14:id>
        </ext>
      </extLst>
    </cfRule>
  </conditionalFormatting>
  <conditionalFormatting sqref="D5:I10">
    <cfRule type="dataBar" priority="228">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8:I23">
    <cfRule type="dataBar" priority="206">
      <dataBar>
        <cfvo type="min"/>
        <cfvo type="max"/>
        <color rgb="FF63C384"/>
      </dataBar>
      <extLst>
        <ext xmlns:x14="http://schemas.microsoft.com/office/spreadsheetml/2009/9/main" uri="{B025F937-C7B1-47D3-B67F-A62EFF666E3E}">
          <x14:id>{5BBC426E-7FA9-4F5C-AC78-B3996BA8F931}</x14:id>
        </ext>
      </extLst>
    </cfRule>
  </conditionalFormatting>
  <conditionalFormatting sqref="D29:I34">
    <cfRule type="dataBar" priority="46">
      <dataBar>
        <cfvo type="min"/>
        <cfvo type="max"/>
        <color rgb="FF63C384"/>
      </dataBar>
      <extLst>
        <ext xmlns:x14="http://schemas.microsoft.com/office/spreadsheetml/2009/9/main" uri="{B025F937-C7B1-47D3-B67F-A62EFF666E3E}">
          <x14:id>{C36060EE-C40D-463A-A782-858368FEE31B}</x14:id>
        </ext>
      </extLst>
    </cfRule>
  </conditionalFormatting>
  <conditionalFormatting sqref="D40:I41">
    <cfRule type="dataBar" priority="25">
      <dataBar>
        <cfvo type="min"/>
        <cfvo type="max"/>
        <color rgb="FF63C384"/>
      </dataBar>
      <extLst>
        <ext xmlns:x14="http://schemas.microsoft.com/office/spreadsheetml/2009/9/main" uri="{B025F937-C7B1-47D3-B67F-A62EFF666E3E}">
          <x14:id>{AAD2D573-80FD-4619-B71B-D75E79F79DA2}</x14:id>
        </ext>
      </extLst>
    </cfRule>
  </conditionalFormatting>
  <conditionalFormatting sqref="D80:I85">
    <cfRule type="dataBar" priority="78">
      <dataBar>
        <cfvo type="min"/>
        <cfvo type="max"/>
        <color rgb="FF63C384"/>
      </dataBar>
      <extLst>
        <ext xmlns:x14="http://schemas.microsoft.com/office/spreadsheetml/2009/9/main" uri="{B025F937-C7B1-47D3-B67F-A62EFF666E3E}">
          <x14:id>{1BE2BF43-EDDE-43C3-A957-1EE405EDA423}</x14:id>
        </ext>
      </extLst>
    </cfRule>
  </conditionalFormatting>
  <conditionalFormatting sqref="E5:E12">
    <cfRule type="dataBar" priority="253">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8:E23">
    <cfRule type="dataBar" priority="211">
      <dataBar>
        <cfvo type="min"/>
        <cfvo type="max"/>
        <color rgb="FF63C384"/>
      </dataBar>
      <extLst>
        <ext xmlns:x14="http://schemas.microsoft.com/office/spreadsheetml/2009/9/main" uri="{B025F937-C7B1-47D3-B67F-A62EFF666E3E}">
          <x14:id>{5AA7A103-2149-42E1-9BBB-48A01258D43D}</x14:id>
        </ext>
      </extLst>
    </cfRule>
  </conditionalFormatting>
  <conditionalFormatting sqref="E29:E34">
    <cfRule type="dataBar" priority="51">
      <dataBar>
        <cfvo type="min"/>
        <cfvo type="max"/>
        <color rgb="FF63C384"/>
      </dataBar>
      <extLst>
        <ext xmlns:x14="http://schemas.microsoft.com/office/spreadsheetml/2009/9/main" uri="{B025F937-C7B1-47D3-B67F-A62EFF666E3E}">
          <x14:id>{1FFA919C-7326-43A0-B21C-29343898DB26}</x14:id>
        </ext>
      </extLst>
    </cfRule>
  </conditionalFormatting>
  <conditionalFormatting sqref="E40:E41">
    <cfRule type="dataBar" priority="30">
      <dataBar>
        <cfvo type="min"/>
        <cfvo type="max"/>
        <color rgb="FF63C384"/>
      </dataBar>
      <extLst>
        <ext xmlns:x14="http://schemas.microsoft.com/office/spreadsheetml/2009/9/main" uri="{B025F937-C7B1-47D3-B67F-A62EFF666E3E}">
          <x14:id>{AF304029-3840-4F0B-8C26-171C25491CE4}</x14:id>
        </ext>
      </extLst>
    </cfRule>
  </conditionalFormatting>
  <conditionalFormatting sqref="E80:E85">
    <cfRule type="dataBar" priority="83">
      <dataBar>
        <cfvo type="min"/>
        <cfvo type="max"/>
        <color rgb="FF63C384"/>
      </dataBar>
      <extLst>
        <ext xmlns:x14="http://schemas.microsoft.com/office/spreadsheetml/2009/9/main" uri="{B025F937-C7B1-47D3-B67F-A62EFF666E3E}">
          <x14:id>{B64A4DF4-9D20-4FE3-B870-26CF189F778B}</x14:id>
        </ext>
      </extLst>
    </cfRule>
  </conditionalFormatting>
  <conditionalFormatting sqref="F5:F12">
    <cfRule type="dataBar" priority="252">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8:F23">
    <cfRule type="dataBar" priority="210">
      <dataBar>
        <cfvo type="min"/>
        <cfvo type="max"/>
        <color rgb="FF63C384"/>
      </dataBar>
      <extLst>
        <ext xmlns:x14="http://schemas.microsoft.com/office/spreadsheetml/2009/9/main" uri="{B025F937-C7B1-47D3-B67F-A62EFF666E3E}">
          <x14:id>{5EE1521A-2483-44CA-9CCA-E5FC63E6246F}</x14:id>
        </ext>
      </extLst>
    </cfRule>
  </conditionalFormatting>
  <conditionalFormatting sqref="F29:F34">
    <cfRule type="dataBar" priority="50">
      <dataBar>
        <cfvo type="min"/>
        <cfvo type="max"/>
        <color rgb="FF63C384"/>
      </dataBar>
      <extLst>
        <ext xmlns:x14="http://schemas.microsoft.com/office/spreadsheetml/2009/9/main" uri="{B025F937-C7B1-47D3-B67F-A62EFF666E3E}">
          <x14:id>{7A6FB026-A9AD-4AD1-B650-0FBCCBEED515}</x14:id>
        </ext>
      </extLst>
    </cfRule>
  </conditionalFormatting>
  <conditionalFormatting sqref="F40:F41">
    <cfRule type="dataBar" priority="29">
      <dataBar>
        <cfvo type="min"/>
        <cfvo type="max"/>
        <color rgb="FF63C384"/>
      </dataBar>
      <extLst>
        <ext xmlns:x14="http://schemas.microsoft.com/office/spreadsheetml/2009/9/main" uri="{B025F937-C7B1-47D3-B67F-A62EFF666E3E}">
          <x14:id>{7E141AFF-3D4E-4C2C-AB15-F38652A1C46F}</x14:id>
        </ext>
      </extLst>
    </cfRule>
  </conditionalFormatting>
  <conditionalFormatting sqref="F80:F85">
    <cfRule type="dataBar" priority="82">
      <dataBar>
        <cfvo type="min"/>
        <cfvo type="max"/>
        <color rgb="FF63C384"/>
      </dataBar>
      <extLst>
        <ext xmlns:x14="http://schemas.microsoft.com/office/spreadsheetml/2009/9/main" uri="{B025F937-C7B1-47D3-B67F-A62EFF666E3E}">
          <x14:id>{77A07398-A733-4B3F-97CD-C6D66CD9F180}</x14:id>
        </ext>
      </extLst>
    </cfRule>
  </conditionalFormatting>
  <conditionalFormatting sqref="G5:G12">
    <cfRule type="dataBar" priority="251">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8:G23">
    <cfRule type="dataBar" priority="209">
      <dataBar>
        <cfvo type="min"/>
        <cfvo type="max"/>
        <color rgb="FF63C384"/>
      </dataBar>
      <extLst>
        <ext xmlns:x14="http://schemas.microsoft.com/office/spreadsheetml/2009/9/main" uri="{B025F937-C7B1-47D3-B67F-A62EFF666E3E}">
          <x14:id>{00DC50B7-1706-4DFB-A90F-9F95CB19CA6D}</x14:id>
        </ext>
      </extLst>
    </cfRule>
  </conditionalFormatting>
  <conditionalFormatting sqref="G29:G34">
    <cfRule type="dataBar" priority="49">
      <dataBar>
        <cfvo type="min"/>
        <cfvo type="max"/>
        <color rgb="FF63C384"/>
      </dataBar>
      <extLst>
        <ext xmlns:x14="http://schemas.microsoft.com/office/spreadsheetml/2009/9/main" uri="{B025F937-C7B1-47D3-B67F-A62EFF666E3E}">
          <x14:id>{329C5E2C-A48C-43C6-AE2D-4FD626ACF00A}</x14:id>
        </ext>
      </extLst>
    </cfRule>
  </conditionalFormatting>
  <conditionalFormatting sqref="G40:G41">
    <cfRule type="dataBar" priority="28">
      <dataBar>
        <cfvo type="min"/>
        <cfvo type="max"/>
        <color rgb="FF63C384"/>
      </dataBar>
      <extLst>
        <ext xmlns:x14="http://schemas.microsoft.com/office/spreadsheetml/2009/9/main" uri="{B025F937-C7B1-47D3-B67F-A62EFF666E3E}">
          <x14:id>{A1711395-4D4C-4B5D-8508-844929184DA6}</x14:id>
        </ext>
      </extLst>
    </cfRule>
  </conditionalFormatting>
  <conditionalFormatting sqref="G80:G85">
    <cfRule type="dataBar" priority="81">
      <dataBar>
        <cfvo type="min"/>
        <cfvo type="max"/>
        <color rgb="FF63C384"/>
      </dataBar>
      <extLst>
        <ext xmlns:x14="http://schemas.microsoft.com/office/spreadsheetml/2009/9/main" uri="{B025F937-C7B1-47D3-B67F-A62EFF666E3E}">
          <x14:id>{BD5B9A93-124D-4CDC-9527-4A46ED82E938}</x14:id>
        </ext>
      </extLst>
    </cfRule>
  </conditionalFormatting>
  <conditionalFormatting sqref="H5:H12">
    <cfRule type="dataBar" priority="250">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8:H23">
    <cfRule type="dataBar" priority="208">
      <dataBar>
        <cfvo type="min"/>
        <cfvo type="max"/>
        <color rgb="FF63C384"/>
      </dataBar>
      <extLst>
        <ext xmlns:x14="http://schemas.microsoft.com/office/spreadsheetml/2009/9/main" uri="{B025F937-C7B1-47D3-B67F-A62EFF666E3E}">
          <x14:id>{EED505F4-1AE5-4E85-A25F-1DAC1EADC97D}</x14:id>
        </ext>
      </extLst>
    </cfRule>
  </conditionalFormatting>
  <conditionalFormatting sqref="H29:H34">
    <cfRule type="dataBar" priority="48">
      <dataBar>
        <cfvo type="min"/>
        <cfvo type="max"/>
        <color rgb="FF63C384"/>
      </dataBar>
      <extLst>
        <ext xmlns:x14="http://schemas.microsoft.com/office/spreadsheetml/2009/9/main" uri="{B025F937-C7B1-47D3-B67F-A62EFF666E3E}">
          <x14:id>{E35E28F1-A4B3-41C8-8A46-3F1B3756DF26}</x14:id>
        </ext>
      </extLst>
    </cfRule>
  </conditionalFormatting>
  <conditionalFormatting sqref="H40:H41">
    <cfRule type="dataBar" priority="27">
      <dataBar>
        <cfvo type="min"/>
        <cfvo type="max"/>
        <color rgb="FF63C384"/>
      </dataBar>
      <extLst>
        <ext xmlns:x14="http://schemas.microsoft.com/office/spreadsheetml/2009/9/main" uri="{B025F937-C7B1-47D3-B67F-A62EFF666E3E}">
          <x14:id>{CFCDEF2B-BEBA-4153-9787-77CA0EC855A1}</x14:id>
        </ext>
      </extLst>
    </cfRule>
  </conditionalFormatting>
  <conditionalFormatting sqref="H80:H85">
    <cfRule type="dataBar" priority="80">
      <dataBar>
        <cfvo type="min"/>
        <cfvo type="max"/>
        <color rgb="FF63C384"/>
      </dataBar>
      <extLst>
        <ext xmlns:x14="http://schemas.microsoft.com/office/spreadsheetml/2009/9/main" uri="{B025F937-C7B1-47D3-B67F-A62EFF666E3E}">
          <x14:id>{A86B387B-F1C9-4A2C-9379-B528BE62DA22}</x14:id>
        </ext>
      </extLst>
    </cfRule>
  </conditionalFormatting>
  <conditionalFormatting sqref="I5:I12">
    <cfRule type="dataBar" priority="249">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8:I23">
    <cfRule type="dataBar" priority="207">
      <dataBar>
        <cfvo type="min"/>
        <cfvo type="max"/>
        <color rgb="FF63C384"/>
      </dataBar>
      <extLst>
        <ext xmlns:x14="http://schemas.microsoft.com/office/spreadsheetml/2009/9/main" uri="{B025F937-C7B1-47D3-B67F-A62EFF666E3E}">
          <x14:id>{A192D211-7CF8-4DE2-A7D7-7E84CEAE76AC}</x14:id>
        </ext>
      </extLst>
    </cfRule>
  </conditionalFormatting>
  <conditionalFormatting sqref="I29:I34">
    <cfRule type="dataBar" priority="47">
      <dataBar>
        <cfvo type="min"/>
        <cfvo type="max"/>
        <color rgb="FF63C384"/>
      </dataBar>
      <extLst>
        <ext xmlns:x14="http://schemas.microsoft.com/office/spreadsheetml/2009/9/main" uri="{B025F937-C7B1-47D3-B67F-A62EFF666E3E}">
          <x14:id>{11E38FB2-A842-43E0-ACC3-998F56934335}</x14:id>
        </ext>
      </extLst>
    </cfRule>
  </conditionalFormatting>
  <conditionalFormatting sqref="I40:I41">
    <cfRule type="dataBar" priority="26">
      <dataBar>
        <cfvo type="min"/>
        <cfvo type="max"/>
        <color rgb="FF63C384"/>
      </dataBar>
      <extLst>
        <ext xmlns:x14="http://schemas.microsoft.com/office/spreadsheetml/2009/9/main" uri="{B025F937-C7B1-47D3-B67F-A62EFF666E3E}">
          <x14:id>{903A6D66-D829-4EC4-B5EA-23091631BBB9}</x14:id>
        </ext>
      </extLst>
    </cfRule>
  </conditionalFormatting>
  <conditionalFormatting sqref="I80:I85">
    <cfRule type="dataBar" priority="79">
      <dataBar>
        <cfvo type="min"/>
        <cfvo type="max"/>
        <color rgb="FF63C384"/>
      </dataBar>
      <extLst>
        <ext xmlns:x14="http://schemas.microsoft.com/office/spreadsheetml/2009/9/main" uri="{B025F937-C7B1-47D3-B67F-A62EFF666E3E}">
          <x14:id>{E90387D0-CC6A-405D-B3A4-A516AE65C382}</x14:id>
        </ext>
      </extLst>
    </cfRule>
  </conditionalFormatting>
  <conditionalFormatting sqref="K5:K12">
    <cfRule type="dataBar" priority="261">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8:K22">
    <cfRule type="dataBar" priority="219">
      <dataBar>
        <cfvo type="min"/>
        <cfvo type="max"/>
        <color rgb="FF63C384"/>
      </dataBar>
      <extLst>
        <ext xmlns:x14="http://schemas.microsoft.com/office/spreadsheetml/2009/9/main" uri="{B025F937-C7B1-47D3-B67F-A62EFF666E3E}">
          <x14:id>{60785AC6-7D44-400D-A2D8-9BBBDC5C548B}</x14:id>
        </ext>
      </extLst>
    </cfRule>
  </conditionalFormatting>
  <conditionalFormatting sqref="K29:K33">
    <cfRule type="dataBar" priority="59">
      <dataBar>
        <cfvo type="min"/>
        <cfvo type="max"/>
        <color rgb="FF63C384"/>
      </dataBar>
      <extLst>
        <ext xmlns:x14="http://schemas.microsoft.com/office/spreadsheetml/2009/9/main" uri="{B025F937-C7B1-47D3-B67F-A62EFF666E3E}">
          <x14:id>{5938A32D-780B-4B55-9EDC-E5F27CCFED46}</x14:id>
        </ext>
      </extLst>
    </cfRule>
  </conditionalFormatting>
  <conditionalFormatting sqref="K40:K41">
    <cfRule type="dataBar" priority="37">
      <dataBar>
        <cfvo type="min"/>
        <cfvo type="max"/>
        <color rgb="FF63C384"/>
      </dataBar>
      <extLst>
        <ext xmlns:x14="http://schemas.microsoft.com/office/spreadsheetml/2009/9/main" uri="{B025F937-C7B1-47D3-B67F-A62EFF666E3E}">
          <x14:id>{2B9C7ED6-ED8F-4660-9075-52F0BC18DA99}</x14:id>
        </ext>
      </extLst>
    </cfRule>
  </conditionalFormatting>
  <conditionalFormatting sqref="K72:K76">
    <cfRule type="dataBar" priority="7">
      <dataBar>
        <cfvo type="min"/>
        <cfvo type="max"/>
        <color rgb="FF63C384"/>
      </dataBar>
      <extLst>
        <ext xmlns:x14="http://schemas.microsoft.com/office/spreadsheetml/2009/9/main" uri="{B025F937-C7B1-47D3-B67F-A62EFF666E3E}">
          <x14:id>{A110DB4F-6726-4ED2-BF72-A7EDBF3A36EE}</x14:id>
        </ext>
      </extLst>
    </cfRule>
  </conditionalFormatting>
  <conditionalFormatting sqref="K80:K84">
    <cfRule type="dataBar" priority="91">
      <dataBar>
        <cfvo type="min"/>
        <cfvo type="max"/>
        <color rgb="FF63C384"/>
      </dataBar>
      <extLst>
        <ext xmlns:x14="http://schemas.microsoft.com/office/spreadsheetml/2009/9/main" uri="{B025F937-C7B1-47D3-B67F-A62EFF666E3E}">
          <x14:id>{8D60268A-E7A7-4C9D-BE03-BED667CFA624}</x14:id>
        </ext>
      </extLst>
    </cfRule>
  </conditionalFormatting>
  <conditionalFormatting sqref="K18:O22">
    <cfRule type="dataBar" priority="239">
      <dataBar>
        <cfvo type="min"/>
        <cfvo type="max"/>
        <color rgb="FF63C384"/>
      </dataBar>
      <extLst>
        <ext xmlns:x14="http://schemas.microsoft.com/office/spreadsheetml/2009/9/main" uri="{B025F937-C7B1-47D3-B67F-A62EFF666E3E}">
          <x14:id>{BE9D279A-ADD8-46F4-B26E-577DEFFA037B}</x14:id>
        </ext>
      </extLst>
    </cfRule>
  </conditionalFormatting>
  <conditionalFormatting sqref="K18:O23">
    <cfRule type="dataBar" priority="231">
      <dataBar>
        <cfvo type="min"/>
        <cfvo type="max"/>
        <color rgb="FF63C384"/>
      </dataBar>
      <extLst>
        <ext xmlns:x14="http://schemas.microsoft.com/office/spreadsheetml/2009/9/main" uri="{B025F937-C7B1-47D3-B67F-A62EFF666E3E}">
          <x14:id>{CBC457F7-3DB8-46A0-988B-11CCF8FF31E5}</x14:id>
        </ext>
      </extLst>
    </cfRule>
    <cfRule type="dataBar" priority="267">
      <dataBar>
        <cfvo type="min"/>
        <cfvo type="max"/>
        <color rgb="FF63C384"/>
      </dataBar>
      <extLst>
        <ext xmlns:x14="http://schemas.microsoft.com/office/spreadsheetml/2009/9/main" uri="{B025F937-C7B1-47D3-B67F-A62EFF666E3E}">
          <x14:id>{589E11FE-E342-4D21-9EB3-CB0F15AE87A6}</x14:id>
        </ext>
      </extLst>
    </cfRule>
  </conditionalFormatting>
  <conditionalFormatting sqref="K29:O33">
    <cfRule type="dataBar" priority="74">
      <dataBar>
        <cfvo type="min"/>
        <cfvo type="max"/>
        <color rgb="FF63C384"/>
      </dataBar>
      <extLst>
        <ext xmlns:x14="http://schemas.microsoft.com/office/spreadsheetml/2009/9/main" uri="{B025F937-C7B1-47D3-B67F-A62EFF666E3E}">
          <x14:id>{7C2B36FE-9FE0-40E5-9050-862D04C35DA4}</x14:id>
        </ext>
      </extLst>
    </cfRule>
  </conditionalFormatting>
  <conditionalFormatting sqref="K29:O34">
    <cfRule type="dataBar" priority="77">
      <dataBar>
        <cfvo type="min"/>
        <cfvo type="max"/>
        <color rgb="FF63C384"/>
      </dataBar>
      <extLst>
        <ext xmlns:x14="http://schemas.microsoft.com/office/spreadsheetml/2009/9/main" uri="{B025F937-C7B1-47D3-B67F-A62EFF666E3E}">
          <x14:id>{59A1A450-72FB-4D83-BE5B-59B712B56EB7}</x14:id>
        </ext>
      </extLst>
    </cfRule>
    <cfRule type="dataBar" priority="68">
      <dataBar>
        <cfvo type="min"/>
        <cfvo type="max"/>
        <color rgb="FF63C384"/>
      </dataBar>
      <extLst>
        <ext xmlns:x14="http://schemas.microsoft.com/office/spreadsheetml/2009/9/main" uri="{B025F937-C7B1-47D3-B67F-A62EFF666E3E}">
          <x14:id>{98910A10-529D-4EBA-8FD8-C607940AF4B4}</x14:id>
        </ext>
      </extLst>
    </cfRule>
  </conditionalFormatting>
  <conditionalFormatting sqref="K40:O41">
    <cfRule type="dataBar" priority="43">
      <dataBar>
        <cfvo type="min"/>
        <cfvo type="max"/>
        <color rgb="FF63C384"/>
      </dataBar>
      <extLst>
        <ext xmlns:x14="http://schemas.microsoft.com/office/spreadsheetml/2009/9/main" uri="{B025F937-C7B1-47D3-B67F-A62EFF666E3E}">
          <x14:id>{0F8314BE-433F-467E-89C6-4C3024462E65}</x14:id>
        </ext>
      </extLst>
    </cfRule>
    <cfRule type="dataBar" priority="45">
      <dataBar>
        <cfvo type="min"/>
        <cfvo type="max"/>
        <color rgb="FF63C384"/>
      </dataBar>
      <extLst>
        <ext xmlns:x14="http://schemas.microsoft.com/office/spreadsheetml/2009/9/main" uri="{B025F937-C7B1-47D3-B67F-A62EFF666E3E}">
          <x14:id>{C8546942-110D-4026-A092-1DABC7A817AB}</x14:id>
        </ext>
      </extLst>
    </cfRule>
    <cfRule type="dataBar" priority="39">
      <dataBar>
        <cfvo type="min"/>
        <cfvo type="max"/>
        <color rgb="FF63C384"/>
      </dataBar>
      <extLst>
        <ext xmlns:x14="http://schemas.microsoft.com/office/spreadsheetml/2009/9/main" uri="{B025F937-C7B1-47D3-B67F-A62EFF666E3E}">
          <x14:id>{A5BD0A42-258D-4204-841D-65E2AC3859D2}</x14:id>
        </ext>
      </extLst>
    </cfRule>
  </conditionalFormatting>
  <conditionalFormatting sqref="K72:O76">
    <cfRule type="dataBar" priority="22">
      <dataBar>
        <cfvo type="min"/>
        <cfvo type="max"/>
        <color rgb="FF63C384"/>
      </dataBar>
      <extLst>
        <ext xmlns:x14="http://schemas.microsoft.com/office/spreadsheetml/2009/9/main" uri="{B025F937-C7B1-47D3-B67F-A62EFF666E3E}">
          <x14:id>{1EB658B2-4A71-43DD-A99F-B81D9E77A862}</x14:id>
        </ext>
      </extLst>
    </cfRule>
  </conditionalFormatting>
  <conditionalFormatting sqref="K72:O77">
    <cfRule type="dataBar" priority="16">
      <dataBar>
        <cfvo type="min"/>
        <cfvo type="max"/>
        <color rgb="FF63C384"/>
      </dataBar>
      <extLst>
        <ext xmlns:x14="http://schemas.microsoft.com/office/spreadsheetml/2009/9/main" uri="{B025F937-C7B1-47D3-B67F-A62EFF666E3E}">
          <x14:id>{6BF0EDB3-5731-41A8-B6B5-49CC1F7E2A47}</x14:id>
        </ext>
      </extLst>
    </cfRule>
    <cfRule type="dataBar" priority="24">
      <dataBar>
        <cfvo type="min"/>
        <cfvo type="max"/>
        <color rgb="FF63C384"/>
      </dataBar>
      <extLst>
        <ext xmlns:x14="http://schemas.microsoft.com/office/spreadsheetml/2009/9/main" uri="{B025F937-C7B1-47D3-B67F-A62EFF666E3E}">
          <x14:id>{AC4E9738-F7B3-41B5-AC9A-31B65B22B307}</x14:id>
        </ext>
      </extLst>
    </cfRule>
  </conditionalFormatting>
  <conditionalFormatting sqref="K80:O84">
    <cfRule type="dataBar" priority="106">
      <dataBar>
        <cfvo type="min"/>
        <cfvo type="max"/>
        <color rgb="FF63C384"/>
      </dataBar>
      <extLst>
        <ext xmlns:x14="http://schemas.microsoft.com/office/spreadsheetml/2009/9/main" uri="{B025F937-C7B1-47D3-B67F-A62EFF666E3E}">
          <x14:id>{8DB947EE-42EF-49A6-A74C-E03F781F18E4}</x14:id>
        </ext>
      </extLst>
    </cfRule>
  </conditionalFormatting>
  <conditionalFormatting sqref="K80:O85">
    <cfRule type="dataBar" priority="109">
      <dataBar>
        <cfvo type="min"/>
        <cfvo type="max"/>
        <color rgb="FF63C384"/>
      </dataBar>
      <extLst>
        <ext xmlns:x14="http://schemas.microsoft.com/office/spreadsheetml/2009/9/main" uri="{B025F937-C7B1-47D3-B67F-A62EFF666E3E}">
          <x14:id>{E27E52C5-288A-4E2D-99C5-78770AF45ACC}</x14:id>
        </ext>
      </extLst>
    </cfRule>
    <cfRule type="dataBar" priority="100">
      <dataBar>
        <cfvo type="min"/>
        <cfvo type="max"/>
        <color rgb="FF63C384"/>
      </dataBar>
      <extLst>
        <ext xmlns:x14="http://schemas.microsoft.com/office/spreadsheetml/2009/9/main" uri="{B025F937-C7B1-47D3-B67F-A62EFF666E3E}">
          <x14:id>{9CFC705E-1110-4078-9826-DF93D9603942}</x14:id>
        </ext>
      </extLst>
    </cfRule>
  </conditionalFormatting>
  <conditionalFormatting sqref="K5:P10">
    <cfRule type="dataBar" priority="234">
      <dataBar>
        <cfvo type="min"/>
        <cfvo type="max"/>
        <color rgb="FF63C384"/>
      </dataBar>
      <extLst>
        <ext xmlns:x14="http://schemas.microsoft.com/office/spreadsheetml/2009/9/main" uri="{B025F937-C7B1-47D3-B67F-A62EFF666E3E}">
          <x14:id>{1642E512-5328-4DB9-81F4-5A67EFFA2D7A}</x14:id>
        </ext>
      </extLst>
    </cfRule>
    <cfRule type="dataBar" priority="235">
      <dataBar>
        <cfvo type="min"/>
        <cfvo type="max"/>
        <color rgb="FF63C384"/>
      </dataBar>
      <extLst>
        <ext xmlns:x14="http://schemas.microsoft.com/office/spreadsheetml/2009/9/main" uri="{B025F937-C7B1-47D3-B67F-A62EFF666E3E}">
          <x14:id>{5832A442-CC22-41FC-AD17-86122538435B}</x14:id>
        </ext>
      </extLst>
    </cfRule>
  </conditionalFormatting>
  <conditionalFormatting sqref="K18:P22">
    <cfRule type="dataBar" priority="232">
      <dataBar>
        <cfvo type="min"/>
        <cfvo type="max"/>
        <color rgb="FF63C384"/>
      </dataBar>
      <extLst>
        <ext xmlns:x14="http://schemas.microsoft.com/office/spreadsheetml/2009/9/main" uri="{B025F937-C7B1-47D3-B67F-A62EFF666E3E}">
          <x14:id>{9095667E-69EE-4811-BEDE-AFA010708C3B}</x14:id>
        </ext>
      </extLst>
    </cfRule>
    <cfRule type="dataBar" priority="230">
      <dataBar>
        <cfvo type="min"/>
        <cfvo type="max"/>
        <color rgb="FF63C384"/>
      </dataBar>
      <extLst>
        <ext xmlns:x14="http://schemas.microsoft.com/office/spreadsheetml/2009/9/main" uri="{B025F937-C7B1-47D3-B67F-A62EFF666E3E}">
          <x14:id>{4CBCF4A4-EFBB-41F0-984E-0C4EF2D8C81C}</x14:id>
        </ext>
      </extLst>
    </cfRule>
    <cfRule type="dataBar" priority="213">
      <dataBar>
        <cfvo type="min"/>
        <cfvo type="max"/>
        <color rgb="FF63C384"/>
      </dataBar>
      <extLst>
        <ext xmlns:x14="http://schemas.microsoft.com/office/spreadsheetml/2009/9/main" uri="{B025F937-C7B1-47D3-B67F-A62EFF666E3E}">
          <x14:id>{A85696C3-3FD4-4347-BBC8-6CEF041D9BC2}</x14:id>
        </ext>
      </extLst>
    </cfRule>
    <cfRule type="dataBar" priority="237">
      <dataBar>
        <cfvo type="min"/>
        <cfvo type="max"/>
        <color rgb="FF63C384"/>
      </dataBar>
      <extLst>
        <ext xmlns:x14="http://schemas.microsoft.com/office/spreadsheetml/2009/9/main" uri="{B025F937-C7B1-47D3-B67F-A62EFF666E3E}">
          <x14:id>{00030478-9DDE-4C48-B970-8BFEEA7887D7}</x14:id>
        </ext>
      </extLst>
    </cfRule>
  </conditionalFormatting>
  <conditionalFormatting sqref="K18:P23">
    <cfRule type="dataBar" priority="233">
      <dataBar>
        <cfvo type="min"/>
        <cfvo type="max"/>
        <color rgb="FF63C384"/>
      </dataBar>
      <extLst>
        <ext xmlns:x14="http://schemas.microsoft.com/office/spreadsheetml/2009/9/main" uri="{B025F937-C7B1-47D3-B67F-A62EFF666E3E}">
          <x14:id>{EC7F1560-4E75-4756-AE37-09B82982D1AB}</x14:id>
        </ext>
      </extLst>
    </cfRule>
  </conditionalFormatting>
  <conditionalFormatting sqref="K23:P23">
    <cfRule type="dataBar" priority="220">
      <dataBar>
        <cfvo type="min"/>
        <cfvo type="max"/>
        <color rgb="FF63C384"/>
      </dataBar>
      <extLst>
        <ext xmlns:x14="http://schemas.microsoft.com/office/spreadsheetml/2009/9/main" uri="{B025F937-C7B1-47D3-B67F-A62EFF666E3E}">
          <x14:id>{624EF9E9-FC69-4C57-8B92-4F6320D43BF6}</x14:id>
        </ext>
      </extLst>
    </cfRule>
    <cfRule type="dataBar" priority="229">
      <dataBar>
        <cfvo type="min"/>
        <cfvo type="max"/>
        <color rgb="FF63C384"/>
      </dataBar>
      <extLst>
        <ext xmlns:x14="http://schemas.microsoft.com/office/spreadsheetml/2009/9/main" uri="{B025F937-C7B1-47D3-B67F-A62EFF666E3E}">
          <x14:id>{1C8C07B2-BD7C-4727-B188-3301C366D456}</x14:id>
        </ext>
      </extLst>
    </cfRule>
    <cfRule type="dataBar" priority="236">
      <dataBar>
        <cfvo type="min"/>
        <cfvo type="max"/>
        <color rgb="FF63C384"/>
      </dataBar>
      <extLst>
        <ext xmlns:x14="http://schemas.microsoft.com/office/spreadsheetml/2009/9/main" uri="{B025F937-C7B1-47D3-B67F-A62EFF666E3E}">
          <x14:id>{904D660B-3592-4479-B026-ACD9350A3616}</x14:id>
        </ext>
      </extLst>
    </cfRule>
    <cfRule type="dataBar" priority="238">
      <dataBar>
        <cfvo type="min"/>
        <cfvo type="max"/>
        <color rgb="FF63C384"/>
      </dataBar>
      <extLst>
        <ext xmlns:x14="http://schemas.microsoft.com/office/spreadsheetml/2009/9/main" uri="{B025F937-C7B1-47D3-B67F-A62EFF666E3E}">
          <x14:id>{FE2287FA-B40E-40F5-8AA8-262EA0BD4636}</x14:id>
        </ext>
      </extLst>
    </cfRule>
  </conditionalFormatting>
  <conditionalFormatting sqref="K29:P33">
    <cfRule type="dataBar" priority="67">
      <dataBar>
        <cfvo type="min"/>
        <cfvo type="max"/>
        <color rgb="FF63C384"/>
      </dataBar>
      <extLst>
        <ext xmlns:x14="http://schemas.microsoft.com/office/spreadsheetml/2009/9/main" uri="{B025F937-C7B1-47D3-B67F-A62EFF666E3E}">
          <x14:id>{92DD3136-198B-45F2-8AB8-5713A0235F33}</x14:id>
        </ext>
      </extLst>
    </cfRule>
    <cfRule type="dataBar" priority="69">
      <dataBar>
        <cfvo type="min"/>
        <cfvo type="max"/>
        <color rgb="FF63C384"/>
      </dataBar>
      <extLst>
        <ext xmlns:x14="http://schemas.microsoft.com/office/spreadsheetml/2009/9/main" uri="{B025F937-C7B1-47D3-B67F-A62EFF666E3E}">
          <x14:id>{4A9E582B-75C1-499F-8B22-E4AEBD50FD5A}</x14:id>
        </ext>
      </extLst>
    </cfRule>
    <cfRule type="dataBar" priority="72">
      <dataBar>
        <cfvo type="min"/>
        <cfvo type="max"/>
        <color rgb="FF63C384"/>
      </dataBar>
      <extLst>
        <ext xmlns:x14="http://schemas.microsoft.com/office/spreadsheetml/2009/9/main" uri="{B025F937-C7B1-47D3-B67F-A62EFF666E3E}">
          <x14:id>{981458B6-6C21-4748-9F96-280E1BC2B920}</x14:id>
        </ext>
      </extLst>
    </cfRule>
    <cfRule type="dataBar" priority="53">
      <dataBar>
        <cfvo type="min"/>
        <cfvo type="max"/>
        <color rgb="FF63C384"/>
      </dataBar>
      <extLst>
        <ext xmlns:x14="http://schemas.microsoft.com/office/spreadsheetml/2009/9/main" uri="{B025F937-C7B1-47D3-B67F-A62EFF666E3E}">
          <x14:id>{77AE0C7D-3387-4CC3-BB67-DAC83309099C}</x14:id>
        </ext>
      </extLst>
    </cfRule>
  </conditionalFormatting>
  <conditionalFormatting sqref="K29:P34">
    <cfRule type="dataBar" priority="70">
      <dataBar>
        <cfvo type="min"/>
        <cfvo type="max"/>
        <color rgb="FF63C384"/>
      </dataBar>
      <extLst>
        <ext xmlns:x14="http://schemas.microsoft.com/office/spreadsheetml/2009/9/main" uri="{B025F937-C7B1-47D3-B67F-A62EFF666E3E}">
          <x14:id>{634EEAB4-1A63-4D70-B7C7-764CA4F72150}</x14:id>
        </ext>
      </extLst>
    </cfRule>
  </conditionalFormatting>
  <conditionalFormatting sqref="K34:P34">
    <cfRule type="dataBar" priority="60">
      <dataBar>
        <cfvo type="min"/>
        <cfvo type="max"/>
        <color rgb="FF63C384"/>
      </dataBar>
      <extLst>
        <ext xmlns:x14="http://schemas.microsoft.com/office/spreadsheetml/2009/9/main" uri="{B025F937-C7B1-47D3-B67F-A62EFF666E3E}">
          <x14:id>{15EDAC49-24B2-44F5-9547-5E4F59F1DFDD}</x14:id>
        </ext>
      </extLst>
    </cfRule>
    <cfRule type="dataBar" priority="66">
      <dataBar>
        <cfvo type="min"/>
        <cfvo type="max"/>
        <color rgb="FF63C384"/>
      </dataBar>
      <extLst>
        <ext xmlns:x14="http://schemas.microsoft.com/office/spreadsheetml/2009/9/main" uri="{B025F937-C7B1-47D3-B67F-A62EFF666E3E}">
          <x14:id>{C83642D3-ACBF-4E00-88DB-3FBFA6F01B4C}</x14:id>
        </ext>
      </extLst>
    </cfRule>
    <cfRule type="dataBar" priority="71">
      <dataBar>
        <cfvo type="min"/>
        <cfvo type="max"/>
        <color rgb="FF63C384"/>
      </dataBar>
      <extLst>
        <ext xmlns:x14="http://schemas.microsoft.com/office/spreadsheetml/2009/9/main" uri="{B025F937-C7B1-47D3-B67F-A62EFF666E3E}">
          <x14:id>{16DE881F-F4FA-49B7-85FE-4A60D690631E}</x14:id>
        </ext>
      </extLst>
    </cfRule>
    <cfRule type="dataBar" priority="73">
      <dataBar>
        <cfvo type="min"/>
        <cfvo type="max"/>
        <color rgb="FF63C384"/>
      </dataBar>
      <extLst>
        <ext xmlns:x14="http://schemas.microsoft.com/office/spreadsheetml/2009/9/main" uri="{B025F937-C7B1-47D3-B67F-A62EFF666E3E}">
          <x14:id>{0DC6A665-52BD-4330-BCA3-5CBA0C7498FD}</x14:id>
        </ext>
      </extLst>
    </cfRule>
  </conditionalFormatting>
  <conditionalFormatting sqref="K40:P41">
    <cfRule type="dataBar" priority="42">
      <dataBar>
        <cfvo type="min"/>
        <cfvo type="max"/>
        <color rgb="FF63C384"/>
      </dataBar>
      <extLst>
        <ext xmlns:x14="http://schemas.microsoft.com/office/spreadsheetml/2009/9/main" uri="{B025F937-C7B1-47D3-B67F-A62EFF666E3E}">
          <x14:id>{7CDEE68F-11B4-4EEE-90E5-2B1A47F3EE1C}</x14:id>
        </ext>
      </extLst>
    </cfRule>
    <cfRule type="dataBar" priority="41">
      <dataBar>
        <cfvo type="min"/>
        <cfvo type="max"/>
        <color rgb="FF63C384"/>
      </dataBar>
      <extLst>
        <ext xmlns:x14="http://schemas.microsoft.com/office/spreadsheetml/2009/9/main" uri="{B025F937-C7B1-47D3-B67F-A62EFF666E3E}">
          <x14:id>{19499A55-FB36-4A63-8632-25E525D0BDE5}</x14:id>
        </ext>
      </extLst>
    </cfRule>
    <cfRule type="dataBar" priority="40">
      <dataBar>
        <cfvo type="min"/>
        <cfvo type="max"/>
        <color rgb="FF63C384"/>
      </dataBar>
      <extLst>
        <ext xmlns:x14="http://schemas.microsoft.com/office/spreadsheetml/2009/9/main" uri="{B025F937-C7B1-47D3-B67F-A62EFF666E3E}">
          <x14:id>{3476AF26-0DD1-4E5F-ABF0-87E13F03AD47}</x14:id>
        </ext>
      </extLst>
    </cfRule>
    <cfRule type="dataBar" priority="38">
      <dataBar>
        <cfvo type="min"/>
        <cfvo type="max"/>
        <color rgb="FF63C384"/>
      </dataBar>
      <extLst>
        <ext xmlns:x14="http://schemas.microsoft.com/office/spreadsheetml/2009/9/main" uri="{B025F937-C7B1-47D3-B67F-A62EFF666E3E}">
          <x14:id>{4A92A1BF-9F13-4DF8-BC17-2CFA98BDB2F0}</x14:id>
        </ext>
      </extLst>
    </cfRule>
    <cfRule type="dataBar" priority="32">
      <dataBar>
        <cfvo type="min"/>
        <cfvo type="max"/>
        <color rgb="FF63C384"/>
      </dataBar>
      <extLst>
        <ext xmlns:x14="http://schemas.microsoft.com/office/spreadsheetml/2009/9/main" uri="{B025F937-C7B1-47D3-B67F-A62EFF666E3E}">
          <x14:id>{222DF5EE-619A-4287-9C48-AEC9FEB80F7E}</x14:id>
        </ext>
      </extLst>
    </cfRule>
  </conditionalFormatting>
  <conditionalFormatting sqref="K72:P76">
    <cfRule type="dataBar" priority="17">
      <dataBar>
        <cfvo type="min"/>
        <cfvo type="max"/>
        <color rgb="FF63C384"/>
      </dataBar>
      <extLst>
        <ext xmlns:x14="http://schemas.microsoft.com/office/spreadsheetml/2009/9/main" uri="{B025F937-C7B1-47D3-B67F-A62EFF666E3E}">
          <x14:id>{44BBE98D-7430-44F7-A32D-E2A5FCCAD835}</x14:id>
        </ext>
      </extLst>
    </cfRule>
    <cfRule type="dataBar" priority="20">
      <dataBar>
        <cfvo type="min"/>
        <cfvo type="max"/>
        <color rgb="FF63C384"/>
      </dataBar>
      <extLst>
        <ext xmlns:x14="http://schemas.microsoft.com/office/spreadsheetml/2009/9/main" uri="{B025F937-C7B1-47D3-B67F-A62EFF666E3E}">
          <x14:id>{FABD6DFA-AD2B-41A3-A141-D70388E83635}</x14:id>
        </ext>
      </extLst>
    </cfRule>
    <cfRule type="dataBar" priority="1">
      <dataBar>
        <cfvo type="min"/>
        <cfvo type="max"/>
        <color rgb="FF63C384"/>
      </dataBar>
      <extLst>
        <ext xmlns:x14="http://schemas.microsoft.com/office/spreadsheetml/2009/9/main" uri="{B025F937-C7B1-47D3-B67F-A62EFF666E3E}">
          <x14:id>{79A2F00F-2DA5-4BAB-BD5E-386B6E8ABFFA}</x14:id>
        </ext>
      </extLst>
    </cfRule>
    <cfRule type="dataBar" priority="15">
      <dataBar>
        <cfvo type="min"/>
        <cfvo type="max"/>
        <color rgb="FF63C384"/>
      </dataBar>
      <extLst>
        <ext xmlns:x14="http://schemas.microsoft.com/office/spreadsheetml/2009/9/main" uri="{B025F937-C7B1-47D3-B67F-A62EFF666E3E}">
          <x14:id>{4C0436D8-40AA-4DD3-B291-9985CDBF4B61}</x14:id>
        </ext>
      </extLst>
    </cfRule>
  </conditionalFormatting>
  <conditionalFormatting sqref="K72:P77">
    <cfRule type="dataBar" priority="18">
      <dataBar>
        <cfvo type="min"/>
        <cfvo type="max"/>
        <color rgb="FF63C384"/>
      </dataBar>
      <extLst>
        <ext xmlns:x14="http://schemas.microsoft.com/office/spreadsheetml/2009/9/main" uri="{B025F937-C7B1-47D3-B67F-A62EFF666E3E}">
          <x14:id>{6CD73A2E-FC8B-426C-8CDB-31D4A4DC6888}</x14:id>
        </ext>
      </extLst>
    </cfRule>
  </conditionalFormatting>
  <conditionalFormatting sqref="K77:P77">
    <cfRule type="dataBar" priority="21">
      <dataBar>
        <cfvo type="min"/>
        <cfvo type="max"/>
        <color rgb="FF63C384"/>
      </dataBar>
      <extLst>
        <ext xmlns:x14="http://schemas.microsoft.com/office/spreadsheetml/2009/9/main" uri="{B025F937-C7B1-47D3-B67F-A62EFF666E3E}">
          <x14:id>{55233CA1-5D96-4CF9-A91B-380C01F3AB13}</x14:id>
        </ext>
      </extLst>
    </cfRule>
    <cfRule type="dataBar" priority="8">
      <dataBar>
        <cfvo type="min"/>
        <cfvo type="max"/>
        <color rgb="FF63C384"/>
      </dataBar>
      <extLst>
        <ext xmlns:x14="http://schemas.microsoft.com/office/spreadsheetml/2009/9/main" uri="{B025F937-C7B1-47D3-B67F-A62EFF666E3E}">
          <x14:id>{3CB5F20E-92A1-4085-ADEC-1E7B4B5F0BAC}</x14:id>
        </ext>
      </extLst>
    </cfRule>
    <cfRule type="dataBar" priority="19">
      <dataBar>
        <cfvo type="min"/>
        <cfvo type="max"/>
        <color rgb="FF63C384"/>
      </dataBar>
      <extLst>
        <ext xmlns:x14="http://schemas.microsoft.com/office/spreadsheetml/2009/9/main" uri="{B025F937-C7B1-47D3-B67F-A62EFF666E3E}">
          <x14:id>{C095CE9D-BFE5-455A-946F-682ED89DBFE6}</x14:id>
        </ext>
      </extLst>
    </cfRule>
    <cfRule type="dataBar" priority="14">
      <dataBar>
        <cfvo type="min"/>
        <cfvo type="max"/>
        <color rgb="FF63C384"/>
      </dataBar>
      <extLst>
        <ext xmlns:x14="http://schemas.microsoft.com/office/spreadsheetml/2009/9/main" uri="{B025F937-C7B1-47D3-B67F-A62EFF666E3E}">
          <x14:id>{64EAF042-A9DA-4D34-8F34-E51F714D1FAA}</x14:id>
        </ext>
      </extLst>
    </cfRule>
  </conditionalFormatting>
  <conditionalFormatting sqref="K80:P84">
    <cfRule type="dataBar" priority="101">
      <dataBar>
        <cfvo type="min"/>
        <cfvo type="max"/>
        <color rgb="FF63C384"/>
      </dataBar>
      <extLst>
        <ext xmlns:x14="http://schemas.microsoft.com/office/spreadsheetml/2009/9/main" uri="{B025F937-C7B1-47D3-B67F-A62EFF666E3E}">
          <x14:id>{3EFE5A9F-EBA2-4D2F-AAFC-DCC42A6D67F6}</x14:id>
        </ext>
      </extLst>
    </cfRule>
    <cfRule type="dataBar" priority="104">
      <dataBar>
        <cfvo type="min"/>
        <cfvo type="max"/>
        <color rgb="FF63C384"/>
      </dataBar>
      <extLst>
        <ext xmlns:x14="http://schemas.microsoft.com/office/spreadsheetml/2009/9/main" uri="{B025F937-C7B1-47D3-B67F-A62EFF666E3E}">
          <x14:id>{336CE6F6-B02D-451E-80CA-4D79BB3F7732}</x14:id>
        </ext>
      </extLst>
    </cfRule>
    <cfRule type="dataBar" priority="85">
      <dataBar>
        <cfvo type="min"/>
        <cfvo type="max"/>
        <color rgb="FF63C384"/>
      </dataBar>
      <extLst>
        <ext xmlns:x14="http://schemas.microsoft.com/office/spreadsheetml/2009/9/main" uri="{B025F937-C7B1-47D3-B67F-A62EFF666E3E}">
          <x14:id>{200B66AC-0CDB-4A11-81C8-96A42D4E3BE8}</x14:id>
        </ext>
      </extLst>
    </cfRule>
    <cfRule type="dataBar" priority="99">
      <dataBar>
        <cfvo type="min"/>
        <cfvo type="max"/>
        <color rgb="FF63C384"/>
      </dataBar>
      <extLst>
        <ext xmlns:x14="http://schemas.microsoft.com/office/spreadsheetml/2009/9/main" uri="{B025F937-C7B1-47D3-B67F-A62EFF666E3E}">
          <x14:id>{5EEE178B-5BF2-46FA-9034-281BC13DBD21}</x14:id>
        </ext>
      </extLst>
    </cfRule>
  </conditionalFormatting>
  <conditionalFormatting sqref="K80:P85">
    <cfRule type="dataBar" priority="102">
      <dataBar>
        <cfvo type="min"/>
        <cfvo type="max"/>
        <color rgb="FF63C384"/>
      </dataBar>
      <extLst>
        <ext xmlns:x14="http://schemas.microsoft.com/office/spreadsheetml/2009/9/main" uri="{B025F937-C7B1-47D3-B67F-A62EFF666E3E}">
          <x14:id>{5D614FCA-7890-4814-81E6-69164E23CCC0}</x14:id>
        </ext>
      </extLst>
    </cfRule>
  </conditionalFormatting>
  <conditionalFormatting sqref="K85:P85">
    <cfRule type="dataBar" priority="98">
      <dataBar>
        <cfvo type="min"/>
        <cfvo type="max"/>
        <color rgb="FF63C384"/>
      </dataBar>
      <extLst>
        <ext xmlns:x14="http://schemas.microsoft.com/office/spreadsheetml/2009/9/main" uri="{B025F937-C7B1-47D3-B67F-A62EFF666E3E}">
          <x14:id>{D7C0C4D0-4C8A-448A-99D5-A640299B2BD5}</x14:id>
        </ext>
      </extLst>
    </cfRule>
    <cfRule type="dataBar" priority="92">
      <dataBar>
        <cfvo type="min"/>
        <cfvo type="max"/>
        <color rgb="FF63C384"/>
      </dataBar>
      <extLst>
        <ext xmlns:x14="http://schemas.microsoft.com/office/spreadsheetml/2009/9/main" uri="{B025F937-C7B1-47D3-B67F-A62EFF666E3E}">
          <x14:id>{CEB19EAD-8B8E-4DAB-87D1-6E5D72250EB7}</x14:id>
        </ext>
      </extLst>
    </cfRule>
    <cfRule type="dataBar" priority="103">
      <dataBar>
        <cfvo type="min"/>
        <cfvo type="max"/>
        <color rgb="FF63C384"/>
      </dataBar>
      <extLst>
        <ext xmlns:x14="http://schemas.microsoft.com/office/spreadsheetml/2009/9/main" uri="{B025F937-C7B1-47D3-B67F-A62EFF666E3E}">
          <x14:id>{C871A615-6B0B-4F98-BE20-10D9D809A95C}</x14:id>
        </ext>
      </extLst>
    </cfRule>
    <cfRule type="dataBar" priority="105">
      <dataBar>
        <cfvo type="min"/>
        <cfvo type="max"/>
        <color rgb="FF63C384"/>
      </dataBar>
      <extLst>
        <ext xmlns:x14="http://schemas.microsoft.com/office/spreadsheetml/2009/9/main" uri="{B025F937-C7B1-47D3-B67F-A62EFF666E3E}">
          <x14:id>{BE6DEAD4-4A79-4416-A784-37E7AD97443B}</x14:id>
        </ext>
      </extLst>
    </cfRule>
  </conditionalFormatting>
  <conditionalFormatting sqref="L5:L12">
    <cfRule type="dataBar" priority="259">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8:L22">
    <cfRule type="dataBar" priority="218">
      <dataBar>
        <cfvo type="min"/>
        <cfvo type="max"/>
        <color rgb="FF63C384"/>
      </dataBar>
      <extLst>
        <ext xmlns:x14="http://schemas.microsoft.com/office/spreadsheetml/2009/9/main" uri="{B025F937-C7B1-47D3-B67F-A62EFF666E3E}">
          <x14:id>{4BEF7755-0998-42F9-BE2B-3DDE71DD6879}</x14:id>
        </ext>
      </extLst>
    </cfRule>
  </conditionalFormatting>
  <conditionalFormatting sqref="L29:L33">
    <cfRule type="dataBar" priority="58">
      <dataBar>
        <cfvo type="min"/>
        <cfvo type="max"/>
        <color rgb="FF63C384"/>
      </dataBar>
      <extLst>
        <ext xmlns:x14="http://schemas.microsoft.com/office/spreadsheetml/2009/9/main" uri="{B025F937-C7B1-47D3-B67F-A62EFF666E3E}">
          <x14:id>{A5F47BCA-38F9-4CBF-AB84-A6284C310931}</x14:id>
        </ext>
      </extLst>
    </cfRule>
  </conditionalFormatting>
  <conditionalFormatting sqref="L40:L41">
    <cfRule type="dataBar" priority="36">
      <dataBar>
        <cfvo type="min"/>
        <cfvo type="max"/>
        <color rgb="FF63C384"/>
      </dataBar>
      <extLst>
        <ext xmlns:x14="http://schemas.microsoft.com/office/spreadsheetml/2009/9/main" uri="{B025F937-C7B1-47D3-B67F-A62EFF666E3E}">
          <x14:id>{3C3AEE76-4EF7-4471-99E0-6A1D11FC2807}</x14:id>
        </ext>
      </extLst>
    </cfRule>
  </conditionalFormatting>
  <conditionalFormatting sqref="L72:L76">
    <cfRule type="dataBar" priority="6">
      <dataBar>
        <cfvo type="min"/>
        <cfvo type="max"/>
        <color rgb="FF63C384"/>
      </dataBar>
      <extLst>
        <ext xmlns:x14="http://schemas.microsoft.com/office/spreadsheetml/2009/9/main" uri="{B025F937-C7B1-47D3-B67F-A62EFF666E3E}">
          <x14:id>{906EFDD5-B3DC-4752-A57C-8FE450E9698C}</x14:id>
        </ext>
      </extLst>
    </cfRule>
  </conditionalFormatting>
  <conditionalFormatting sqref="L80:L84">
    <cfRule type="dataBar" priority="90">
      <dataBar>
        <cfvo type="min"/>
        <cfvo type="max"/>
        <color rgb="FF63C384"/>
      </dataBar>
      <extLst>
        <ext xmlns:x14="http://schemas.microsoft.com/office/spreadsheetml/2009/9/main" uri="{B025F937-C7B1-47D3-B67F-A62EFF666E3E}">
          <x14:id>{753CBE35-3C18-4C31-BFE1-AFC947810D38}</x14:id>
        </ext>
      </extLst>
    </cfRule>
  </conditionalFormatting>
  <conditionalFormatting sqref="M11:M12">
    <cfRule type="dataBar" priority="258">
      <dataBar>
        <cfvo type="min"/>
        <cfvo type="max"/>
        <color rgb="FF63C384"/>
      </dataBar>
      <extLst>
        <ext xmlns:x14="http://schemas.microsoft.com/office/spreadsheetml/2009/9/main" uri="{B025F937-C7B1-47D3-B67F-A62EFF666E3E}">
          <x14:id>{CF921376-951B-44A1-A35C-F489AA25CABD}</x14:id>
        </ext>
      </extLst>
    </cfRule>
  </conditionalFormatting>
  <conditionalFormatting sqref="M20:M22">
    <cfRule type="dataBar" priority="217">
      <dataBar>
        <cfvo type="min"/>
        <cfvo type="max"/>
        <color rgb="FF63C384"/>
      </dataBar>
      <extLst>
        <ext xmlns:x14="http://schemas.microsoft.com/office/spreadsheetml/2009/9/main" uri="{B025F937-C7B1-47D3-B67F-A62EFF666E3E}">
          <x14:id>{56FDBD16-DDEB-4D7A-98AA-9D8D76CB1BBA}</x14:id>
        </ext>
      </extLst>
    </cfRule>
  </conditionalFormatting>
  <conditionalFormatting sqref="M31:M33">
    <cfRule type="dataBar" priority="57">
      <dataBar>
        <cfvo type="min"/>
        <cfvo type="max"/>
        <color rgb="FF63C384"/>
      </dataBar>
      <extLst>
        <ext xmlns:x14="http://schemas.microsoft.com/office/spreadsheetml/2009/9/main" uri="{B025F937-C7B1-47D3-B67F-A62EFF666E3E}">
          <x14:id>{3B918FB4-437D-4CCD-98E3-74D3FE8CCE7B}</x14:id>
        </ext>
      </extLst>
    </cfRule>
  </conditionalFormatting>
  <conditionalFormatting sqref="M74:M76">
    <cfRule type="dataBar" priority="5">
      <dataBar>
        <cfvo type="min"/>
        <cfvo type="max"/>
        <color rgb="FF63C384"/>
      </dataBar>
      <extLst>
        <ext xmlns:x14="http://schemas.microsoft.com/office/spreadsheetml/2009/9/main" uri="{B025F937-C7B1-47D3-B67F-A62EFF666E3E}">
          <x14:id>{D46666CA-1504-4E5B-B535-86AFF89F557F}</x14:id>
        </ext>
      </extLst>
    </cfRule>
  </conditionalFormatting>
  <conditionalFormatting sqref="M82:M84">
    <cfRule type="dataBar" priority="89">
      <dataBar>
        <cfvo type="min"/>
        <cfvo type="max"/>
        <color rgb="FF63C384"/>
      </dataBar>
      <extLst>
        <ext xmlns:x14="http://schemas.microsoft.com/office/spreadsheetml/2009/9/main" uri="{B025F937-C7B1-47D3-B67F-A62EFF666E3E}">
          <x14:id>{7EBE88C5-B81E-4CF8-85E5-4CD73D69EF85}</x14:id>
        </ext>
      </extLst>
    </cfRule>
  </conditionalFormatting>
  <conditionalFormatting sqref="M5:P10">
    <cfRule type="dataBar" priority="240">
      <dataBar>
        <cfvo type="min"/>
        <cfvo type="max"/>
        <color rgb="FF63C384"/>
      </dataBar>
      <extLst>
        <ext xmlns:x14="http://schemas.microsoft.com/office/spreadsheetml/2009/9/main" uri="{B025F937-C7B1-47D3-B67F-A62EFF666E3E}">
          <x14:id>{418255D3-2B96-41A9-9582-87939D7FAE81}</x14:id>
        </ext>
      </extLst>
    </cfRule>
  </conditionalFormatting>
  <conditionalFormatting sqref="N11:N12">
    <cfRule type="dataBar" priority="257">
      <dataBar>
        <cfvo type="min"/>
        <cfvo type="max"/>
        <color rgb="FF63C384"/>
      </dataBar>
      <extLst>
        <ext xmlns:x14="http://schemas.microsoft.com/office/spreadsheetml/2009/9/main" uri="{B025F937-C7B1-47D3-B67F-A62EFF666E3E}">
          <x14:id>{13101FF6-2EA7-4030-B4D6-DA0DA1C2F6A6}</x14:id>
        </ext>
      </extLst>
    </cfRule>
  </conditionalFormatting>
  <conditionalFormatting sqref="N18:N22">
    <cfRule type="dataBar" priority="216">
      <dataBar>
        <cfvo type="min"/>
        <cfvo type="max"/>
        <color rgb="FF63C384"/>
      </dataBar>
      <extLst>
        <ext xmlns:x14="http://schemas.microsoft.com/office/spreadsheetml/2009/9/main" uri="{B025F937-C7B1-47D3-B67F-A62EFF666E3E}">
          <x14:id>{E359D2BF-B4C7-4D3A-9103-4CBEE70A31B4}</x14:id>
        </ext>
      </extLst>
    </cfRule>
  </conditionalFormatting>
  <conditionalFormatting sqref="N29:N33">
    <cfRule type="dataBar" priority="56">
      <dataBar>
        <cfvo type="min"/>
        <cfvo type="max"/>
        <color rgb="FF63C384"/>
      </dataBar>
      <extLst>
        <ext xmlns:x14="http://schemas.microsoft.com/office/spreadsheetml/2009/9/main" uri="{B025F937-C7B1-47D3-B67F-A62EFF666E3E}">
          <x14:id>{05DB854C-DC24-4844-B308-AB00FCC63714}</x14:id>
        </ext>
      </extLst>
    </cfRule>
  </conditionalFormatting>
  <conditionalFormatting sqref="N40:N41">
    <cfRule type="dataBar" priority="35">
      <dataBar>
        <cfvo type="min"/>
        <cfvo type="max"/>
        <color rgb="FF63C384"/>
      </dataBar>
      <extLst>
        <ext xmlns:x14="http://schemas.microsoft.com/office/spreadsheetml/2009/9/main" uri="{B025F937-C7B1-47D3-B67F-A62EFF666E3E}">
          <x14:id>{75732680-7925-47CD-8DF2-5E517DA6AD0F}</x14:id>
        </ext>
      </extLst>
    </cfRule>
  </conditionalFormatting>
  <conditionalFormatting sqref="N72:N76">
    <cfRule type="dataBar" priority="4">
      <dataBar>
        <cfvo type="min"/>
        <cfvo type="max"/>
        <color rgb="FF63C384"/>
      </dataBar>
      <extLst>
        <ext xmlns:x14="http://schemas.microsoft.com/office/spreadsheetml/2009/9/main" uri="{B025F937-C7B1-47D3-B67F-A62EFF666E3E}">
          <x14:id>{A4C812E1-8F47-43D7-B10E-A1EABE5AA0C4}</x14:id>
        </ext>
      </extLst>
    </cfRule>
  </conditionalFormatting>
  <conditionalFormatting sqref="N80:N84">
    <cfRule type="dataBar" priority="88">
      <dataBar>
        <cfvo type="min"/>
        <cfvo type="max"/>
        <color rgb="FF63C384"/>
      </dataBar>
      <extLst>
        <ext xmlns:x14="http://schemas.microsoft.com/office/spreadsheetml/2009/9/main" uri="{B025F937-C7B1-47D3-B67F-A62EFF666E3E}">
          <x14:id>{C4C5748A-DDF9-4123-ABCC-CC6CEEB3E5B3}</x14:id>
        </ext>
      </extLst>
    </cfRule>
  </conditionalFormatting>
  <conditionalFormatting sqref="O11:O12">
    <cfRule type="dataBar" priority="256">
      <dataBar>
        <cfvo type="min"/>
        <cfvo type="max"/>
        <color rgb="FF63C384"/>
      </dataBar>
      <extLst>
        <ext xmlns:x14="http://schemas.microsoft.com/office/spreadsheetml/2009/9/main" uri="{B025F937-C7B1-47D3-B67F-A62EFF666E3E}">
          <x14:id>{1F18C40A-A33A-4D0B-B57F-47D9D6CF0D64}</x14:id>
        </ext>
      </extLst>
    </cfRule>
  </conditionalFormatting>
  <conditionalFormatting sqref="O18:O22">
    <cfRule type="dataBar" priority="215">
      <dataBar>
        <cfvo type="min"/>
        <cfvo type="max"/>
        <color rgb="FF63C384"/>
      </dataBar>
      <extLst>
        <ext xmlns:x14="http://schemas.microsoft.com/office/spreadsheetml/2009/9/main" uri="{B025F937-C7B1-47D3-B67F-A62EFF666E3E}">
          <x14:id>{26AC0999-7FF4-4431-B91F-7A7C0E85B670}</x14:id>
        </ext>
      </extLst>
    </cfRule>
  </conditionalFormatting>
  <conditionalFormatting sqref="O29:O33">
    <cfRule type="dataBar" priority="55">
      <dataBar>
        <cfvo type="min"/>
        <cfvo type="max"/>
        <color rgb="FF63C384"/>
      </dataBar>
      <extLst>
        <ext xmlns:x14="http://schemas.microsoft.com/office/spreadsheetml/2009/9/main" uri="{B025F937-C7B1-47D3-B67F-A62EFF666E3E}">
          <x14:id>{FFAACEED-8939-423F-BA30-EA290897BB88}</x14:id>
        </ext>
      </extLst>
    </cfRule>
  </conditionalFormatting>
  <conditionalFormatting sqref="O40:O41">
    <cfRule type="dataBar" priority="34">
      <dataBar>
        <cfvo type="min"/>
        <cfvo type="max"/>
        <color rgb="FF63C384"/>
      </dataBar>
      <extLst>
        <ext xmlns:x14="http://schemas.microsoft.com/office/spreadsheetml/2009/9/main" uri="{B025F937-C7B1-47D3-B67F-A62EFF666E3E}">
          <x14:id>{D3D91FD0-D574-4339-A8B0-6AEDF3960766}</x14:id>
        </ext>
      </extLst>
    </cfRule>
  </conditionalFormatting>
  <conditionalFormatting sqref="O72:O76">
    <cfRule type="dataBar" priority="3">
      <dataBar>
        <cfvo type="min"/>
        <cfvo type="max"/>
        <color rgb="FF63C384"/>
      </dataBar>
      <extLst>
        <ext xmlns:x14="http://schemas.microsoft.com/office/spreadsheetml/2009/9/main" uri="{B025F937-C7B1-47D3-B67F-A62EFF666E3E}">
          <x14:id>{4FB980C2-0E71-47D7-B102-601BD30C8957}</x14:id>
        </ext>
      </extLst>
    </cfRule>
  </conditionalFormatting>
  <conditionalFormatting sqref="O80:O84">
    <cfRule type="dataBar" priority="87">
      <dataBar>
        <cfvo type="min"/>
        <cfvo type="max"/>
        <color rgb="FF63C384"/>
      </dataBar>
      <extLst>
        <ext xmlns:x14="http://schemas.microsoft.com/office/spreadsheetml/2009/9/main" uri="{B025F937-C7B1-47D3-B67F-A62EFF666E3E}">
          <x14:id>{F9E73FD4-4866-4CD2-93E1-E80EAF002EDE}</x14:id>
        </ext>
      </extLst>
    </cfRule>
  </conditionalFormatting>
  <conditionalFormatting sqref="P11:P12">
    <cfRule type="dataBar" priority="255">
      <dataBar>
        <cfvo type="min"/>
        <cfvo type="max"/>
        <color rgb="FF63C384"/>
      </dataBar>
      <extLst>
        <ext xmlns:x14="http://schemas.microsoft.com/office/spreadsheetml/2009/9/main" uri="{B025F937-C7B1-47D3-B67F-A62EFF666E3E}">
          <x14:id>{BA11135A-0895-4A01-87D0-A486C9D5843C}</x14:id>
        </ext>
      </extLst>
    </cfRule>
  </conditionalFormatting>
  <conditionalFormatting sqref="P18:P22">
    <cfRule type="dataBar" priority="214">
      <dataBar>
        <cfvo type="min"/>
        <cfvo type="max"/>
        <color rgb="FF63C384"/>
      </dataBar>
      <extLst>
        <ext xmlns:x14="http://schemas.microsoft.com/office/spreadsheetml/2009/9/main" uri="{B025F937-C7B1-47D3-B67F-A62EFF666E3E}">
          <x14:id>{00154FAC-2C70-4EF2-A308-BA8404420986}</x14:id>
        </ext>
      </extLst>
    </cfRule>
  </conditionalFormatting>
  <conditionalFormatting sqref="P18:P23">
    <cfRule type="dataBar" priority="262">
      <dataBar>
        <cfvo type="min"/>
        <cfvo type="max"/>
        <color rgb="FF63C384"/>
      </dataBar>
      <extLst>
        <ext xmlns:x14="http://schemas.microsoft.com/office/spreadsheetml/2009/9/main" uri="{B025F937-C7B1-47D3-B67F-A62EFF666E3E}">
          <x14:id>{A1AE97AD-5647-4F9F-A100-6C15C1895B18}</x14:id>
        </ext>
      </extLst>
    </cfRule>
  </conditionalFormatting>
  <conditionalFormatting sqref="P23">
    <cfRule type="dataBar" priority="221">
      <dataBar>
        <cfvo type="min"/>
        <cfvo type="max"/>
        <color rgb="FF63C384"/>
      </dataBar>
      <extLst>
        <ext xmlns:x14="http://schemas.microsoft.com/office/spreadsheetml/2009/9/main" uri="{B025F937-C7B1-47D3-B67F-A62EFF666E3E}">
          <x14:id>{44059659-321E-4F16-A91E-71EB67462F51}</x14:id>
        </ext>
      </extLst>
    </cfRule>
    <cfRule type="dataBar" priority="222">
      <dataBar>
        <cfvo type="min"/>
        <cfvo type="max"/>
        <color rgb="FF63C384"/>
      </dataBar>
      <extLst>
        <ext xmlns:x14="http://schemas.microsoft.com/office/spreadsheetml/2009/9/main" uri="{B025F937-C7B1-47D3-B67F-A62EFF666E3E}">
          <x14:id>{657DE2C6-03A4-4EDE-99AD-798EB4DDA82C}</x14:id>
        </ext>
      </extLst>
    </cfRule>
    <cfRule type="dataBar" priority="223">
      <dataBar>
        <cfvo type="min"/>
        <cfvo type="max"/>
        <color rgb="FF63C384"/>
      </dataBar>
      <extLst>
        <ext xmlns:x14="http://schemas.microsoft.com/office/spreadsheetml/2009/9/main" uri="{B025F937-C7B1-47D3-B67F-A62EFF666E3E}">
          <x14:id>{ECB61C77-2C43-48F4-8A50-733EB85A1CEE}</x14:id>
        </ext>
      </extLst>
    </cfRule>
    <cfRule type="dataBar" priority="224">
      <dataBar>
        <cfvo type="min"/>
        <cfvo type="max"/>
        <color rgb="FF63C384"/>
      </dataBar>
      <extLst>
        <ext xmlns:x14="http://schemas.microsoft.com/office/spreadsheetml/2009/9/main" uri="{B025F937-C7B1-47D3-B67F-A62EFF666E3E}">
          <x14:id>{CA13E27F-6DDD-451D-9981-58C3F52DF064}</x14:id>
        </ext>
      </extLst>
    </cfRule>
    <cfRule type="dataBar" priority="225">
      <dataBar>
        <cfvo type="min"/>
        <cfvo type="max"/>
        <color rgb="FF63C384"/>
      </dataBar>
      <extLst>
        <ext xmlns:x14="http://schemas.microsoft.com/office/spreadsheetml/2009/9/main" uri="{B025F937-C7B1-47D3-B67F-A62EFF666E3E}">
          <x14:id>{E25FCA19-5187-42DE-ACC0-FA124C432602}</x14:id>
        </ext>
      </extLst>
    </cfRule>
  </conditionalFormatting>
  <conditionalFormatting sqref="P29:P33">
    <cfRule type="dataBar" priority="54">
      <dataBar>
        <cfvo type="min"/>
        <cfvo type="max"/>
        <color rgb="FF63C384"/>
      </dataBar>
      <extLst>
        <ext xmlns:x14="http://schemas.microsoft.com/office/spreadsheetml/2009/9/main" uri="{B025F937-C7B1-47D3-B67F-A62EFF666E3E}">
          <x14:id>{360941DA-CF6D-4E3E-B6C3-707C6D5AF152}</x14:id>
        </ext>
      </extLst>
    </cfRule>
  </conditionalFormatting>
  <conditionalFormatting sqref="P29:P34">
    <cfRule type="dataBar" priority="76">
      <dataBar>
        <cfvo type="min"/>
        <cfvo type="max"/>
        <color rgb="FF63C384"/>
      </dataBar>
      <extLst>
        <ext xmlns:x14="http://schemas.microsoft.com/office/spreadsheetml/2009/9/main" uri="{B025F937-C7B1-47D3-B67F-A62EFF666E3E}">
          <x14:id>{4D16047C-D5D6-4D57-B216-326BE769A55F}</x14:id>
        </ext>
      </extLst>
    </cfRule>
  </conditionalFormatting>
  <conditionalFormatting sqref="P34">
    <cfRule type="dataBar" priority="61">
      <dataBar>
        <cfvo type="min"/>
        <cfvo type="max"/>
        <color rgb="FF63C384"/>
      </dataBar>
      <extLst>
        <ext xmlns:x14="http://schemas.microsoft.com/office/spreadsheetml/2009/9/main" uri="{B025F937-C7B1-47D3-B67F-A62EFF666E3E}">
          <x14:id>{08143BEA-AD1C-40BC-AC2E-9AA8BC3CBD5F}</x14:id>
        </ext>
      </extLst>
    </cfRule>
    <cfRule type="dataBar" priority="65">
      <dataBar>
        <cfvo type="min"/>
        <cfvo type="max"/>
        <color rgb="FF63C384"/>
      </dataBar>
      <extLst>
        <ext xmlns:x14="http://schemas.microsoft.com/office/spreadsheetml/2009/9/main" uri="{B025F937-C7B1-47D3-B67F-A62EFF666E3E}">
          <x14:id>{3D66433B-49D1-47D6-BC3A-312083851A9F}</x14:id>
        </ext>
      </extLst>
    </cfRule>
    <cfRule type="dataBar" priority="64">
      <dataBar>
        <cfvo type="min"/>
        <cfvo type="max"/>
        <color rgb="FF63C384"/>
      </dataBar>
      <extLst>
        <ext xmlns:x14="http://schemas.microsoft.com/office/spreadsheetml/2009/9/main" uri="{B025F937-C7B1-47D3-B67F-A62EFF666E3E}">
          <x14:id>{04BFCA87-549F-4BE0-8CC1-65F799918366}</x14:id>
        </ext>
      </extLst>
    </cfRule>
    <cfRule type="dataBar" priority="63">
      <dataBar>
        <cfvo type="min"/>
        <cfvo type="max"/>
        <color rgb="FF63C384"/>
      </dataBar>
      <extLst>
        <ext xmlns:x14="http://schemas.microsoft.com/office/spreadsheetml/2009/9/main" uri="{B025F937-C7B1-47D3-B67F-A62EFF666E3E}">
          <x14:id>{418D929B-938E-4B14-9E43-C7DCCA4E6694}</x14:id>
        </ext>
      </extLst>
    </cfRule>
    <cfRule type="dataBar" priority="62">
      <dataBar>
        <cfvo type="min"/>
        <cfvo type="max"/>
        <color rgb="FF63C384"/>
      </dataBar>
      <extLst>
        <ext xmlns:x14="http://schemas.microsoft.com/office/spreadsheetml/2009/9/main" uri="{B025F937-C7B1-47D3-B67F-A62EFF666E3E}">
          <x14:id>{703323D9-4715-4B95-B9C1-B3565B3D980E}</x14:id>
        </ext>
      </extLst>
    </cfRule>
  </conditionalFormatting>
  <conditionalFormatting sqref="P40:P41">
    <cfRule type="dataBar" priority="33">
      <dataBar>
        <cfvo type="min"/>
        <cfvo type="max"/>
        <color rgb="FF63C384"/>
      </dataBar>
      <extLst>
        <ext xmlns:x14="http://schemas.microsoft.com/office/spreadsheetml/2009/9/main" uri="{B025F937-C7B1-47D3-B67F-A62EFF666E3E}">
          <x14:id>{386256F5-F690-444A-95DA-7752E00BA80C}</x14:id>
        </ext>
      </extLst>
    </cfRule>
    <cfRule type="dataBar" priority="44">
      <dataBar>
        <cfvo type="min"/>
        <cfvo type="max"/>
        <color rgb="FF63C384"/>
      </dataBar>
      <extLst>
        <ext xmlns:x14="http://schemas.microsoft.com/office/spreadsheetml/2009/9/main" uri="{B025F937-C7B1-47D3-B67F-A62EFF666E3E}">
          <x14:id>{E68C6E24-C27E-436C-A974-9B6F8424B99F}</x14:id>
        </ext>
      </extLst>
    </cfRule>
  </conditionalFormatting>
  <conditionalFormatting sqref="P72:P76">
    <cfRule type="dataBar" priority="2">
      <dataBar>
        <cfvo type="min"/>
        <cfvo type="max"/>
        <color rgb="FF63C384"/>
      </dataBar>
      <extLst>
        <ext xmlns:x14="http://schemas.microsoft.com/office/spreadsheetml/2009/9/main" uri="{B025F937-C7B1-47D3-B67F-A62EFF666E3E}">
          <x14:id>{C102C7B7-A44C-4B42-BECE-D19AA89474A8}</x14:id>
        </ext>
      </extLst>
    </cfRule>
  </conditionalFormatting>
  <conditionalFormatting sqref="P72:P77">
    <cfRule type="dataBar" priority="23">
      <dataBar>
        <cfvo type="min"/>
        <cfvo type="max"/>
        <color rgb="FF63C384"/>
      </dataBar>
      <extLst>
        <ext xmlns:x14="http://schemas.microsoft.com/office/spreadsheetml/2009/9/main" uri="{B025F937-C7B1-47D3-B67F-A62EFF666E3E}">
          <x14:id>{4518BB79-2FE4-43C7-AE09-51E1591D8ECF}</x14:id>
        </ext>
      </extLst>
    </cfRule>
  </conditionalFormatting>
  <conditionalFormatting sqref="P77">
    <cfRule type="dataBar" priority="9">
      <dataBar>
        <cfvo type="min"/>
        <cfvo type="max"/>
        <color rgb="FF63C384"/>
      </dataBar>
      <extLst>
        <ext xmlns:x14="http://schemas.microsoft.com/office/spreadsheetml/2009/9/main" uri="{B025F937-C7B1-47D3-B67F-A62EFF666E3E}">
          <x14:id>{5AD08BAC-8613-43B3-8262-DF815DADBF51}</x14:id>
        </ext>
      </extLst>
    </cfRule>
    <cfRule type="dataBar" priority="10">
      <dataBar>
        <cfvo type="min"/>
        <cfvo type="max"/>
        <color rgb="FF63C384"/>
      </dataBar>
      <extLst>
        <ext xmlns:x14="http://schemas.microsoft.com/office/spreadsheetml/2009/9/main" uri="{B025F937-C7B1-47D3-B67F-A62EFF666E3E}">
          <x14:id>{E651C1CE-3FF4-4B00-A5D6-E3B6F5024021}</x14:id>
        </ext>
      </extLst>
    </cfRule>
    <cfRule type="dataBar" priority="11">
      <dataBar>
        <cfvo type="min"/>
        <cfvo type="max"/>
        <color rgb="FF63C384"/>
      </dataBar>
      <extLst>
        <ext xmlns:x14="http://schemas.microsoft.com/office/spreadsheetml/2009/9/main" uri="{B025F937-C7B1-47D3-B67F-A62EFF666E3E}">
          <x14:id>{12FEF85A-BC05-46A5-BB52-C4E9E50A9277}</x14:id>
        </ext>
      </extLst>
    </cfRule>
    <cfRule type="dataBar" priority="12">
      <dataBar>
        <cfvo type="min"/>
        <cfvo type="max"/>
        <color rgb="FF63C384"/>
      </dataBar>
      <extLst>
        <ext xmlns:x14="http://schemas.microsoft.com/office/spreadsheetml/2009/9/main" uri="{B025F937-C7B1-47D3-B67F-A62EFF666E3E}">
          <x14:id>{B10D48FA-7BB8-464D-AF2C-6F5C60639AF8}</x14:id>
        </ext>
      </extLst>
    </cfRule>
    <cfRule type="dataBar" priority="13">
      <dataBar>
        <cfvo type="min"/>
        <cfvo type="max"/>
        <color rgb="FF63C384"/>
      </dataBar>
      <extLst>
        <ext xmlns:x14="http://schemas.microsoft.com/office/spreadsheetml/2009/9/main" uri="{B025F937-C7B1-47D3-B67F-A62EFF666E3E}">
          <x14:id>{236821DA-BCD9-4074-9991-D6948D3516E1}</x14:id>
        </ext>
      </extLst>
    </cfRule>
  </conditionalFormatting>
  <conditionalFormatting sqref="P80:P84">
    <cfRule type="dataBar" priority="86">
      <dataBar>
        <cfvo type="min"/>
        <cfvo type="max"/>
        <color rgb="FF63C384"/>
      </dataBar>
      <extLst>
        <ext xmlns:x14="http://schemas.microsoft.com/office/spreadsheetml/2009/9/main" uri="{B025F937-C7B1-47D3-B67F-A62EFF666E3E}">
          <x14:id>{158ED3FA-3877-4697-8AFD-07EF04240AE1}</x14:id>
        </ext>
      </extLst>
    </cfRule>
  </conditionalFormatting>
  <conditionalFormatting sqref="P80:P85">
    <cfRule type="dataBar" priority="108">
      <dataBar>
        <cfvo type="min"/>
        <cfvo type="max"/>
        <color rgb="FF63C384"/>
      </dataBar>
      <extLst>
        <ext xmlns:x14="http://schemas.microsoft.com/office/spreadsheetml/2009/9/main" uri="{B025F937-C7B1-47D3-B67F-A62EFF666E3E}">
          <x14:id>{C2EBF906-C2B1-4665-B0F1-7C4534D9A181}</x14:id>
        </ext>
      </extLst>
    </cfRule>
  </conditionalFormatting>
  <conditionalFormatting sqref="P85">
    <cfRule type="dataBar" priority="93">
      <dataBar>
        <cfvo type="min"/>
        <cfvo type="max"/>
        <color rgb="FF63C384"/>
      </dataBar>
      <extLst>
        <ext xmlns:x14="http://schemas.microsoft.com/office/spreadsheetml/2009/9/main" uri="{B025F937-C7B1-47D3-B67F-A62EFF666E3E}">
          <x14:id>{C479113C-5D16-437C-BF53-5B0430190287}</x14:id>
        </ext>
      </extLst>
    </cfRule>
    <cfRule type="dataBar" priority="94">
      <dataBar>
        <cfvo type="min"/>
        <cfvo type="max"/>
        <color rgb="FF63C384"/>
      </dataBar>
      <extLst>
        <ext xmlns:x14="http://schemas.microsoft.com/office/spreadsheetml/2009/9/main" uri="{B025F937-C7B1-47D3-B67F-A62EFF666E3E}">
          <x14:id>{F4F9CECA-B4E3-49AF-8E79-ECE48EDF42BC}</x14:id>
        </ext>
      </extLst>
    </cfRule>
    <cfRule type="dataBar" priority="95">
      <dataBar>
        <cfvo type="min"/>
        <cfvo type="max"/>
        <color rgb="FF63C384"/>
      </dataBar>
      <extLst>
        <ext xmlns:x14="http://schemas.microsoft.com/office/spreadsheetml/2009/9/main" uri="{B025F937-C7B1-47D3-B67F-A62EFF666E3E}">
          <x14:id>{CE22D6BC-5272-41F3-AC88-0B4299BD7448}</x14:id>
        </ext>
      </extLst>
    </cfRule>
    <cfRule type="dataBar" priority="96">
      <dataBar>
        <cfvo type="min"/>
        <cfvo type="max"/>
        <color rgb="FF63C384"/>
      </dataBar>
      <extLst>
        <ext xmlns:x14="http://schemas.microsoft.com/office/spreadsheetml/2009/9/main" uri="{B025F937-C7B1-47D3-B67F-A62EFF666E3E}">
          <x14:id>{5BEC2DD5-DAE5-4495-8E70-F7B43A886663}</x14:id>
        </ext>
      </extLst>
    </cfRule>
    <cfRule type="dataBar" priority="97">
      <dataBar>
        <cfvo type="min"/>
        <cfvo type="max"/>
        <color rgb="FF63C384"/>
      </dataBar>
      <extLst>
        <ext xmlns:x14="http://schemas.microsoft.com/office/spreadsheetml/2009/9/main" uri="{B025F937-C7B1-47D3-B67F-A62EFF666E3E}">
          <x14:id>{5B830A06-2257-40BC-B2E2-3704A200D115}</x14:id>
        </ext>
      </extLst>
    </cfRule>
  </conditionalFormatting>
  <hyperlinks>
    <hyperlink ref="B63:C63" r:id="rId1" display="Grande view research" xr:uid="{4484413D-67BC-4505-B7C1-931DE8FA1A28}"/>
    <hyperlink ref="B64:C64" r:id="rId2" display="Markets &amp; Data" xr:uid="{1D706A38-7A4D-4120-9688-F4C483E688D5}"/>
    <hyperlink ref="B65:C65" r:id="rId3" display="Straits research" xr:uid="{CD29CC95-3EE5-42B0-B6DB-4D75C3423E40}"/>
  </hyperlinks>
  <pageMargins left="0.75" right="0.75" top="1" bottom="1" header="0" footer="0"/>
  <pageSetup orientation="landscape" r:id="rId4"/>
  <headerFooter alignWithMargins="0"/>
  <drawing r:id="rId5"/>
  <legacyDrawing r:id="rId6"/>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B5:B12</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B18:B23</xm:sqref>
        </x14:conditionalFormatting>
        <x14:conditionalFormatting xmlns:xm="http://schemas.microsoft.com/office/excel/2006/main">
          <x14:cfRule type="dataBar" id="{39F0AEC7-5088-4EFE-93FE-239480F6BFBA}">
            <x14:dataBar minLength="0" maxLength="100" border="1" negativeBarBorderColorSameAsPositive="0">
              <x14:cfvo type="autoMin"/>
              <x14:cfvo type="autoMax"/>
              <x14:borderColor rgb="FF638EC6"/>
              <x14:negativeFillColor rgb="FFFF0000"/>
              <x14:negativeBorderColor rgb="FFFF0000"/>
              <x14:axisColor rgb="FF000000"/>
            </x14:dataBar>
          </x14:cfRule>
          <xm:sqref>B31:B34</xm:sqref>
        </x14:conditionalFormatting>
        <x14:conditionalFormatting xmlns:xm="http://schemas.microsoft.com/office/excel/2006/main">
          <x14:cfRule type="dataBar" id="{F1F47233-0E8B-4881-BB37-EBCFC4659177}">
            <x14:dataBar minLength="0" maxLength="100" border="1" negativeBarBorderColorSameAsPositive="0">
              <x14:cfvo type="autoMin"/>
              <x14:cfvo type="autoMax"/>
              <x14:borderColor rgb="FF638EC6"/>
              <x14:negativeFillColor rgb="FFFF0000"/>
              <x14:negativeBorderColor rgb="FFFF0000"/>
              <x14:axisColor rgb="FF000000"/>
            </x14:dataBar>
          </x14:cfRule>
          <xm:sqref>B80:B86</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D5:D12</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m:sqref>D18:D23</xm:sqref>
        </x14:conditionalFormatting>
        <x14:conditionalFormatting xmlns:xm="http://schemas.microsoft.com/office/excel/2006/main">
          <x14:cfRule type="dataBar" id="{EE0E2DED-1531-4C37-9AC7-8FDBC0EBD7BB}">
            <x14:dataBar minLength="0" maxLength="100" gradient="0">
              <x14:cfvo type="autoMin"/>
              <x14:cfvo type="autoMax"/>
              <x14:negativeFillColor rgb="FFFF0000"/>
              <x14:axisColor rgb="FF000000"/>
            </x14:dataBar>
          </x14:cfRule>
          <xm:sqref>D29:D34</xm:sqref>
        </x14:conditionalFormatting>
        <x14:conditionalFormatting xmlns:xm="http://schemas.microsoft.com/office/excel/2006/main">
          <x14:cfRule type="dataBar" id="{22E0B80A-798A-477B-BCC1-2AFEEBF525CB}">
            <x14:dataBar minLength="0" maxLength="100" gradient="0">
              <x14:cfvo type="autoMin"/>
              <x14:cfvo type="autoMax"/>
              <x14:negativeFillColor rgb="FFFF0000"/>
              <x14:axisColor rgb="FF000000"/>
            </x14:dataBar>
          </x14:cfRule>
          <xm:sqref>D40:D41</xm:sqref>
        </x14:conditionalFormatting>
        <x14:conditionalFormatting xmlns:xm="http://schemas.microsoft.com/office/excel/2006/main">
          <x14:cfRule type="dataBar" id="{FCA3BFCF-6EE4-4CC0-8AD8-094A657EB7C4}">
            <x14:dataBar minLength="0" maxLength="100" gradient="0">
              <x14:cfvo type="autoMin"/>
              <x14:cfvo type="autoMax"/>
              <x14:negativeFillColor rgb="FFFF0000"/>
              <x14:axisColor rgb="FF000000"/>
            </x14:dataBar>
          </x14:cfRule>
          <xm:sqref>D80:D85 E80:I81</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D5:I10</xm:sqref>
        </x14:conditionalFormatting>
        <x14:conditionalFormatting xmlns:xm="http://schemas.microsoft.com/office/excel/2006/main">
          <x14:cfRule type="dataBar" id="{5BBC426E-7FA9-4F5C-AC78-B3996BA8F931}">
            <x14:dataBar minLength="0" maxLength="100" gradient="0">
              <x14:cfvo type="autoMin"/>
              <x14:cfvo type="autoMax"/>
              <x14:negativeFillColor rgb="FFFF0000"/>
              <x14:axisColor rgb="FF000000"/>
            </x14:dataBar>
          </x14:cfRule>
          <xm:sqref>D18:I23</xm:sqref>
        </x14:conditionalFormatting>
        <x14:conditionalFormatting xmlns:xm="http://schemas.microsoft.com/office/excel/2006/main">
          <x14:cfRule type="dataBar" id="{C36060EE-C40D-463A-A782-858368FEE31B}">
            <x14:dataBar minLength="0" maxLength="100" gradient="0">
              <x14:cfvo type="autoMin"/>
              <x14:cfvo type="autoMax"/>
              <x14:negativeFillColor rgb="FFFF0000"/>
              <x14:axisColor rgb="FF000000"/>
            </x14:dataBar>
          </x14:cfRule>
          <xm:sqref>D29:I34</xm:sqref>
        </x14:conditionalFormatting>
        <x14:conditionalFormatting xmlns:xm="http://schemas.microsoft.com/office/excel/2006/main">
          <x14:cfRule type="dataBar" id="{AAD2D573-80FD-4619-B71B-D75E79F79DA2}">
            <x14:dataBar minLength="0" maxLength="100" gradient="0">
              <x14:cfvo type="autoMin"/>
              <x14:cfvo type="autoMax"/>
              <x14:negativeFillColor rgb="FFFF0000"/>
              <x14:axisColor rgb="FF000000"/>
            </x14:dataBar>
          </x14:cfRule>
          <xm:sqref>D40:I41</xm:sqref>
        </x14:conditionalFormatting>
        <x14:conditionalFormatting xmlns:xm="http://schemas.microsoft.com/office/excel/2006/main">
          <x14:cfRule type="dataBar" id="{1BE2BF43-EDDE-43C3-A957-1EE405EDA423}">
            <x14:dataBar minLength="0" maxLength="100" gradient="0">
              <x14:cfvo type="autoMin"/>
              <x14:cfvo type="autoMax"/>
              <x14:negativeFillColor rgb="FFFF0000"/>
              <x14:axisColor rgb="FF000000"/>
            </x14:dataBar>
          </x14:cfRule>
          <xm:sqref>D80:I85</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E5:E12</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E18:E23</xm:sqref>
        </x14:conditionalFormatting>
        <x14:conditionalFormatting xmlns:xm="http://schemas.microsoft.com/office/excel/2006/main">
          <x14:cfRule type="dataBar" id="{1FFA919C-7326-43A0-B21C-29343898DB26}">
            <x14:dataBar minLength="0" maxLength="100" gradient="0">
              <x14:cfvo type="autoMin"/>
              <x14:cfvo type="autoMax"/>
              <x14:negativeFillColor rgb="FFFF0000"/>
              <x14:axisColor rgb="FF000000"/>
            </x14:dataBar>
          </x14:cfRule>
          <xm:sqref>E29:E34</xm:sqref>
        </x14:conditionalFormatting>
        <x14:conditionalFormatting xmlns:xm="http://schemas.microsoft.com/office/excel/2006/main">
          <x14:cfRule type="dataBar" id="{AF304029-3840-4F0B-8C26-171C25491CE4}">
            <x14:dataBar minLength="0" maxLength="100" gradient="0">
              <x14:cfvo type="autoMin"/>
              <x14:cfvo type="autoMax"/>
              <x14:negativeFillColor rgb="FFFF0000"/>
              <x14:axisColor rgb="FF000000"/>
            </x14:dataBar>
          </x14:cfRule>
          <xm:sqref>E40:E41</xm:sqref>
        </x14:conditionalFormatting>
        <x14:conditionalFormatting xmlns:xm="http://schemas.microsoft.com/office/excel/2006/main">
          <x14:cfRule type="dataBar" id="{B64A4DF4-9D20-4FE3-B870-26CF189F778B}">
            <x14:dataBar minLength="0" maxLength="100" gradient="0">
              <x14:cfvo type="autoMin"/>
              <x14:cfvo type="autoMax"/>
              <x14:negativeFillColor rgb="FFFF0000"/>
              <x14:axisColor rgb="FF000000"/>
            </x14:dataBar>
          </x14:cfRule>
          <xm:sqref>E80:E85</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F5:F12</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F18:F23</xm:sqref>
        </x14:conditionalFormatting>
        <x14:conditionalFormatting xmlns:xm="http://schemas.microsoft.com/office/excel/2006/main">
          <x14:cfRule type="dataBar" id="{7A6FB026-A9AD-4AD1-B650-0FBCCBEED515}">
            <x14:dataBar minLength="0" maxLength="100" gradient="0">
              <x14:cfvo type="autoMin"/>
              <x14:cfvo type="autoMax"/>
              <x14:negativeFillColor rgb="FFFF0000"/>
              <x14:axisColor rgb="FF000000"/>
            </x14:dataBar>
          </x14:cfRule>
          <xm:sqref>F29:F34</xm:sqref>
        </x14:conditionalFormatting>
        <x14:conditionalFormatting xmlns:xm="http://schemas.microsoft.com/office/excel/2006/main">
          <x14:cfRule type="dataBar" id="{7E141AFF-3D4E-4C2C-AB15-F38652A1C46F}">
            <x14:dataBar minLength="0" maxLength="100" gradient="0">
              <x14:cfvo type="autoMin"/>
              <x14:cfvo type="autoMax"/>
              <x14:negativeFillColor rgb="FFFF0000"/>
              <x14:axisColor rgb="FF000000"/>
            </x14:dataBar>
          </x14:cfRule>
          <xm:sqref>F40:F41</xm:sqref>
        </x14:conditionalFormatting>
        <x14:conditionalFormatting xmlns:xm="http://schemas.microsoft.com/office/excel/2006/main">
          <x14:cfRule type="dataBar" id="{77A07398-A733-4B3F-97CD-C6D66CD9F180}">
            <x14:dataBar minLength="0" maxLength="100" gradient="0">
              <x14:cfvo type="autoMin"/>
              <x14:cfvo type="autoMax"/>
              <x14:negativeFillColor rgb="FFFF0000"/>
              <x14:axisColor rgb="FF000000"/>
            </x14:dataBar>
          </x14:cfRule>
          <xm:sqref>F80:F85</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G5:G12</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G18:G23</xm:sqref>
        </x14:conditionalFormatting>
        <x14:conditionalFormatting xmlns:xm="http://schemas.microsoft.com/office/excel/2006/main">
          <x14:cfRule type="dataBar" id="{329C5E2C-A48C-43C6-AE2D-4FD626ACF00A}">
            <x14:dataBar minLength="0" maxLength="100" gradient="0">
              <x14:cfvo type="autoMin"/>
              <x14:cfvo type="autoMax"/>
              <x14:negativeFillColor rgb="FFFF0000"/>
              <x14:axisColor rgb="FF000000"/>
            </x14:dataBar>
          </x14:cfRule>
          <xm:sqref>G29:G34</xm:sqref>
        </x14:conditionalFormatting>
        <x14:conditionalFormatting xmlns:xm="http://schemas.microsoft.com/office/excel/2006/main">
          <x14:cfRule type="dataBar" id="{A1711395-4D4C-4B5D-8508-844929184DA6}">
            <x14:dataBar minLength="0" maxLength="100" gradient="0">
              <x14:cfvo type="autoMin"/>
              <x14:cfvo type="autoMax"/>
              <x14:negativeFillColor rgb="FFFF0000"/>
              <x14:axisColor rgb="FF000000"/>
            </x14:dataBar>
          </x14:cfRule>
          <xm:sqref>G40:G41</xm:sqref>
        </x14:conditionalFormatting>
        <x14:conditionalFormatting xmlns:xm="http://schemas.microsoft.com/office/excel/2006/main">
          <x14:cfRule type="dataBar" id="{BD5B9A93-124D-4CDC-9527-4A46ED82E938}">
            <x14:dataBar minLength="0" maxLength="100" gradient="0">
              <x14:cfvo type="autoMin"/>
              <x14:cfvo type="autoMax"/>
              <x14:negativeFillColor rgb="FFFF0000"/>
              <x14:axisColor rgb="FF000000"/>
            </x14:dataBar>
          </x14:cfRule>
          <xm:sqref>G80:G85</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H5:H12</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H18:H23</xm:sqref>
        </x14:conditionalFormatting>
        <x14:conditionalFormatting xmlns:xm="http://schemas.microsoft.com/office/excel/2006/main">
          <x14:cfRule type="dataBar" id="{E35E28F1-A4B3-41C8-8A46-3F1B3756DF26}">
            <x14:dataBar minLength="0" maxLength="100" gradient="0">
              <x14:cfvo type="autoMin"/>
              <x14:cfvo type="autoMax"/>
              <x14:negativeFillColor rgb="FFFF0000"/>
              <x14:axisColor rgb="FF000000"/>
            </x14:dataBar>
          </x14:cfRule>
          <xm:sqref>H29:H34</xm:sqref>
        </x14:conditionalFormatting>
        <x14:conditionalFormatting xmlns:xm="http://schemas.microsoft.com/office/excel/2006/main">
          <x14:cfRule type="dataBar" id="{CFCDEF2B-BEBA-4153-9787-77CA0EC855A1}">
            <x14:dataBar minLength="0" maxLength="100" gradient="0">
              <x14:cfvo type="autoMin"/>
              <x14:cfvo type="autoMax"/>
              <x14:negativeFillColor rgb="FFFF0000"/>
              <x14:axisColor rgb="FF000000"/>
            </x14:dataBar>
          </x14:cfRule>
          <xm:sqref>H40:H41</xm:sqref>
        </x14:conditionalFormatting>
        <x14:conditionalFormatting xmlns:xm="http://schemas.microsoft.com/office/excel/2006/main">
          <x14:cfRule type="dataBar" id="{A86B387B-F1C9-4A2C-9379-B528BE62DA22}">
            <x14:dataBar minLength="0" maxLength="100" gradient="0">
              <x14:cfvo type="autoMin"/>
              <x14:cfvo type="autoMax"/>
              <x14:negativeFillColor rgb="FFFF0000"/>
              <x14:axisColor rgb="FF000000"/>
            </x14:dataBar>
          </x14:cfRule>
          <xm:sqref>H80:H85</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I5:I12</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I18:I23</xm:sqref>
        </x14:conditionalFormatting>
        <x14:conditionalFormatting xmlns:xm="http://schemas.microsoft.com/office/excel/2006/main">
          <x14:cfRule type="dataBar" id="{11E38FB2-A842-43E0-ACC3-998F56934335}">
            <x14:dataBar minLength="0" maxLength="100" gradient="0">
              <x14:cfvo type="autoMin"/>
              <x14:cfvo type="autoMax"/>
              <x14:negativeFillColor rgb="FFFF0000"/>
              <x14:axisColor rgb="FF000000"/>
            </x14:dataBar>
          </x14:cfRule>
          <xm:sqref>I29:I34</xm:sqref>
        </x14:conditionalFormatting>
        <x14:conditionalFormatting xmlns:xm="http://schemas.microsoft.com/office/excel/2006/main">
          <x14:cfRule type="dataBar" id="{903A6D66-D829-4EC4-B5EA-23091631BBB9}">
            <x14:dataBar minLength="0" maxLength="100" gradient="0">
              <x14:cfvo type="autoMin"/>
              <x14:cfvo type="autoMax"/>
              <x14:negativeFillColor rgb="FFFF0000"/>
              <x14:axisColor rgb="FF000000"/>
            </x14:dataBar>
          </x14:cfRule>
          <xm:sqref>I40:I41</xm:sqref>
        </x14:conditionalFormatting>
        <x14:conditionalFormatting xmlns:xm="http://schemas.microsoft.com/office/excel/2006/main">
          <x14:cfRule type="dataBar" id="{E90387D0-CC6A-405D-B3A4-A516AE65C382}">
            <x14:dataBar minLength="0" maxLength="100" gradient="0">
              <x14:cfvo type="autoMin"/>
              <x14:cfvo type="autoMax"/>
              <x14:negativeFillColor rgb="FFFF0000"/>
              <x14:axisColor rgb="FF000000"/>
            </x14:dataBar>
          </x14:cfRule>
          <xm:sqref>I80:I85</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K5:K12</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K18:K22</xm:sqref>
        </x14:conditionalFormatting>
        <x14:conditionalFormatting xmlns:xm="http://schemas.microsoft.com/office/excel/2006/main">
          <x14:cfRule type="dataBar" id="{5938A32D-780B-4B55-9EDC-E5F27CCFED46}">
            <x14:dataBar minLength="0" maxLength="100" gradient="0">
              <x14:cfvo type="autoMin"/>
              <x14:cfvo type="autoMax"/>
              <x14:negativeFillColor rgb="FFFF0000"/>
              <x14:axisColor rgb="FF000000"/>
            </x14:dataBar>
          </x14:cfRule>
          <xm:sqref>K29:K33</xm:sqref>
        </x14:conditionalFormatting>
        <x14:conditionalFormatting xmlns:xm="http://schemas.microsoft.com/office/excel/2006/main">
          <x14:cfRule type="dataBar" id="{2B9C7ED6-ED8F-4660-9075-52F0BC18DA99}">
            <x14:dataBar minLength="0" maxLength="100" gradient="0">
              <x14:cfvo type="autoMin"/>
              <x14:cfvo type="autoMax"/>
              <x14:negativeFillColor rgb="FFFF0000"/>
              <x14:axisColor rgb="FF000000"/>
            </x14:dataBar>
          </x14:cfRule>
          <xm:sqref>K40:K41</xm:sqref>
        </x14:conditionalFormatting>
        <x14:conditionalFormatting xmlns:xm="http://schemas.microsoft.com/office/excel/2006/main">
          <x14:cfRule type="dataBar" id="{A110DB4F-6726-4ED2-BF72-A7EDBF3A36EE}">
            <x14:dataBar minLength="0" maxLength="100" gradient="0">
              <x14:cfvo type="autoMin"/>
              <x14:cfvo type="autoMax"/>
              <x14:negativeFillColor rgb="FFFF0000"/>
              <x14:axisColor rgb="FF000000"/>
            </x14:dataBar>
          </x14:cfRule>
          <xm:sqref>K72:K76</xm:sqref>
        </x14:conditionalFormatting>
        <x14:conditionalFormatting xmlns:xm="http://schemas.microsoft.com/office/excel/2006/main">
          <x14:cfRule type="dataBar" id="{8D60268A-E7A7-4C9D-BE03-BED667CFA624}">
            <x14:dataBar minLength="0" maxLength="100" gradient="0">
              <x14:cfvo type="autoMin"/>
              <x14:cfvo type="autoMax"/>
              <x14:negativeFillColor rgb="FFFF0000"/>
              <x14:axisColor rgb="FF000000"/>
            </x14:dataBar>
          </x14:cfRule>
          <xm:sqref>K80:K84</xm:sqref>
        </x14:conditionalFormatting>
        <x14:conditionalFormatting xmlns:xm="http://schemas.microsoft.com/office/excel/2006/main">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m:sqref>K18:O22</xm:sqref>
        </x14:conditionalFormatting>
        <x14:conditionalFormatting xmlns:xm="http://schemas.microsoft.com/office/excel/2006/main">
          <x14:cfRule type="dataBar" id="{CBC457F7-3DB8-46A0-988B-11CCF8FF31E5}">
            <x14:dataBar minLength="0" maxLength="100" gradient="0">
              <x14:cfvo type="autoMin"/>
              <x14:cfvo type="autoMax"/>
              <x14:negativeFill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m:sqref>K18:O23</xm:sqref>
        </x14:conditionalFormatting>
        <x14:conditionalFormatting xmlns:xm="http://schemas.microsoft.com/office/excel/2006/main">
          <x14:cfRule type="dataBar" id="{7C2B36FE-9FE0-40E5-9050-862D04C35DA4}">
            <x14:dataBar minLength="0" maxLength="100" border="1" negativeBarBorderColorSameAsPositive="0">
              <x14:cfvo type="autoMin"/>
              <x14:cfvo type="autoMax"/>
              <x14:borderColor rgb="FF63C384"/>
              <x14:negativeFillColor rgb="FFFF0000"/>
              <x14:negativeBorderColor rgb="FFFF0000"/>
              <x14:axisColor rgb="FF000000"/>
            </x14:dataBar>
          </x14:cfRule>
          <xm:sqref>K29:O33</xm:sqref>
        </x14:conditionalFormatting>
        <x14:conditionalFormatting xmlns:xm="http://schemas.microsoft.com/office/excel/2006/main">
          <x14:cfRule type="dataBar" id="{59A1A450-72FB-4D83-BE5B-59B712B56EB7}">
            <x14:dataBar minLength="0" maxLength="100" gradient="0">
              <x14:cfvo type="autoMin"/>
              <x14:cfvo type="autoMax"/>
              <x14:negativeFillColor rgb="FFFF0000"/>
              <x14:axisColor rgb="FF000000"/>
            </x14:dataBar>
          </x14:cfRule>
          <x14:cfRule type="dataBar" id="{98910A10-529D-4EBA-8FD8-C607940AF4B4}">
            <x14:dataBar minLength="0" maxLength="100" gradient="0">
              <x14:cfvo type="autoMin"/>
              <x14:cfvo type="autoMax"/>
              <x14:negativeFillColor rgb="FFFF0000"/>
              <x14:axisColor rgb="FF000000"/>
            </x14:dataBar>
          </x14:cfRule>
          <xm:sqref>K29:O34</xm:sqref>
        </x14:conditionalFormatting>
        <x14:conditionalFormatting xmlns:xm="http://schemas.microsoft.com/office/excel/2006/main">
          <x14:cfRule type="dataBar" id="{0F8314BE-433F-467E-89C6-4C3024462E6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8546942-110D-4026-A092-1DABC7A817AB}">
            <x14:dataBar minLength="0" maxLength="100" gradient="0">
              <x14:cfvo type="autoMin"/>
              <x14:cfvo type="autoMax"/>
              <x14:negativeFillColor rgb="FFFF0000"/>
              <x14:axisColor rgb="FF000000"/>
            </x14:dataBar>
          </x14:cfRule>
          <x14:cfRule type="dataBar" id="{A5BD0A42-258D-4204-841D-65E2AC3859D2}">
            <x14:dataBar minLength="0" maxLength="100" gradient="0">
              <x14:cfvo type="autoMin"/>
              <x14:cfvo type="autoMax"/>
              <x14:negativeFillColor rgb="FFFF0000"/>
              <x14:axisColor rgb="FF000000"/>
            </x14:dataBar>
          </x14:cfRule>
          <xm:sqref>K40:O41</xm:sqref>
        </x14:conditionalFormatting>
        <x14:conditionalFormatting xmlns:xm="http://schemas.microsoft.com/office/excel/2006/main">
          <x14:cfRule type="dataBar" id="{1EB658B2-4A71-43DD-A99F-B81D9E77A862}">
            <x14:dataBar minLength="0" maxLength="100" border="1" negativeBarBorderColorSameAsPositive="0">
              <x14:cfvo type="autoMin"/>
              <x14:cfvo type="autoMax"/>
              <x14:borderColor rgb="FF63C384"/>
              <x14:negativeFillColor rgb="FFFF0000"/>
              <x14:negativeBorderColor rgb="FFFF0000"/>
              <x14:axisColor rgb="FF000000"/>
            </x14:dataBar>
          </x14:cfRule>
          <xm:sqref>K72:O76</xm:sqref>
        </x14:conditionalFormatting>
        <x14:conditionalFormatting xmlns:xm="http://schemas.microsoft.com/office/excel/2006/main">
          <x14:cfRule type="dataBar" id="{6BF0EDB3-5731-41A8-B6B5-49CC1F7E2A47}">
            <x14:dataBar minLength="0" maxLength="100" gradient="0">
              <x14:cfvo type="autoMin"/>
              <x14:cfvo type="autoMax"/>
              <x14:negativeFillColor rgb="FFFF0000"/>
              <x14:axisColor rgb="FF000000"/>
            </x14:dataBar>
          </x14:cfRule>
          <x14:cfRule type="dataBar" id="{AC4E9738-F7B3-41B5-AC9A-31B65B22B307}">
            <x14:dataBar minLength="0" maxLength="100" gradient="0">
              <x14:cfvo type="autoMin"/>
              <x14:cfvo type="autoMax"/>
              <x14:negativeFillColor rgb="FFFF0000"/>
              <x14:axisColor rgb="FF000000"/>
            </x14:dataBar>
          </x14:cfRule>
          <xm:sqref>K72:O77</xm:sqref>
        </x14:conditionalFormatting>
        <x14:conditionalFormatting xmlns:xm="http://schemas.microsoft.com/office/excel/2006/main">
          <x14:cfRule type="dataBar" id="{8DB947EE-42EF-49A6-A74C-E03F781F18E4}">
            <x14:dataBar minLength="0" maxLength="100" border="1" negativeBarBorderColorSameAsPositive="0">
              <x14:cfvo type="autoMin"/>
              <x14:cfvo type="autoMax"/>
              <x14:borderColor rgb="FF63C384"/>
              <x14:negativeFillColor rgb="FFFF0000"/>
              <x14:negativeBorderColor rgb="FFFF0000"/>
              <x14:axisColor rgb="FF000000"/>
            </x14:dataBar>
          </x14:cfRule>
          <xm:sqref>K80:O84</xm:sqref>
        </x14:conditionalFormatting>
        <x14:conditionalFormatting xmlns:xm="http://schemas.microsoft.com/office/excel/2006/main">
          <x14:cfRule type="dataBar" id="{E27E52C5-288A-4E2D-99C5-78770AF45ACC}">
            <x14:dataBar minLength="0" maxLength="100" gradient="0">
              <x14:cfvo type="autoMin"/>
              <x14:cfvo type="autoMax"/>
              <x14:negativeFillColor rgb="FFFF0000"/>
              <x14:axisColor rgb="FF000000"/>
            </x14:dataBar>
          </x14:cfRule>
          <x14:cfRule type="dataBar" id="{9CFC705E-1110-4078-9826-DF93D9603942}">
            <x14:dataBar minLength="0" maxLength="100" gradient="0">
              <x14:cfvo type="autoMin"/>
              <x14:cfvo type="autoMax"/>
              <x14:negativeFillColor rgb="FFFF0000"/>
              <x14:axisColor rgb="FF000000"/>
            </x14:dataBar>
          </x14:cfRule>
          <xm:sqref>K80:O85</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K5:P10</xm:sqref>
        </x14:conditionalFormatting>
        <x14:conditionalFormatting xmlns:xm="http://schemas.microsoft.com/office/excel/2006/main">
          <x14:cfRule type="dataBar" id="{9095667E-69EE-4811-BEDE-AFA010708C3B}">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A85696C3-3FD4-4347-BBC8-6CEF041D9BC2}">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m:sqref>K18:P22</xm:sqref>
        </x14:conditionalFormatting>
        <x14:conditionalFormatting xmlns:xm="http://schemas.microsoft.com/office/excel/2006/main">
          <x14:cfRule type="dataBar" id="{EC7F1560-4E75-4756-AE37-09B82982D1AB}">
            <x14:dataBar minLength="0" maxLength="100" gradient="0">
              <x14:cfvo type="autoMin"/>
              <x14:cfvo type="autoMax"/>
              <x14:negativeFillColor rgb="FFFF0000"/>
              <x14:axisColor rgb="FF000000"/>
            </x14:dataBar>
          </x14:cfRule>
          <xm:sqref>K18:P23</xm:sqref>
        </x14:conditionalFormatting>
        <x14:conditionalFormatting xmlns:xm="http://schemas.microsoft.com/office/excel/2006/main">
          <x14:cfRule type="dataBar" id="{624EF9E9-FC69-4C57-8B92-4F6320D43BF6}">
            <x14:dataBar minLength="0" maxLength="100" gradient="0">
              <x14:cfvo type="autoMin"/>
              <x14:cfvo type="autoMax"/>
              <x14:negativeFillColor rgb="FFFF0000"/>
              <x14:axisColor rgb="FF000000"/>
            </x14:dataBar>
          </x14:cfRule>
          <x14:cfRule type="dataBar" id="{1C8C07B2-BD7C-4727-B188-3301C366D456}">
            <x14:dataBar minLength="0" maxLength="100" gradient="0">
              <x14:cfvo type="autoMin"/>
              <x14:cfvo type="autoMax"/>
              <x14:negativeFillColor rgb="FFFF0000"/>
              <x14:axisColor rgb="FF000000"/>
            </x14:dataBar>
          </x14:cfRule>
          <x14:cfRule type="dataBar" id="{904D660B-3592-4479-B026-ACD9350A361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E2287FA-B40E-40F5-8AA8-262EA0BD4636}">
            <x14:dataBar minLength="0" maxLength="100" border="1" negativeBarBorderColorSameAsPositive="0">
              <x14:cfvo type="autoMin"/>
              <x14:cfvo type="autoMax"/>
              <x14:borderColor rgb="FF63C384"/>
              <x14:negativeFillColor rgb="FFFF0000"/>
              <x14:negativeBorderColor rgb="FFFF0000"/>
              <x14:axisColor rgb="FF000000"/>
            </x14:dataBar>
          </x14:cfRule>
          <xm:sqref>K23:P23</xm:sqref>
        </x14:conditionalFormatting>
        <x14:conditionalFormatting xmlns:xm="http://schemas.microsoft.com/office/excel/2006/main">
          <x14:cfRule type="dataBar" id="{92DD3136-198B-45F2-8AB8-5713A0235F33}">
            <x14:dataBar minLength="0" maxLength="100" gradient="0">
              <x14:cfvo type="autoMin"/>
              <x14:cfvo type="autoMax"/>
              <x14:negativeFillColor rgb="FFFF0000"/>
              <x14:axisColor rgb="FF000000"/>
            </x14:dataBar>
          </x14:cfRule>
          <x14:cfRule type="dataBar" id="{4A9E582B-75C1-499F-8B22-E4AEBD50FD5A}">
            <x14:dataBar minLength="0" maxLength="100" gradient="0">
              <x14:cfvo type="autoMin"/>
              <x14:cfvo type="autoMax"/>
              <x14:negativeFillColor rgb="FFFF0000"/>
              <x14:axisColor rgb="FF000000"/>
            </x14:dataBar>
          </x14:cfRule>
          <x14:cfRule type="dataBar" id="{981458B6-6C21-4748-9F96-280E1BC2B92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7AE0C7D-3387-4CC3-BB67-DAC83309099C}">
            <x14:dataBar minLength="0" maxLength="100" gradient="0">
              <x14:cfvo type="autoMin"/>
              <x14:cfvo type="autoMax"/>
              <x14:negativeFillColor rgb="FFFF0000"/>
              <x14:axisColor rgb="FF000000"/>
            </x14:dataBar>
          </x14:cfRule>
          <xm:sqref>K29:P33</xm:sqref>
        </x14:conditionalFormatting>
        <x14:conditionalFormatting xmlns:xm="http://schemas.microsoft.com/office/excel/2006/main">
          <x14:cfRule type="dataBar" id="{634EEAB4-1A63-4D70-B7C7-764CA4F72150}">
            <x14:dataBar minLength="0" maxLength="100" gradient="0">
              <x14:cfvo type="autoMin"/>
              <x14:cfvo type="autoMax"/>
              <x14:negativeFillColor rgb="FFFF0000"/>
              <x14:axisColor rgb="FF000000"/>
            </x14:dataBar>
          </x14:cfRule>
          <xm:sqref>K29:P34</xm:sqref>
        </x14:conditionalFormatting>
        <x14:conditionalFormatting xmlns:xm="http://schemas.microsoft.com/office/excel/2006/main">
          <x14:cfRule type="dataBar" id="{15EDAC49-24B2-44F5-9547-5E4F59F1DFDD}">
            <x14:dataBar minLength="0" maxLength="100" gradient="0">
              <x14:cfvo type="autoMin"/>
              <x14:cfvo type="autoMax"/>
              <x14:negativeFillColor rgb="FFFF0000"/>
              <x14:axisColor rgb="FF000000"/>
            </x14:dataBar>
          </x14:cfRule>
          <x14:cfRule type="dataBar" id="{C83642D3-ACBF-4E00-88DB-3FBFA6F01B4C}">
            <x14:dataBar minLength="0" maxLength="100" gradient="0">
              <x14:cfvo type="autoMin"/>
              <x14:cfvo type="autoMax"/>
              <x14:negativeFillColor rgb="FFFF0000"/>
              <x14:axisColor rgb="FF000000"/>
            </x14:dataBar>
          </x14:cfRule>
          <x14:cfRule type="dataBar" id="{16DE881F-F4FA-49B7-85FE-4A60D690631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DC6A665-52BD-4330-BCA3-5CBA0C7498FD}">
            <x14:dataBar minLength="0" maxLength="100" border="1" negativeBarBorderColorSameAsPositive="0">
              <x14:cfvo type="autoMin"/>
              <x14:cfvo type="autoMax"/>
              <x14:borderColor rgb="FF63C384"/>
              <x14:negativeFillColor rgb="FFFF0000"/>
              <x14:negativeBorderColor rgb="FFFF0000"/>
              <x14:axisColor rgb="FF000000"/>
            </x14:dataBar>
          </x14:cfRule>
          <xm:sqref>K34:P34</xm:sqref>
        </x14:conditionalFormatting>
        <x14:conditionalFormatting xmlns:xm="http://schemas.microsoft.com/office/excel/2006/main">
          <x14:cfRule type="dataBar" id="{7CDEE68F-11B4-4EEE-90E5-2B1A47F3EE1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9499A55-FB36-4A63-8632-25E525D0BDE5}">
            <x14:dataBar minLength="0" maxLength="100" gradient="0">
              <x14:cfvo type="autoMin"/>
              <x14:cfvo type="autoMax"/>
              <x14:negativeFillColor rgb="FFFF0000"/>
              <x14:axisColor rgb="FF000000"/>
            </x14:dataBar>
          </x14:cfRule>
          <x14:cfRule type="dataBar" id="{3476AF26-0DD1-4E5F-ABF0-87E13F03AD47}">
            <x14:dataBar minLength="0" maxLength="100" gradient="0">
              <x14:cfvo type="autoMin"/>
              <x14:cfvo type="autoMax"/>
              <x14:negativeFillColor rgb="FFFF0000"/>
              <x14:axisColor rgb="FF000000"/>
            </x14:dataBar>
          </x14:cfRule>
          <x14:cfRule type="dataBar" id="{4A92A1BF-9F13-4DF8-BC17-2CFA98BDB2F0}">
            <x14:dataBar minLength="0" maxLength="100" gradient="0">
              <x14:cfvo type="autoMin"/>
              <x14:cfvo type="autoMax"/>
              <x14:negativeFillColor rgb="FFFF0000"/>
              <x14:axisColor rgb="FF000000"/>
            </x14:dataBar>
          </x14:cfRule>
          <x14:cfRule type="dataBar" id="{222DF5EE-619A-4287-9C48-AEC9FEB80F7E}">
            <x14:dataBar minLength="0" maxLength="100" gradient="0">
              <x14:cfvo type="autoMin"/>
              <x14:cfvo type="autoMax"/>
              <x14:negativeFillColor rgb="FFFF0000"/>
              <x14:axisColor rgb="FF000000"/>
            </x14:dataBar>
          </x14:cfRule>
          <xm:sqref>K40:P41</xm:sqref>
        </x14:conditionalFormatting>
        <x14:conditionalFormatting xmlns:xm="http://schemas.microsoft.com/office/excel/2006/main">
          <x14:cfRule type="dataBar" id="{44BBE98D-7430-44F7-A32D-E2A5FCCAD835}">
            <x14:dataBar minLength="0" maxLength="100" gradient="0">
              <x14:cfvo type="autoMin"/>
              <x14:cfvo type="autoMax"/>
              <x14:negativeFillColor rgb="FFFF0000"/>
              <x14:axisColor rgb="FF000000"/>
            </x14:dataBar>
          </x14:cfRule>
          <x14:cfRule type="dataBar" id="{FABD6DFA-AD2B-41A3-A141-D70388E836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9A2F00F-2DA5-4BAB-BD5E-386B6E8ABFFA}">
            <x14:dataBar minLength="0" maxLength="100" gradient="0">
              <x14:cfvo type="autoMin"/>
              <x14:cfvo type="autoMax"/>
              <x14:negativeFillColor rgb="FFFF0000"/>
              <x14:axisColor rgb="FF000000"/>
            </x14:dataBar>
          </x14:cfRule>
          <x14:cfRule type="dataBar" id="{4C0436D8-40AA-4DD3-B291-9985CDBF4B61}">
            <x14:dataBar minLength="0" maxLength="100" gradient="0">
              <x14:cfvo type="autoMin"/>
              <x14:cfvo type="autoMax"/>
              <x14:negativeFillColor rgb="FFFF0000"/>
              <x14:axisColor rgb="FF000000"/>
            </x14:dataBar>
          </x14:cfRule>
          <xm:sqref>K72:P76</xm:sqref>
        </x14:conditionalFormatting>
        <x14:conditionalFormatting xmlns:xm="http://schemas.microsoft.com/office/excel/2006/main">
          <x14:cfRule type="dataBar" id="{6CD73A2E-FC8B-426C-8CDB-31D4A4DC6888}">
            <x14:dataBar minLength="0" maxLength="100" gradient="0">
              <x14:cfvo type="autoMin"/>
              <x14:cfvo type="autoMax"/>
              <x14:negativeFillColor rgb="FFFF0000"/>
              <x14:axisColor rgb="FF000000"/>
            </x14:dataBar>
          </x14:cfRule>
          <xm:sqref>K72:P77</xm:sqref>
        </x14:conditionalFormatting>
        <x14:conditionalFormatting xmlns:xm="http://schemas.microsoft.com/office/excel/2006/main">
          <x14:cfRule type="dataBar" id="{55233CA1-5D96-4CF9-A91B-380C01F3AB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CB5F20E-92A1-4085-ADEC-1E7B4B5F0BAC}">
            <x14:dataBar minLength="0" maxLength="100" gradient="0">
              <x14:cfvo type="autoMin"/>
              <x14:cfvo type="autoMax"/>
              <x14:negativeFillColor rgb="FFFF0000"/>
              <x14:axisColor rgb="FF000000"/>
            </x14:dataBar>
          </x14:cfRule>
          <x14:cfRule type="dataBar" id="{C095CE9D-BFE5-455A-946F-682ED89DBFE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4EAF042-A9DA-4D34-8F34-E51F714D1FAA}">
            <x14:dataBar minLength="0" maxLength="100" gradient="0">
              <x14:cfvo type="autoMin"/>
              <x14:cfvo type="autoMax"/>
              <x14:negativeFillColor rgb="FFFF0000"/>
              <x14:axisColor rgb="FF000000"/>
            </x14:dataBar>
          </x14:cfRule>
          <xm:sqref>K77:P77</xm:sqref>
        </x14:conditionalFormatting>
        <x14:conditionalFormatting xmlns:xm="http://schemas.microsoft.com/office/excel/2006/main">
          <x14:cfRule type="dataBar" id="{3EFE5A9F-EBA2-4D2F-AAFC-DCC42A6D67F6}">
            <x14:dataBar minLength="0" maxLength="100" gradient="0">
              <x14:cfvo type="autoMin"/>
              <x14:cfvo type="autoMax"/>
              <x14:negativeFillColor rgb="FFFF0000"/>
              <x14:axisColor rgb="FF000000"/>
            </x14:dataBar>
          </x14:cfRule>
          <x14:cfRule type="dataBar" id="{336CE6F6-B02D-451E-80CA-4D79BB3F773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00B66AC-0CDB-4A11-81C8-96A42D4E3BE8}">
            <x14:dataBar minLength="0" maxLength="100" gradient="0">
              <x14:cfvo type="autoMin"/>
              <x14:cfvo type="autoMax"/>
              <x14:negativeFillColor rgb="FFFF0000"/>
              <x14:axisColor rgb="FF000000"/>
            </x14:dataBar>
          </x14:cfRule>
          <x14:cfRule type="dataBar" id="{5EEE178B-5BF2-46FA-9034-281BC13DBD21}">
            <x14:dataBar minLength="0" maxLength="100" gradient="0">
              <x14:cfvo type="autoMin"/>
              <x14:cfvo type="autoMax"/>
              <x14:negativeFillColor rgb="FFFF0000"/>
              <x14:axisColor rgb="FF000000"/>
            </x14:dataBar>
          </x14:cfRule>
          <xm:sqref>K80:P84</xm:sqref>
        </x14:conditionalFormatting>
        <x14:conditionalFormatting xmlns:xm="http://schemas.microsoft.com/office/excel/2006/main">
          <x14:cfRule type="dataBar" id="{5D614FCA-7890-4814-81E6-69164E23CCC0}">
            <x14:dataBar minLength="0" maxLength="100" gradient="0">
              <x14:cfvo type="autoMin"/>
              <x14:cfvo type="autoMax"/>
              <x14:negativeFillColor rgb="FFFF0000"/>
              <x14:axisColor rgb="FF000000"/>
            </x14:dataBar>
          </x14:cfRule>
          <xm:sqref>K80:P85</xm:sqref>
        </x14:conditionalFormatting>
        <x14:conditionalFormatting xmlns:xm="http://schemas.microsoft.com/office/excel/2006/main">
          <x14:cfRule type="dataBar" id="{D7C0C4D0-4C8A-448A-99D5-A640299B2BD5}">
            <x14:dataBar minLength="0" maxLength="100" gradient="0">
              <x14:cfvo type="autoMin"/>
              <x14:cfvo type="autoMax"/>
              <x14:negativeFillColor rgb="FFFF0000"/>
              <x14:axisColor rgb="FF000000"/>
            </x14:dataBar>
          </x14:cfRule>
          <x14:cfRule type="dataBar" id="{CEB19EAD-8B8E-4DAB-87D1-6E5D72250EB7}">
            <x14:dataBar minLength="0" maxLength="100" gradient="0">
              <x14:cfvo type="autoMin"/>
              <x14:cfvo type="autoMax"/>
              <x14:negativeFillColor rgb="FFFF0000"/>
              <x14:axisColor rgb="FF000000"/>
            </x14:dataBar>
          </x14:cfRule>
          <x14:cfRule type="dataBar" id="{C871A615-6B0B-4F98-BE20-10D9D809A95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6DEAD4-4A79-4416-A784-37E7AD97443B}">
            <x14:dataBar minLength="0" maxLength="100" border="1" negativeBarBorderColorSameAsPositive="0">
              <x14:cfvo type="autoMin"/>
              <x14:cfvo type="autoMax"/>
              <x14:borderColor rgb="FF63C384"/>
              <x14:negativeFillColor rgb="FFFF0000"/>
              <x14:negativeBorderColor rgb="FFFF0000"/>
              <x14:axisColor rgb="FF000000"/>
            </x14:dataBar>
          </x14:cfRule>
          <xm:sqref>K85:P85</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L5:L12</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L18:L22</xm:sqref>
        </x14:conditionalFormatting>
        <x14:conditionalFormatting xmlns:xm="http://schemas.microsoft.com/office/excel/2006/main">
          <x14:cfRule type="dataBar" id="{A5F47BCA-38F9-4CBF-AB84-A6284C310931}">
            <x14:dataBar minLength="0" maxLength="100" gradient="0">
              <x14:cfvo type="autoMin"/>
              <x14:cfvo type="autoMax"/>
              <x14:negativeFillColor rgb="FFFF0000"/>
              <x14:axisColor rgb="FF000000"/>
            </x14:dataBar>
          </x14:cfRule>
          <xm:sqref>L29:L33</xm:sqref>
        </x14:conditionalFormatting>
        <x14:conditionalFormatting xmlns:xm="http://schemas.microsoft.com/office/excel/2006/main">
          <x14:cfRule type="dataBar" id="{3C3AEE76-4EF7-4471-99E0-6A1D11FC2807}">
            <x14:dataBar minLength="0" maxLength="100" gradient="0">
              <x14:cfvo type="autoMin"/>
              <x14:cfvo type="autoMax"/>
              <x14:negativeFillColor rgb="FFFF0000"/>
              <x14:axisColor rgb="FF000000"/>
            </x14:dataBar>
          </x14:cfRule>
          <xm:sqref>L40:L41</xm:sqref>
        </x14:conditionalFormatting>
        <x14:conditionalFormatting xmlns:xm="http://schemas.microsoft.com/office/excel/2006/main">
          <x14:cfRule type="dataBar" id="{906EFDD5-B3DC-4752-A57C-8FE450E9698C}">
            <x14:dataBar minLength="0" maxLength="100" gradient="0">
              <x14:cfvo type="autoMin"/>
              <x14:cfvo type="autoMax"/>
              <x14:negativeFillColor rgb="FFFF0000"/>
              <x14:axisColor rgb="FF000000"/>
            </x14:dataBar>
          </x14:cfRule>
          <xm:sqref>L72:L76</xm:sqref>
        </x14:conditionalFormatting>
        <x14:conditionalFormatting xmlns:xm="http://schemas.microsoft.com/office/excel/2006/main">
          <x14:cfRule type="dataBar" id="{753CBE35-3C18-4C31-BFE1-AFC947810D38}">
            <x14:dataBar minLength="0" maxLength="100" gradient="0">
              <x14:cfvo type="autoMin"/>
              <x14:cfvo type="autoMax"/>
              <x14:negativeFillColor rgb="FFFF0000"/>
              <x14:axisColor rgb="FF000000"/>
            </x14:dataBar>
          </x14:cfRule>
          <xm:sqref>L80:L84</xm:sqref>
        </x14:conditionalFormatting>
        <x14:conditionalFormatting xmlns:xm="http://schemas.microsoft.com/office/excel/2006/main">
          <x14:cfRule type="dataBar" id="{CF921376-951B-44A1-A35C-F489AA25CABD}">
            <x14:dataBar minLength="0" maxLength="100" gradient="0">
              <x14:cfvo type="autoMin"/>
              <x14:cfvo type="autoMax"/>
              <x14:negativeFillColor rgb="FFFF0000"/>
              <x14:axisColor rgb="FF000000"/>
            </x14:dataBar>
          </x14:cfRule>
          <xm:sqref>M11:M12</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M20:M22</xm:sqref>
        </x14:conditionalFormatting>
        <x14:conditionalFormatting xmlns:xm="http://schemas.microsoft.com/office/excel/2006/main">
          <x14:cfRule type="dataBar" id="{3B918FB4-437D-4CCD-98E3-74D3FE8CCE7B}">
            <x14:dataBar minLength="0" maxLength="100" gradient="0">
              <x14:cfvo type="autoMin"/>
              <x14:cfvo type="autoMax"/>
              <x14:negativeFillColor rgb="FFFF0000"/>
              <x14:axisColor rgb="FF000000"/>
            </x14:dataBar>
          </x14:cfRule>
          <xm:sqref>M31:M33</xm:sqref>
        </x14:conditionalFormatting>
        <x14:conditionalFormatting xmlns:xm="http://schemas.microsoft.com/office/excel/2006/main">
          <x14:cfRule type="dataBar" id="{D46666CA-1504-4E5B-B535-86AFF89F557F}">
            <x14:dataBar minLength="0" maxLength="100" gradient="0">
              <x14:cfvo type="autoMin"/>
              <x14:cfvo type="autoMax"/>
              <x14:negativeFillColor rgb="FFFF0000"/>
              <x14:axisColor rgb="FF000000"/>
            </x14:dataBar>
          </x14:cfRule>
          <xm:sqref>M74:M76</xm:sqref>
        </x14:conditionalFormatting>
        <x14:conditionalFormatting xmlns:xm="http://schemas.microsoft.com/office/excel/2006/main">
          <x14:cfRule type="dataBar" id="{7EBE88C5-B81E-4CF8-85E5-4CD73D69EF85}">
            <x14:dataBar minLength="0" maxLength="100" gradient="0">
              <x14:cfvo type="autoMin"/>
              <x14:cfvo type="autoMax"/>
              <x14:negativeFillColor rgb="FFFF0000"/>
              <x14:axisColor rgb="FF000000"/>
            </x14:dataBar>
          </x14:cfRule>
          <xm:sqref>M82:M84</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M5:P10</xm:sqref>
        </x14:conditionalFormatting>
        <x14:conditionalFormatting xmlns:xm="http://schemas.microsoft.com/office/excel/2006/main">
          <x14:cfRule type="dataBar" id="{13101FF6-2EA7-4030-B4D6-DA0DA1C2F6A6}">
            <x14:dataBar minLength="0" maxLength="100" gradient="0">
              <x14:cfvo type="autoMin"/>
              <x14:cfvo type="autoMax"/>
              <x14:negativeFillColor rgb="FFFF0000"/>
              <x14:axisColor rgb="FF000000"/>
            </x14:dataBar>
          </x14:cfRule>
          <xm:sqref>N11:N12</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N18:N22</xm:sqref>
        </x14:conditionalFormatting>
        <x14:conditionalFormatting xmlns:xm="http://schemas.microsoft.com/office/excel/2006/main">
          <x14:cfRule type="dataBar" id="{05DB854C-DC24-4844-B308-AB00FCC63714}">
            <x14:dataBar minLength="0" maxLength="100" gradient="0">
              <x14:cfvo type="autoMin"/>
              <x14:cfvo type="autoMax"/>
              <x14:negativeFillColor rgb="FFFF0000"/>
              <x14:axisColor rgb="FF000000"/>
            </x14:dataBar>
          </x14:cfRule>
          <xm:sqref>N29:N33</xm:sqref>
        </x14:conditionalFormatting>
        <x14:conditionalFormatting xmlns:xm="http://schemas.microsoft.com/office/excel/2006/main">
          <x14:cfRule type="dataBar" id="{75732680-7925-47CD-8DF2-5E517DA6AD0F}">
            <x14:dataBar minLength="0" maxLength="100" gradient="0">
              <x14:cfvo type="autoMin"/>
              <x14:cfvo type="autoMax"/>
              <x14:negativeFillColor rgb="FFFF0000"/>
              <x14:axisColor rgb="FF000000"/>
            </x14:dataBar>
          </x14:cfRule>
          <xm:sqref>N40:N41</xm:sqref>
        </x14:conditionalFormatting>
        <x14:conditionalFormatting xmlns:xm="http://schemas.microsoft.com/office/excel/2006/main">
          <x14:cfRule type="dataBar" id="{A4C812E1-8F47-43D7-B10E-A1EABE5AA0C4}">
            <x14:dataBar minLength="0" maxLength="100" gradient="0">
              <x14:cfvo type="autoMin"/>
              <x14:cfvo type="autoMax"/>
              <x14:negativeFillColor rgb="FFFF0000"/>
              <x14:axisColor rgb="FF000000"/>
            </x14:dataBar>
          </x14:cfRule>
          <xm:sqref>N72:N76</xm:sqref>
        </x14:conditionalFormatting>
        <x14:conditionalFormatting xmlns:xm="http://schemas.microsoft.com/office/excel/2006/main">
          <x14:cfRule type="dataBar" id="{C4C5748A-DDF9-4123-ABCC-CC6CEEB3E5B3}">
            <x14:dataBar minLength="0" maxLength="100" gradient="0">
              <x14:cfvo type="autoMin"/>
              <x14:cfvo type="autoMax"/>
              <x14:negativeFillColor rgb="FFFF0000"/>
              <x14:axisColor rgb="FF000000"/>
            </x14:dataBar>
          </x14:cfRule>
          <xm:sqref>N80:N84</xm:sqref>
        </x14:conditionalFormatting>
        <x14:conditionalFormatting xmlns:xm="http://schemas.microsoft.com/office/excel/2006/main">
          <x14:cfRule type="dataBar" id="{1F18C40A-A33A-4D0B-B57F-47D9D6CF0D64}">
            <x14:dataBar minLength="0" maxLength="100" gradient="0">
              <x14:cfvo type="autoMin"/>
              <x14:cfvo type="autoMax"/>
              <x14:negativeFillColor rgb="FFFF0000"/>
              <x14:axisColor rgb="FF000000"/>
            </x14:dataBar>
          </x14:cfRule>
          <xm:sqref>O11:O12</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O18:O22</xm:sqref>
        </x14:conditionalFormatting>
        <x14:conditionalFormatting xmlns:xm="http://schemas.microsoft.com/office/excel/2006/main">
          <x14:cfRule type="dataBar" id="{FFAACEED-8939-423F-BA30-EA290897BB88}">
            <x14:dataBar minLength="0" maxLength="100" gradient="0">
              <x14:cfvo type="autoMin"/>
              <x14:cfvo type="autoMax"/>
              <x14:negativeFillColor rgb="FFFF0000"/>
              <x14:axisColor rgb="FF000000"/>
            </x14:dataBar>
          </x14:cfRule>
          <xm:sqref>O29:O33</xm:sqref>
        </x14:conditionalFormatting>
        <x14:conditionalFormatting xmlns:xm="http://schemas.microsoft.com/office/excel/2006/main">
          <x14:cfRule type="dataBar" id="{D3D91FD0-D574-4339-A8B0-6AEDF3960766}">
            <x14:dataBar minLength="0" maxLength="100" gradient="0">
              <x14:cfvo type="autoMin"/>
              <x14:cfvo type="autoMax"/>
              <x14:negativeFillColor rgb="FFFF0000"/>
              <x14:axisColor rgb="FF000000"/>
            </x14:dataBar>
          </x14:cfRule>
          <xm:sqref>O40:O41</xm:sqref>
        </x14:conditionalFormatting>
        <x14:conditionalFormatting xmlns:xm="http://schemas.microsoft.com/office/excel/2006/main">
          <x14:cfRule type="dataBar" id="{4FB980C2-0E71-47D7-B102-601BD30C8957}">
            <x14:dataBar minLength="0" maxLength="100" gradient="0">
              <x14:cfvo type="autoMin"/>
              <x14:cfvo type="autoMax"/>
              <x14:negativeFillColor rgb="FFFF0000"/>
              <x14:axisColor rgb="FF000000"/>
            </x14:dataBar>
          </x14:cfRule>
          <xm:sqref>O72:O76</xm:sqref>
        </x14:conditionalFormatting>
        <x14:conditionalFormatting xmlns:xm="http://schemas.microsoft.com/office/excel/2006/main">
          <x14:cfRule type="dataBar" id="{F9E73FD4-4866-4CD2-93E1-E80EAF002EDE}">
            <x14:dataBar minLength="0" maxLength="100" gradient="0">
              <x14:cfvo type="autoMin"/>
              <x14:cfvo type="autoMax"/>
              <x14:negativeFillColor rgb="FFFF0000"/>
              <x14:axisColor rgb="FF000000"/>
            </x14:dataBar>
          </x14:cfRule>
          <xm:sqref>O80:O84</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P11:P12</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P18:P22</xm:sqref>
        </x14:conditionalFormatting>
        <x14:conditionalFormatting xmlns:xm="http://schemas.microsoft.com/office/excel/2006/main">
          <x14:cfRule type="dataBar" id="{A1AE97AD-5647-4F9F-A100-6C15C1895B18}">
            <x14:dataBar minLength="0" maxLength="100" gradient="0">
              <x14:cfvo type="autoMin"/>
              <x14:cfvo type="autoMax"/>
              <x14:negativeFillColor rgb="FFFF0000"/>
              <x14:axisColor rgb="FF000000"/>
            </x14:dataBar>
          </x14:cfRule>
          <xm:sqref>P18:P23</xm:sqref>
        </x14:conditionalFormatting>
        <x14:conditionalFormatting xmlns:xm="http://schemas.microsoft.com/office/excel/2006/main">
          <x14:cfRule type="dataBar" id="{44059659-321E-4F16-A91E-71EB67462F51}">
            <x14:dataBar minLength="0" maxLength="100" gradient="0">
              <x14:cfvo type="autoMin"/>
              <x14:cfvo type="autoMax"/>
              <x14:negativeFillColor rgb="FFFF0000"/>
              <x14:axisColor rgb="FF000000"/>
            </x14:dataBar>
          </x14:cfRule>
          <x14:cfRule type="dataBar" id="{657DE2C6-03A4-4EDE-99AD-798EB4DDA82C}">
            <x14:dataBar minLength="0" maxLength="100" gradient="0">
              <x14:cfvo type="autoMin"/>
              <x14:cfvo type="autoMax"/>
              <x14:negativeFillColor rgb="FFFF0000"/>
              <x14:axisColor rgb="FF000000"/>
            </x14:dataBar>
          </x14:cfRule>
          <x14:cfRule type="dataBar" id="{ECB61C77-2C43-48F4-8A50-733EB85A1CEE}">
            <x14:dataBar minLength="0" maxLength="100" gradient="0">
              <x14:cfvo type="autoMin"/>
              <x14:cfvo type="autoMax"/>
              <x14:negativeFillColor rgb="FFFF0000"/>
              <x14:axisColor rgb="FF000000"/>
            </x14:dataBar>
          </x14:cfRule>
          <x14:cfRule type="dataBar" id="{CA13E27F-6DDD-451D-9981-58C3F52DF064}">
            <x14:dataBar minLength="0" maxLength="100" gradient="0">
              <x14:cfvo type="autoMin"/>
              <x14:cfvo type="autoMax"/>
              <x14:negativeFillColor rgb="FFFF0000"/>
              <x14:axisColor rgb="FF000000"/>
            </x14:dataBar>
          </x14:cfRule>
          <x14:cfRule type="dataBar" id="{E25FCA19-5187-42DE-ACC0-FA124C432602}">
            <x14:dataBar minLength="0" maxLength="100" border="1" negativeBarBorderColorSameAsPositive="0">
              <x14:cfvo type="autoMin"/>
              <x14:cfvo type="autoMax"/>
              <x14:borderColor rgb="FF63C384"/>
              <x14:negativeFillColor rgb="FFFF0000"/>
              <x14:negativeBorderColor rgb="FFFF0000"/>
              <x14:axisColor rgb="FF000000"/>
            </x14:dataBar>
          </x14:cfRule>
          <xm:sqref>P23</xm:sqref>
        </x14:conditionalFormatting>
        <x14:conditionalFormatting xmlns:xm="http://schemas.microsoft.com/office/excel/2006/main">
          <x14:cfRule type="dataBar" id="{360941DA-CF6D-4E3E-B6C3-707C6D5AF152}">
            <x14:dataBar minLength="0" maxLength="100" gradient="0">
              <x14:cfvo type="autoMin"/>
              <x14:cfvo type="autoMax"/>
              <x14:negativeFillColor rgb="FFFF0000"/>
              <x14:axisColor rgb="FF000000"/>
            </x14:dataBar>
          </x14:cfRule>
          <xm:sqref>P29:P33</xm:sqref>
        </x14:conditionalFormatting>
        <x14:conditionalFormatting xmlns:xm="http://schemas.microsoft.com/office/excel/2006/main">
          <x14:cfRule type="dataBar" id="{4D16047C-D5D6-4D57-B216-326BE769A55F}">
            <x14:dataBar minLength="0" maxLength="100" gradient="0">
              <x14:cfvo type="autoMin"/>
              <x14:cfvo type="autoMax"/>
              <x14:negativeFillColor rgb="FFFF0000"/>
              <x14:axisColor rgb="FF000000"/>
            </x14:dataBar>
          </x14:cfRule>
          <xm:sqref>P29:P34</xm:sqref>
        </x14:conditionalFormatting>
        <x14:conditionalFormatting xmlns:xm="http://schemas.microsoft.com/office/excel/2006/main">
          <x14:cfRule type="dataBar" id="{08143BEA-AD1C-40BC-AC2E-9AA8BC3CBD5F}">
            <x14:dataBar minLength="0" maxLength="100" gradient="0">
              <x14:cfvo type="autoMin"/>
              <x14:cfvo type="autoMax"/>
              <x14:negativeFillColor rgb="FFFF0000"/>
              <x14:axisColor rgb="FF000000"/>
            </x14:dataBar>
          </x14:cfRule>
          <x14:cfRule type="dataBar" id="{3D66433B-49D1-47D6-BC3A-312083851A9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4BFCA87-549F-4BE0-8CC1-65F799918366}">
            <x14:dataBar minLength="0" maxLength="100" gradient="0">
              <x14:cfvo type="autoMin"/>
              <x14:cfvo type="autoMax"/>
              <x14:negativeFillColor rgb="FFFF0000"/>
              <x14:axisColor rgb="FF000000"/>
            </x14:dataBar>
          </x14:cfRule>
          <x14:cfRule type="dataBar" id="{418D929B-938E-4B14-9E43-C7DCCA4E6694}">
            <x14:dataBar minLength="0" maxLength="100" gradient="0">
              <x14:cfvo type="autoMin"/>
              <x14:cfvo type="autoMax"/>
              <x14:negativeFillColor rgb="FFFF0000"/>
              <x14:axisColor rgb="FF000000"/>
            </x14:dataBar>
          </x14:cfRule>
          <x14:cfRule type="dataBar" id="{703323D9-4715-4B95-B9C1-B3565B3D980E}">
            <x14:dataBar minLength="0" maxLength="100" gradient="0">
              <x14:cfvo type="autoMin"/>
              <x14:cfvo type="autoMax"/>
              <x14:negativeFillColor rgb="FFFF0000"/>
              <x14:axisColor rgb="FF000000"/>
            </x14:dataBar>
          </x14:cfRule>
          <xm:sqref>P34</xm:sqref>
        </x14:conditionalFormatting>
        <x14:conditionalFormatting xmlns:xm="http://schemas.microsoft.com/office/excel/2006/main">
          <x14:cfRule type="dataBar" id="{386256F5-F690-444A-95DA-7752E00BA80C}">
            <x14:dataBar minLength="0" maxLength="100" gradient="0">
              <x14:cfvo type="autoMin"/>
              <x14:cfvo type="autoMax"/>
              <x14:negativeFillColor rgb="FFFF0000"/>
              <x14:axisColor rgb="FF000000"/>
            </x14:dataBar>
          </x14:cfRule>
          <x14:cfRule type="dataBar" id="{E68C6E24-C27E-436C-A974-9B6F8424B99F}">
            <x14:dataBar minLength="0" maxLength="100" gradient="0">
              <x14:cfvo type="autoMin"/>
              <x14:cfvo type="autoMax"/>
              <x14:negativeFillColor rgb="FFFF0000"/>
              <x14:axisColor rgb="FF000000"/>
            </x14:dataBar>
          </x14:cfRule>
          <xm:sqref>P40:P41</xm:sqref>
        </x14:conditionalFormatting>
        <x14:conditionalFormatting xmlns:xm="http://schemas.microsoft.com/office/excel/2006/main">
          <x14:cfRule type="dataBar" id="{C102C7B7-A44C-4B42-BECE-D19AA89474A8}">
            <x14:dataBar minLength="0" maxLength="100" gradient="0">
              <x14:cfvo type="autoMin"/>
              <x14:cfvo type="autoMax"/>
              <x14:negativeFillColor rgb="FFFF0000"/>
              <x14:axisColor rgb="FF000000"/>
            </x14:dataBar>
          </x14:cfRule>
          <xm:sqref>P72:P76</xm:sqref>
        </x14:conditionalFormatting>
        <x14:conditionalFormatting xmlns:xm="http://schemas.microsoft.com/office/excel/2006/main">
          <x14:cfRule type="dataBar" id="{4518BB79-2FE4-43C7-AE09-51E1591D8ECF}">
            <x14:dataBar minLength="0" maxLength="100" gradient="0">
              <x14:cfvo type="autoMin"/>
              <x14:cfvo type="autoMax"/>
              <x14:negativeFillColor rgb="FFFF0000"/>
              <x14:axisColor rgb="FF000000"/>
            </x14:dataBar>
          </x14:cfRule>
          <xm:sqref>P72:P77</xm:sqref>
        </x14:conditionalFormatting>
        <x14:conditionalFormatting xmlns:xm="http://schemas.microsoft.com/office/excel/2006/main">
          <x14:cfRule type="dataBar" id="{5AD08BAC-8613-43B3-8262-DF815DADBF51}">
            <x14:dataBar minLength="0" maxLength="100" gradient="0">
              <x14:cfvo type="autoMin"/>
              <x14:cfvo type="autoMax"/>
              <x14:negativeFillColor rgb="FFFF0000"/>
              <x14:axisColor rgb="FF000000"/>
            </x14:dataBar>
          </x14:cfRule>
          <x14:cfRule type="dataBar" id="{E651C1CE-3FF4-4B00-A5D6-E3B6F5024021}">
            <x14:dataBar minLength="0" maxLength="100" gradient="0">
              <x14:cfvo type="autoMin"/>
              <x14:cfvo type="autoMax"/>
              <x14:negativeFillColor rgb="FFFF0000"/>
              <x14:axisColor rgb="FF000000"/>
            </x14:dataBar>
          </x14:cfRule>
          <x14:cfRule type="dataBar" id="{12FEF85A-BC05-46A5-BB52-C4E9E50A9277}">
            <x14:dataBar minLength="0" maxLength="100" gradient="0">
              <x14:cfvo type="autoMin"/>
              <x14:cfvo type="autoMax"/>
              <x14:negativeFillColor rgb="FFFF0000"/>
              <x14:axisColor rgb="FF000000"/>
            </x14:dataBar>
          </x14:cfRule>
          <x14:cfRule type="dataBar" id="{B10D48FA-7BB8-464D-AF2C-6F5C60639AF8}">
            <x14:dataBar minLength="0" maxLength="100" gradient="0">
              <x14:cfvo type="autoMin"/>
              <x14:cfvo type="autoMax"/>
              <x14:negativeFillColor rgb="FFFF0000"/>
              <x14:axisColor rgb="FF000000"/>
            </x14:dataBar>
          </x14:cfRule>
          <x14:cfRule type="dataBar" id="{236821DA-BCD9-4074-9991-D6948D3516E1}">
            <x14:dataBar minLength="0" maxLength="100" border="1" negativeBarBorderColorSameAsPositive="0">
              <x14:cfvo type="autoMin"/>
              <x14:cfvo type="autoMax"/>
              <x14:borderColor rgb="FF63C384"/>
              <x14:negativeFillColor rgb="FFFF0000"/>
              <x14:negativeBorderColor rgb="FFFF0000"/>
              <x14:axisColor rgb="FF000000"/>
            </x14:dataBar>
          </x14:cfRule>
          <xm:sqref>P77</xm:sqref>
        </x14:conditionalFormatting>
        <x14:conditionalFormatting xmlns:xm="http://schemas.microsoft.com/office/excel/2006/main">
          <x14:cfRule type="dataBar" id="{158ED3FA-3877-4697-8AFD-07EF04240AE1}">
            <x14:dataBar minLength="0" maxLength="100" gradient="0">
              <x14:cfvo type="autoMin"/>
              <x14:cfvo type="autoMax"/>
              <x14:negativeFillColor rgb="FFFF0000"/>
              <x14:axisColor rgb="FF000000"/>
            </x14:dataBar>
          </x14:cfRule>
          <xm:sqref>P80:P84</xm:sqref>
        </x14:conditionalFormatting>
        <x14:conditionalFormatting xmlns:xm="http://schemas.microsoft.com/office/excel/2006/main">
          <x14:cfRule type="dataBar" id="{C2EBF906-C2B1-4665-B0F1-7C4534D9A181}">
            <x14:dataBar minLength="0" maxLength="100" gradient="0">
              <x14:cfvo type="autoMin"/>
              <x14:cfvo type="autoMax"/>
              <x14:negativeFillColor rgb="FFFF0000"/>
              <x14:axisColor rgb="FF000000"/>
            </x14:dataBar>
          </x14:cfRule>
          <xm:sqref>P80:P85</xm:sqref>
        </x14:conditionalFormatting>
        <x14:conditionalFormatting xmlns:xm="http://schemas.microsoft.com/office/excel/2006/main">
          <x14:cfRule type="dataBar" id="{C479113C-5D16-437C-BF53-5B0430190287}">
            <x14:dataBar minLength="0" maxLength="100" gradient="0">
              <x14:cfvo type="autoMin"/>
              <x14:cfvo type="autoMax"/>
              <x14:negativeFillColor rgb="FFFF0000"/>
              <x14:axisColor rgb="FF000000"/>
            </x14:dataBar>
          </x14:cfRule>
          <x14:cfRule type="dataBar" id="{F4F9CECA-B4E3-49AF-8E79-ECE48EDF42BC}">
            <x14:dataBar minLength="0" maxLength="100" gradient="0">
              <x14:cfvo type="autoMin"/>
              <x14:cfvo type="autoMax"/>
              <x14:negativeFillColor rgb="FFFF0000"/>
              <x14:axisColor rgb="FF000000"/>
            </x14:dataBar>
          </x14:cfRule>
          <x14:cfRule type="dataBar" id="{CE22D6BC-5272-41F3-AC88-0B4299BD7448}">
            <x14:dataBar minLength="0" maxLength="100" gradient="0">
              <x14:cfvo type="autoMin"/>
              <x14:cfvo type="autoMax"/>
              <x14:negativeFillColor rgb="FFFF0000"/>
              <x14:axisColor rgb="FF000000"/>
            </x14:dataBar>
          </x14:cfRule>
          <x14:cfRule type="dataBar" id="{5BEC2DD5-DAE5-4495-8E70-F7B43A886663}">
            <x14:dataBar minLength="0" maxLength="100" gradient="0">
              <x14:cfvo type="autoMin"/>
              <x14:cfvo type="autoMax"/>
              <x14:negativeFillColor rgb="FFFF0000"/>
              <x14:axisColor rgb="FF000000"/>
            </x14:dataBar>
          </x14:cfRule>
          <x14:cfRule type="dataBar" id="{5B830A06-2257-40BC-B2E2-3704A200D115}">
            <x14:dataBar minLength="0" maxLength="100" border="1" negativeBarBorderColorSameAsPositive="0">
              <x14:cfvo type="autoMin"/>
              <x14:cfvo type="autoMax"/>
              <x14:borderColor rgb="FF63C384"/>
              <x14:negativeFillColor rgb="FFFF0000"/>
              <x14:negativeBorderColor rgb="FFFF0000"/>
              <x14:axisColor rgb="FF000000"/>
            </x14:dataBar>
          </x14:cfRule>
          <xm:sqref>P85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53125" defaultRowHeight="12.5"/>
  <cols>
    <col min="1" max="1" width="27.26953125" bestFit="1" customWidth="1"/>
  </cols>
  <sheetData>
    <row r="1" spans="1:1">
      <c r="A1" t="s">
        <v>249</v>
      </c>
    </row>
    <row r="2" spans="1:1">
      <c r="A2" t="s">
        <v>250</v>
      </c>
    </row>
    <row r="3" spans="1:1">
      <c r="A3" t="s">
        <v>251</v>
      </c>
    </row>
    <row r="4" spans="1:1">
      <c r="A4" t="s">
        <v>252</v>
      </c>
    </row>
    <row r="5" spans="1:1">
      <c r="A5" t="s">
        <v>253</v>
      </c>
    </row>
    <row r="6" spans="1:1">
      <c r="A6" s="6" t="s">
        <v>254</v>
      </c>
    </row>
  </sheetData>
  <phoneticPr fontId="80"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N81"/>
  <sheetViews>
    <sheetView showGridLines="0" topLeftCell="A47" zoomScale="75" zoomScaleNormal="100" workbookViewId="0">
      <selection activeCell="C65" sqref="C65"/>
    </sheetView>
  </sheetViews>
  <sheetFormatPr defaultColWidth="11.453125" defaultRowHeight="12.5"/>
  <cols>
    <col min="1" max="1" width="0.453125" customWidth="1"/>
    <col min="2" max="2" width="31.7265625" bestFit="1" customWidth="1"/>
    <col min="3" max="4" width="32.26953125" customWidth="1"/>
    <col min="5" max="5" width="33.453125" customWidth="1"/>
    <col min="6" max="6" width="33.7265625" customWidth="1"/>
    <col min="7" max="7" width="32.26953125" customWidth="1"/>
    <col min="8" max="8" width="33.26953125" customWidth="1"/>
    <col min="9" max="9" width="15.453125" customWidth="1"/>
    <col min="10" max="10" width="10.7265625" customWidth="1"/>
  </cols>
  <sheetData>
    <row r="1" spans="2:14" ht="14">
      <c r="B1" s="167" t="s">
        <v>255</v>
      </c>
      <c r="C1" s="167" t="s">
        <v>256</v>
      </c>
      <c r="D1" s="1346" t="s">
        <v>208</v>
      </c>
      <c r="E1" s="1346"/>
      <c r="F1" s="1346"/>
      <c r="G1" s="1346"/>
      <c r="H1" s="1346"/>
    </row>
    <row r="2" spans="2:14" ht="81.75" customHeight="1">
      <c r="B2" s="168"/>
      <c r="C2" s="339" t="e" vm="2">
        <v>#VALUE!</v>
      </c>
      <c r="D2" s="1343" t="s">
        <v>257</v>
      </c>
      <c r="E2" s="1344"/>
      <c r="F2" s="1344"/>
      <c r="G2" s="1344"/>
      <c r="H2" s="1345"/>
    </row>
    <row r="3" spans="2:14" ht="81.75" customHeight="1">
      <c r="C3" s="340" t="e" vm="3">
        <v>#VALUE!</v>
      </c>
      <c r="D3" s="1343" t="s">
        <v>258</v>
      </c>
      <c r="E3" s="1344"/>
      <c r="F3" s="1344"/>
      <c r="G3" s="1344"/>
      <c r="H3" s="1345"/>
    </row>
    <row r="4" spans="2:14" ht="81.75" customHeight="1">
      <c r="B4" s="168"/>
      <c r="C4" s="341" t="e" vm="5">
        <v>#VALUE!</v>
      </c>
      <c r="D4" s="1343" t="s">
        <v>259</v>
      </c>
      <c r="E4" s="1344"/>
      <c r="F4" s="1344"/>
      <c r="G4" s="1344"/>
      <c r="H4" s="1345"/>
    </row>
    <row r="5" spans="2:14" ht="81.75" customHeight="1">
      <c r="B5" s="168"/>
      <c r="C5" s="342" t="e" vm="4">
        <v>#VALUE!</v>
      </c>
      <c r="D5" s="1343" t="s">
        <v>260</v>
      </c>
      <c r="E5" s="1344"/>
      <c r="F5" s="1344"/>
      <c r="G5" s="1344"/>
      <c r="H5" s="1345"/>
    </row>
    <row r="6" spans="2:14" ht="81.75" customHeight="1">
      <c r="B6" s="168"/>
      <c r="C6" s="343" t="e" vm="6">
        <v>#VALUE!</v>
      </c>
      <c r="D6" s="1343" t="s">
        <v>261</v>
      </c>
      <c r="E6" s="1344"/>
      <c r="F6" s="1344"/>
      <c r="G6" s="1344"/>
      <c r="H6" s="1345"/>
      <c r="L6" s="1"/>
    </row>
    <row r="7" spans="2:14" ht="13" thickBot="1">
      <c r="B7" s="6"/>
    </row>
    <row r="8" spans="2:14" ht="43.5" customHeight="1" thickBot="1">
      <c r="B8" s="166" t="s">
        <v>262</v>
      </c>
      <c r="C8" s="333" t="e" vm="1">
        <f>OP!E2</f>
        <v>#VALUE!</v>
      </c>
      <c r="D8" s="334" t="e" vm="2">
        <f>C2</f>
        <v>#VALUE!</v>
      </c>
      <c r="E8" s="335" t="e" vm="3">
        <f>C3</f>
        <v>#VALUE!</v>
      </c>
      <c r="F8" s="336" t="e" vm="5">
        <f>C4</f>
        <v>#VALUE!</v>
      </c>
      <c r="G8" s="571" t="e" vm="4">
        <f>C5</f>
        <v>#VALUE!</v>
      </c>
      <c r="H8" s="338" t="e" vm="6">
        <f>C6</f>
        <v>#VALUE!</v>
      </c>
      <c r="I8" s="162" t="s">
        <v>263</v>
      </c>
      <c r="J8" s="541" t="s">
        <v>264</v>
      </c>
    </row>
    <row r="9" spans="2:14" ht="16.5" customHeight="1" thickBot="1">
      <c r="B9" s="160" t="s">
        <v>265</v>
      </c>
      <c r="C9" s="144"/>
      <c r="D9" s="145"/>
      <c r="E9" s="145"/>
      <c r="F9" s="145"/>
      <c r="G9" s="145"/>
      <c r="H9" s="146"/>
      <c r="I9" s="147" t="str">
        <f>IFERROR(AVERAGE(C9:H9),"")</f>
        <v/>
      </c>
      <c r="J9" s="516"/>
      <c r="L9" s="1335" t="s">
        <v>266</v>
      </c>
      <c r="M9" s="1336"/>
      <c r="N9" s="1337"/>
    </row>
    <row r="10" spans="2:14" ht="13.5" customHeight="1" thickBot="1">
      <c r="B10" s="159" t="s">
        <v>267</v>
      </c>
      <c r="C10" s="142" cm="1">
        <f t="array" aca="1" ref="C10" ca="1">_FV(C8,"Market cap",TRUE)/1000000</f>
        <v>45214.687908</v>
      </c>
      <c r="D10" s="142">
        <v>11728</v>
      </c>
      <c r="E10" s="142">
        <v>78614</v>
      </c>
      <c r="F10" s="142">
        <v>126627</v>
      </c>
      <c r="G10" s="142">
        <v>35107</v>
      </c>
      <c r="H10" s="142">
        <v>22706</v>
      </c>
      <c r="I10" s="471">
        <f ca="1">IFERROR(AVERAGE(C10:H10),"")</f>
        <v>53332.781317999994</v>
      </c>
      <c r="J10" s="517">
        <f ca="1">SQRT((C10-I10)^2)</f>
        <v>8118.093409999994</v>
      </c>
      <c r="L10" s="1338"/>
      <c r="M10" s="1333" t="s">
        <v>268</v>
      </c>
      <c r="N10" s="1334"/>
    </row>
    <row r="11" spans="2:14" ht="13.5" thickBot="1">
      <c r="B11" s="441" t="s">
        <v>269</v>
      </c>
      <c r="C11" s="442">
        <f>C56</f>
        <v>9961.7999999999993</v>
      </c>
      <c r="D11" s="442">
        <f t="shared" ref="D11:H11" si="0">D56</f>
        <v>11702</v>
      </c>
      <c r="E11" s="442">
        <f t="shared" si="0"/>
        <v>20269</v>
      </c>
      <c r="F11" s="442">
        <f t="shared" si="0"/>
        <v>59380</v>
      </c>
      <c r="G11" s="442">
        <f t="shared" si="0"/>
        <v>13753</v>
      </c>
      <c r="H11" s="442">
        <f t="shared" si="0"/>
        <v>4178</v>
      </c>
      <c r="I11" s="472">
        <f t="shared" ref="I11:I40" si="1">IFERROR(AVERAGE(C11:H11),"")</f>
        <v>19873.966666666667</v>
      </c>
      <c r="J11" s="518">
        <f t="shared" ref="J11:J50" si="2">SQRT((C11-I11)^2)</f>
        <v>9912.1666666666679</v>
      </c>
      <c r="L11" s="1338"/>
      <c r="M11" s="1333"/>
      <c r="N11" s="1334"/>
    </row>
    <row r="12" spans="2:14" ht="16.5" customHeight="1" thickBot="1">
      <c r="B12" s="160" t="s">
        <v>270</v>
      </c>
      <c r="C12" s="165"/>
      <c r="D12" s="165"/>
      <c r="E12" s="165"/>
      <c r="F12" s="165"/>
      <c r="G12" s="165"/>
      <c r="H12" s="165"/>
      <c r="I12" s="473" t="str">
        <f t="shared" si="1"/>
        <v/>
      </c>
      <c r="J12" s="519"/>
      <c r="L12" s="1332"/>
      <c r="M12" s="1333" t="s">
        <v>271</v>
      </c>
      <c r="N12" s="1334"/>
    </row>
    <row r="13" spans="2:14" ht="13.5" thickBot="1">
      <c r="B13" s="159" t="s">
        <v>272</v>
      </c>
      <c r="C13" s="452">
        <f>C56/C55-1</f>
        <v>5.3868776844465893E-2</v>
      </c>
      <c r="D13" s="452">
        <f t="shared" ref="D13:H13" si="3">D56/D55-1</f>
        <v>9.3542659564526787E-2</v>
      </c>
      <c r="E13" s="452">
        <f t="shared" si="3"/>
        <v>-1.3913889564582838E-2</v>
      </c>
      <c r="F13" s="452">
        <f t="shared" si="3"/>
        <v>2.7584536046793451E-2</v>
      </c>
      <c r="G13" s="452">
        <f t="shared" si="3"/>
        <v>3.8040606838251945E-2</v>
      </c>
      <c r="H13" s="452">
        <f t="shared" si="3"/>
        <v>-1.1825922421948909E-2</v>
      </c>
      <c r="I13" s="474">
        <f t="shared" si="1"/>
        <v>3.1216127884584388E-2</v>
      </c>
      <c r="J13" s="520">
        <f t="shared" si="2"/>
        <v>2.2652648959881505E-2</v>
      </c>
      <c r="L13" s="1332"/>
      <c r="M13" s="1333"/>
      <c r="N13" s="1334"/>
    </row>
    <row r="14" spans="2:14" ht="13.5" thickBot="1">
      <c r="B14" s="443" t="s">
        <v>273</v>
      </c>
      <c r="C14" s="444">
        <f>C56/C54-1</f>
        <v>0.15634540157169541</v>
      </c>
      <c r="D14" s="444">
        <f t="shared" ref="D14:H14" si="4">D56/D54-1</f>
        <v>-1.8764926646195335E-3</v>
      </c>
      <c r="E14" s="444">
        <f t="shared" si="4"/>
        <v>0.15073237197683653</v>
      </c>
      <c r="F14" s="444">
        <f t="shared" si="4"/>
        <v>0.26661120709882469</v>
      </c>
      <c r="G14" s="444">
        <f t="shared" si="4"/>
        <v>0.31431574923547401</v>
      </c>
      <c r="H14" s="444">
        <f t="shared" si="4"/>
        <v>0.22521994134897372</v>
      </c>
      <c r="I14" s="475">
        <f t="shared" si="1"/>
        <v>0.18522469642786413</v>
      </c>
      <c r="J14" s="521">
        <f t="shared" si="2"/>
        <v>2.8879294856168719E-2</v>
      </c>
      <c r="L14" s="1339"/>
      <c r="M14" s="1333" t="s">
        <v>274</v>
      </c>
      <c r="N14" s="1334"/>
    </row>
    <row r="15" spans="2:14" ht="15" thickBot="1">
      <c r="B15" s="453" t="s">
        <v>129</v>
      </c>
      <c r="C15" s="784">
        <f>C59/C56</f>
        <v>0.31818546848963042</v>
      </c>
      <c r="D15" s="454">
        <f t="shared" ref="D15:H15" si="5">D59/D56</f>
        <v>0.12288497692702102</v>
      </c>
      <c r="E15" s="454">
        <f t="shared" si="5"/>
        <v>0.29606788692091374</v>
      </c>
      <c r="F15" s="454">
        <f t="shared" si="5"/>
        <v>0.2401481980464803</v>
      </c>
      <c r="G15" s="454">
        <f t="shared" si="5"/>
        <v>0.21209917836108486</v>
      </c>
      <c r="H15" s="454">
        <f t="shared" si="5"/>
        <v>0.26352321685016755</v>
      </c>
      <c r="I15" s="475">
        <f>IFERROR(AVERAGE(C15:H15),"")</f>
        <v>0.24215148759921631</v>
      </c>
      <c r="J15" s="522">
        <f t="shared" si="2"/>
        <v>7.6033980890414105E-2</v>
      </c>
      <c r="L15" s="1340"/>
      <c r="M15" s="1341"/>
      <c r="N15" s="1342"/>
    </row>
    <row r="16" spans="2:14" ht="13.5" thickBot="1">
      <c r="B16" s="443" t="s">
        <v>275</v>
      </c>
      <c r="C16" s="444">
        <f>C62/C56</f>
        <v>0.17719689212792872</v>
      </c>
      <c r="D16" s="444">
        <f t="shared" ref="D16:H16" si="6">D62/D56</f>
        <v>9.9897453426764662E-2</v>
      </c>
      <c r="E16" s="444">
        <f t="shared" si="6"/>
        <v>0.19093196506981105</v>
      </c>
      <c r="F16" s="444">
        <f t="shared" si="6"/>
        <v>8.9946109801279886E-2</v>
      </c>
      <c r="G16" s="444">
        <f t="shared" si="6"/>
        <v>0.11422962262779029</v>
      </c>
      <c r="H16" s="444">
        <f t="shared" si="6"/>
        <v>0.23647678314983245</v>
      </c>
      <c r="I16" s="475">
        <f t="shared" si="1"/>
        <v>0.15144647103390119</v>
      </c>
      <c r="J16" s="521">
        <f t="shared" si="2"/>
        <v>2.5750421094027531E-2</v>
      </c>
    </row>
    <row r="17" spans="1:10" ht="13.5" thickBot="1">
      <c r="B17" s="453" t="s">
        <v>276</v>
      </c>
      <c r="C17" s="454">
        <f>C62/C74</f>
        <v>0.18117436955383809</v>
      </c>
      <c r="D17" s="454">
        <f t="shared" ref="D17:H17" si="7">D62/D74</f>
        <v>8.7193257253673453E-2</v>
      </c>
      <c r="E17" s="454">
        <f>E62/E74</f>
        <v>0.38576555023923442</v>
      </c>
      <c r="F17" s="454">
        <f t="shared" si="7"/>
        <v>6.5255107027661033E-2</v>
      </c>
      <c r="G17" s="454">
        <f t="shared" si="7"/>
        <v>9.3157020872865273E-2</v>
      </c>
      <c r="H17" s="454">
        <f t="shared" si="7"/>
        <v>0.2809212396929201</v>
      </c>
      <c r="I17" s="475">
        <f t="shared" si="1"/>
        <v>0.18224442410669872</v>
      </c>
      <c r="J17" s="522">
        <f t="shared" si="2"/>
        <v>1.0700545528606331E-3</v>
      </c>
    </row>
    <row r="18" spans="1:10" ht="15" thickBot="1">
      <c r="B18" s="441" t="s">
        <v>277</v>
      </c>
      <c r="C18" s="785">
        <f>(1+C61/(C59+C60))*C59/(C73+C74-C65)</f>
        <v>0.12488643067984981</v>
      </c>
      <c r="D18" s="445">
        <f t="shared" ref="D18:H18" si="8">(1+D61/(D59+D60))*D59/(D73+D74-D65)</f>
        <v>6.2712614106078785E-2</v>
      </c>
      <c r="E18" s="445">
        <f>(1+E61/(E59+E60))*E59/(E73+E74-E65)</f>
        <v>0.16244509800873932</v>
      </c>
      <c r="F18" s="445">
        <f t="shared" si="8"/>
        <v>8.3735628556418001E-2</v>
      </c>
      <c r="G18" s="445">
        <f t="shared" si="8"/>
        <v>8.0745074145477158E-2</v>
      </c>
      <c r="H18" s="445">
        <f t="shared" si="8"/>
        <v>0.13814683497263733</v>
      </c>
      <c r="I18" s="476">
        <f t="shared" si="1"/>
        <v>0.1087786134115334</v>
      </c>
      <c r="J18" s="523">
        <f t="shared" si="2"/>
        <v>1.6107817268316407E-2</v>
      </c>
    </row>
    <row r="19" spans="1:10" ht="16" thickBot="1">
      <c r="B19" s="160" t="s">
        <v>278</v>
      </c>
      <c r="C19" s="165"/>
      <c r="D19" s="165"/>
      <c r="E19" s="165"/>
      <c r="F19" s="165"/>
      <c r="G19" s="165"/>
      <c r="H19" s="165"/>
      <c r="I19" s="477" t="str">
        <f t="shared" si="1"/>
        <v/>
      </c>
      <c r="J19" s="519"/>
    </row>
    <row r="20" spans="1:10" ht="13.5" thickBot="1">
      <c r="B20" s="159" t="s">
        <v>71</v>
      </c>
      <c r="C20" s="455">
        <f>C73/C70</f>
        <v>0.48947325400810382</v>
      </c>
      <c r="D20" s="455">
        <f t="shared" ref="D20:H20" si="9">D73/D70</f>
        <v>0.23772511848341232</v>
      </c>
      <c r="E20" s="455">
        <f>E73/E70</f>
        <v>0.47281963319699166</v>
      </c>
      <c r="F20" s="455">
        <f t="shared" si="9"/>
        <v>0.35637822558584847</v>
      </c>
      <c r="G20" s="455">
        <f t="shared" si="9"/>
        <v>0.34752973140446625</v>
      </c>
      <c r="H20" s="455">
        <f t="shared" si="9"/>
        <v>0.37962282635317168</v>
      </c>
      <c r="I20" s="478">
        <f>IFERROR(AVERAGE(C20:H20),"")</f>
        <v>0.38059146483866568</v>
      </c>
      <c r="J20" s="524">
        <f t="shared" si="2"/>
        <v>0.10888178916943814</v>
      </c>
    </row>
    <row r="21" spans="1:10" ht="13.5" thickBot="1">
      <c r="B21" s="443" t="s">
        <v>279</v>
      </c>
      <c r="C21" s="446">
        <f>(C73-C65)/C58</f>
        <v>3.0215984822688142</v>
      </c>
      <c r="D21" s="447">
        <f t="shared" ref="D21:H21" si="10">(D73-D65)/D58</f>
        <v>2.4900875979714154</v>
      </c>
      <c r="E21" s="447">
        <f>(E73-E65)/E58</f>
        <v>2.8243262311274164</v>
      </c>
      <c r="F21" s="447">
        <f t="shared" si="10"/>
        <v>3.5427361597574363</v>
      </c>
      <c r="G21" s="447">
        <f t="shared" si="10"/>
        <v>3.4297012302284711</v>
      </c>
      <c r="H21" s="447">
        <f t="shared" si="10"/>
        <v>1.8054421768707483</v>
      </c>
      <c r="I21" s="478">
        <f t="shared" si="1"/>
        <v>2.8523153130373835</v>
      </c>
      <c r="J21" s="525">
        <f t="shared" si="2"/>
        <v>0.16928316923143072</v>
      </c>
    </row>
    <row r="22" spans="1:10" ht="13.5" thickBot="1">
      <c r="B22" s="456" t="s">
        <v>280</v>
      </c>
      <c r="C22" s="468">
        <f t="shared" ref="C22:H22" si="11">-C58/C60</f>
        <v>-9.4428112080845192</v>
      </c>
      <c r="D22" s="468">
        <f t="shared" si="11"/>
        <v>-10.397890699904123</v>
      </c>
      <c r="E22" s="468">
        <f>-E58/E60</f>
        <v>-8.0079096045197744</v>
      </c>
      <c r="F22" s="468">
        <f t="shared" si="11"/>
        <v>-4.625</v>
      </c>
      <c r="G22" s="468">
        <f t="shared" si="11"/>
        <v>-7.5032967032967033</v>
      </c>
      <c r="H22" s="468">
        <f t="shared" si="11"/>
        <v>-13.008849557522124</v>
      </c>
      <c r="I22" s="479">
        <f t="shared" si="1"/>
        <v>-8.8309596288878733</v>
      </c>
      <c r="J22" s="526">
        <f t="shared" si="2"/>
        <v>0.6118515791966459</v>
      </c>
    </row>
    <row r="23" spans="1:10" ht="16" thickBot="1">
      <c r="B23" s="160" t="s">
        <v>281</v>
      </c>
      <c r="C23" s="165"/>
      <c r="D23" s="165"/>
      <c r="E23" s="165"/>
      <c r="F23" s="165"/>
      <c r="G23" s="165"/>
      <c r="H23" s="165"/>
      <c r="I23" s="480"/>
      <c r="J23" s="519"/>
    </row>
    <row r="24" spans="1:10" ht="13.5" thickBot="1">
      <c r="B24" s="448" t="s">
        <v>282</v>
      </c>
      <c r="C24" s="449">
        <f>C68/C72</f>
        <v>1.1778122157463866</v>
      </c>
      <c r="D24" s="449">
        <f t="shared" ref="D24:H24" si="12">D68/D72</f>
        <v>0.69606645492303931</v>
      </c>
      <c r="E24" s="449">
        <f t="shared" si="12"/>
        <v>1.5328334008917714</v>
      </c>
      <c r="F24" s="449">
        <f t="shared" si="12"/>
        <v>0.62888900850468299</v>
      </c>
      <c r="G24" s="449">
        <f t="shared" si="12"/>
        <v>1.6583698736136188</v>
      </c>
      <c r="H24" s="449">
        <f t="shared" si="12"/>
        <v>2.588838999358563</v>
      </c>
      <c r="I24" s="481">
        <f t="shared" si="1"/>
        <v>1.3804683255063439</v>
      </c>
      <c r="J24" s="527">
        <f t="shared" si="2"/>
        <v>0.20265610975995729</v>
      </c>
    </row>
    <row r="25" spans="1:10" ht="13.5" thickBot="1">
      <c r="B25" s="456" t="s">
        <v>283</v>
      </c>
      <c r="C25" s="457">
        <f>(C65+C66)/C72</f>
        <v>0.331907152242024</v>
      </c>
      <c r="D25" s="457">
        <f t="shared" ref="D25:H25" si="13">(D65+D66)/D72</f>
        <v>0.39750794038602494</v>
      </c>
      <c r="E25" s="457">
        <f t="shared" si="13"/>
        <v>0.50385083096878802</v>
      </c>
      <c r="F25" s="457">
        <f t="shared" si="13"/>
        <v>0.39686726235332115</v>
      </c>
      <c r="G25" s="457">
        <f t="shared" si="13"/>
        <v>0.6044622130513283</v>
      </c>
      <c r="H25" s="457">
        <f t="shared" si="13"/>
        <v>0.7793457344451572</v>
      </c>
      <c r="I25" s="479">
        <f t="shared" si="1"/>
        <v>0.50232352224110732</v>
      </c>
      <c r="J25" s="528">
        <f t="shared" si="2"/>
        <v>0.17041636999908333</v>
      </c>
    </row>
    <row r="26" spans="1:10" ht="16" thickBot="1">
      <c r="B26" s="160" t="s">
        <v>284</v>
      </c>
      <c r="C26" s="165"/>
      <c r="D26" s="165"/>
      <c r="E26" s="165"/>
      <c r="F26" s="165"/>
      <c r="G26" s="165"/>
      <c r="H26" s="165"/>
      <c r="I26" s="480" t="str">
        <f t="shared" si="1"/>
        <v/>
      </c>
      <c r="J26" s="519"/>
    </row>
    <row r="27" spans="1:10" ht="13.5" thickBot="1">
      <c r="B27" s="448" t="s">
        <v>285</v>
      </c>
      <c r="C27" s="458">
        <f>C57/C67</f>
        <v>2.3790116922484716</v>
      </c>
      <c r="D27" s="449">
        <f t="shared" ref="D27:H27" si="14">D57/D67</f>
        <v>9.1433915211970067</v>
      </c>
      <c r="E27" s="449">
        <f>E57/E67</f>
        <v>0.83034979423868316</v>
      </c>
      <c r="F27" s="449">
        <f t="shared" si="14"/>
        <v>5.0148270181219115</v>
      </c>
      <c r="G27" s="449">
        <f t="shared" si="14"/>
        <v>0.56001810159520304</v>
      </c>
      <c r="H27" s="449">
        <f t="shared" si="14"/>
        <v>0.6459311424100157</v>
      </c>
      <c r="I27" s="481">
        <f t="shared" si="1"/>
        <v>3.0955882116352158</v>
      </c>
      <c r="J27" s="527">
        <f t="shared" si="2"/>
        <v>0.71657651938674416</v>
      </c>
    </row>
    <row r="28" spans="1:10" ht="13.5" thickBot="1">
      <c r="B28" s="453" t="s">
        <v>286</v>
      </c>
      <c r="C28" s="457">
        <f>C56/C66</f>
        <v>11.961815561959654</v>
      </c>
      <c r="D28" s="457">
        <f t="shared" ref="D28:H28" si="15">D56/D66</f>
        <v>15.437994722955144</v>
      </c>
      <c r="E28" s="457">
        <f>E56/E66</f>
        <v>5.8127330083166049</v>
      </c>
      <c r="F28" s="457">
        <f t="shared" si="15"/>
        <v>13.659995399125833</v>
      </c>
      <c r="G28" s="457">
        <f>G56/G66</f>
        <v>7.5815876515986771</v>
      </c>
      <c r="H28" s="457">
        <f t="shared" si="15"/>
        <v>5.4330299089726921</v>
      </c>
      <c r="I28" s="478">
        <f>IFERROR(AVERAGE(C28:D28,F28,H28),"")</f>
        <v>11.623208898253331</v>
      </c>
      <c r="J28" s="528">
        <f t="shared" si="2"/>
        <v>0.33860666370632231</v>
      </c>
    </row>
    <row r="29" spans="1:10" ht="13.5" thickBot="1">
      <c r="A29" s="6" t="s">
        <v>287</v>
      </c>
      <c r="B29" s="443" t="s">
        <v>288</v>
      </c>
      <c r="C29" s="450">
        <f>C57/C71</f>
        <v>5.2515135422198611</v>
      </c>
      <c r="D29" s="447">
        <f t="shared" ref="D29:H29" si="16">D57/D71</f>
        <v>3.0490644490644492</v>
      </c>
      <c r="E29" s="447">
        <f>E57/E71</f>
        <v>1.2122258936617603</v>
      </c>
      <c r="F29" s="447">
        <f t="shared" si="16"/>
        <v>1.5452648203508377</v>
      </c>
      <c r="G29" s="447">
        <f t="shared" si="16"/>
        <v>0.96491228070175439</v>
      </c>
      <c r="H29" s="447">
        <f t="shared" si="16"/>
        <v>6.1835205992509366</v>
      </c>
      <c r="I29" s="478">
        <f>IFERROR(AVERAGE(C29:D29,F29,H29),"")</f>
        <v>4.0073408527215211</v>
      </c>
      <c r="J29" s="525">
        <f t="shared" si="2"/>
        <v>1.24417268949834</v>
      </c>
    </row>
    <row r="30" spans="1:10" ht="13.5" thickBot="1">
      <c r="B30" s="453" t="s">
        <v>289</v>
      </c>
      <c r="C30" s="457">
        <f>C56/C69</f>
        <v>1.2366918263978548</v>
      </c>
      <c r="D30" s="457">
        <f t="shared" ref="D30:H30" si="17">D56/D69</f>
        <v>0.49738598206316148</v>
      </c>
      <c r="E30" s="457">
        <f t="shared" si="17"/>
        <v>0.66788585738763673</v>
      </c>
      <c r="F30" s="457">
        <f t="shared" si="17"/>
        <v>0.3030009235966179</v>
      </c>
      <c r="G30" s="457">
        <f t="shared" si="17"/>
        <v>0.49927394177012996</v>
      </c>
      <c r="H30" s="457">
        <f t="shared" si="17"/>
        <v>1.0116222760290556</v>
      </c>
      <c r="I30" s="478">
        <f t="shared" si="1"/>
        <v>0.70264346787407606</v>
      </c>
      <c r="J30" s="528">
        <f t="shared" si="2"/>
        <v>0.53404835852377874</v>
      </c>
    </row>
    <row r="31" spans="1:10" ht="13.5" thickBot="1">
      <c r="B31" s="441" t="s">
        <v>290</v>
      </c>
      <c r="C31" s="459">
        <f>C56/C70</f>
        <v>0.38774390172701684</v>
      </c>
      <c r="D31" s="459">
        <f t="shared" ref="D31:H31" si="18">D56/D70</f>
        <v>0.44367772511848341</v>
      </c>
      <c r="E31" s="459">
        <f t="shared" si="18"/>
        <v>0.44572722874609666</v>
      </c>
      <c r="F31" s="459">
        <f t="shared" si="18"/>
        <v>0.27072125467311026</v>
      </c>
      <c r="G31" s="459">
        <f t="shared" si="18"/>
        <v>0.32777234919802667</v>
      </c>
      <c r="H31" s="459">
        <f t="shared" si="18"/>
        <v>0.51163360274308112</v>
      </c>
      <c r="I31" s="478">
        <f t="shared" si="1"/>
        <v>0.39787934370096917</v>
      </c>
      <c r="J31" s="529">
        <f t="shared" si="2"/>
        <v>1.013544197395233E-2</v>
      </c>
    </row>
    <row r="32" spans="1:10" ht="16" thickBot="1">
      <c r="B32" s="161" t="s">
        <v>112</v>
      </c>
      <c r="C32" s="165"/>
      <c r="D32" s="165"/>
      <c r="E32" s="165"/>
      <c r="F32" s="165"/>
      <c r="G32" s="165"/>
      <c r="H32" s="165"/>
      <c r="I32" s="482" t="str">
        <f t="shared" si="1"/>
        <v/>
      </c>
      <c r="J32" s="519"/>
    </row>
    <row r="33" spans="2:10" ht="15" thickBot="1">
      <c r="B33" s="159" t="s">
        <v>291</v>
      </c>
      <c r="C33" s="786">
        <f ca="1">C10/C62</f>
        <v>25.614484425560843</v>
      </c>
      <c r="D33" s="467">
        <f t="shared" ref="D33:H33" si="19">D10/D62</f>
        <v>10.032506415739949</v>
      </c>
      <c r="E33" s="467">
        <f t="shared" si="19"/>
        <v>20.313695090439275</v>
      </c>
      <c r="F33" s="467">
        <f t="shared" si="19"/>
        <v>23.70848155776072</v>
      </c>
      <c r="G33" s="467">
        <f t="shared" si="19"/>
        <v>22.346912794398474</v>
      </c>
      <c r="H33" s="467">
        <f t="shared" si="19"/>
        <v>22.981781376518217</v>
      </c>
      <c r="I33" s="481">
        <f t="shared" ca="1" si="1"/>
        <v>20.832976943402912</v>
      </c>
      <c r="J33" s="530">
        <f t="shared" ca="1" si="2"/>
        <v>4.7815074821579309</v>
      </c>
    </row>
    <row r="34" spans="2:10" ht="13.5" thickBot="1">
      <c r="B34" s="443" t="s">
        <v>287</v>
      </c>
      <c r="C34" s="451">
        <f ca="1">C10/C56</f>
        <v>4.5388070336686148</v>
      </c>
      <c r="D34" s="451">
        <f t="shared" ref="D34:H34" si="20">D10/D56</f>
        <v>1.002221842420099</v>
      </c>
      <c r="E34" s="451">
        <f t="shared" si="20"/>
        <v>3.8785337214465438</v>
      </c>
      <c r="F34" s="451">
        <f t="shared" si="20"/>
        <v>2.1324856854159648</v>
      </c>
      <c r="G34" s="451">
        <f t="shared" si="20"/>
        <v>2.5526794154002763</v>
      </c>
      <c r="H34" s="451">
        <f t="shared" si="20"/>
        <v>5.4346577309717565</v>
      </c>
      <c r="I34" s="478">
        <f t="shared" ca="1" si="1"/>
        <v>3.2565642382205429</v>
      </c>
      <c r="J34" s="531">
        <f t="shared" ca="1" si="2"/>
        <v>1.282242795448072</v>
      </c>
    </row>
    <row r="35" spans="2:10" ht="13.5" thickBot="1">
      <c r="B35" s="453" t="s">
        <v>292</v>
      </c>
      <c r="C35" s="469">
        <f ca="1">C10/C74</f>
        <v>4.6406880672475905</v>
      </c>
      <c r="D35" s="469">
        <f t="shared" ref="D35:H35" si="21">D10/D74</f>
        <v>0.87476691280674279</v>
      </c>
      <c r="E35" s="469">
        <f>E10/E74</f>
        <v>7.8363237639553427</v>
      </c>
      <c r="F35" s="469">
        <f t="shared" si="21"/>
        <v>1.5470995015150035</v>
      </c>
      <c r="G35" s="469">
        <f t="shared" si="21"/>
        <v>2.0817718216318783</v>
      </c>
      <c r="H35" s="469">
        <f t="shared" si="21"/>
        <v>6.4560705146431614</v>
      </c>
      <c r="I35" s="478">
        <f t="shared" ca="1" si="1"/>
        <v>3.9061200969666197</v>
      </c>
      <c r="J35" s="532">
        <f t="shared" ca="1" si="2"/>
        <v>0.73456797028097087</v>
      </c>
    </row>
    <row r="36" spans="2:10" ht="13.5" thickBot="1">
      <c r="B36" s="443" t="s">
        <v>293</v>
      </c>
      <c r="C36" s="451">
        <f ca="1">(C73+C10-C65)/C56</f>
        <v>5.7858708173221709</v>
      </c>
      <c r="D36" s="451">
        <f t="shared" ref="D36:G36" si="22">(D73+D10-D65)/D56</f>
        <v>1.4637668774568451</v>
      </c>
      <c r="E36" s="451">
        <f>(E73+E10-E65)/E56</f>
        <v>4.866051605900636</v>
      </c>
      <c r="F36" s="451">
        <f t="shared" si="22"/>
        <v>3.2737622094981473</v>
      </c>
      <c r="G36" s="451">
        <f t="shared" si="22"/>
        <v>3.4040572965898348</v>
      </c>
      <c r="H36" s="451">
        <f>(H73+H10-H65)/H56</f>
        <v>6.0698898994734325</v>
      </c>
      <c r="I36" s="478">
        <f t="shared" ca="1" si="1"/>
        <v>4.1438997843735104</v>
      </c>
      <c r="J36" s="531">
        <f t="shared" ca="1" si="2"/>
        <v>1.6419710329486605</v>
      </c>
    </row>
    <row r="37" spans="2:10" ht="13.5" thickBot="1">
      <c r="B37" s="456" t="s">
        <v>294</v>
      </c>
      <c r="C37" s="466">
        <f ca="1">(C73+C10-C65)/C58</f>
        <v>14.018993021355257</v>
      </c>
      <c r="D37" s="466">
        <f t="shared" ref="D37:H37" si="23">(D73+D10-D65)/D58</f>
        <v>7.8971876440756112</v>
      </c>
      <c r="E37" s="466">
        <f>(E73+E10-E65)/E58</f>
        <v>13.917031183857768</v>
      </c>
      <c r="F37" s="466">
        <f t="shared" si="23"/>
        <v>10.162371268754248</v>
      </c>
      <c r="G37" s="466">
        <f t="shared" si="23"/>
        <v>13.71294669009959</v>
      </c>
      <c r="H37" s="466">
        <f t="shared" si="23"/>
        <v>17.251700680272108</v>
      </c>
      <c r="I37" s="479">
        <f t="shared" ca="1" si="1"/>
        <v>12.826705081402432</v>
      </c>
      <c r="J37" s="533">
        <f t="shared" ca="1" si="2"/>
        <v>1.1922879399528252</v>
      </c>
    </row>
    <row r="38" spans="2:10" ht="16" thickBot="1">
      <c r="B38" s="161" t="s">
        <v>295</v>
      </c>
      <c r="C38" s="165"/>
      <c r="D38" s="165"/>
      <c r="E38" s="165"/>
      <c r="F38" s="165"/>
      <c r="G38" s="165"/>
      <c r="H38" s="165"/>
      <c r="I38" s="483" t="str">
        <f t="shared" si="1"/>
        <v/>
      </c>
      <c r="J38" s="519"/>
    </row>
    <row r="39" spans="2:10" ht="13.5" thickBot="1">
      <c r="B39" s="159" t="s">
        <v>47</v>
      </c>
      <c r="C39" s="470">
        <f>OP!M20</f>
        <v>0.90844992839043737</v>
      </c>
      <c r="D39" s="662">
        <v>0.89300000000000002</v>
      </c>
      <c r="E39" s="470">
        <v>1</v>
      </c>
      <c r="F39" s="470">
        <v>0.39879999999999999</v>
      </c>
      <c r="G39" s="470">
        <v>0.76390000000000002</v>
      </c>
      <c r="H39" s="470">
        <v>0.69020000000000004</v>
      </c>
      <c r="I39" s="474">
        <f t="shared" si="1"/>
        <v>0.77572498806507284</v>
      </c>
      <c r="J39" s="534">
        <f t="shared" si="2"/>
        <v>0.13272494032536453</v>
      </c>
    </row>
    <row r="40" spans="2:10" ht="13.5" thickBot="1">
      <c r="B40" s="460" t="s">
        <v>296</v>
      </c>
      <c r="C40" s="461">
        <f ca="1">OP!M22</f>
        <v>0.87339999999999995</v>
      </c>
      <c r="D40" s="461">
        <v>0.81</v>
      </c>
      <c r="E40" s="461">
        <v>0.36</v>
      </c>
      <c r="F40" s="461">
        <v>0.98</v>
      </c>
      <c r="G40" s="461">
        <v>0.5</v>
      </c>
      <c r="H40" s="461">
        <v>0.75</v>
      </c>
      <c r="I40" s="484">
        <f t="shared" ca="1" si="1"/>
        <v>0.71223333333333338</v>
      </c>
      <c r="J40" s="535">
        <f t="shared" ca="1" si="2"/>
        <v>0.16116666666666657</v>
      </c>
    </row>
    <row r="41" spans="2:10" ht="13.5" thickBot="1">
      <c r="B41" s="456" t="s">
        <v>297</v>
      </c>
      <c r="C41" s="464">
        <f ca="1">OP!M32</f>
        <v>1.4459902970696404E-2</v>
      </c>
      <c r="D41" s="465">
        <v>3.1E-2</v>
      </c>
      <c r="E41" s="465">
        <v>7.4000000000000003E-3</v>
      </c>
      <c r="F41" s="465">
        <v>1.32E-2</v>
      </c>
      <c r="G41" s="465">
        <v>3.5700000000000003E-2</v>
      </c>
      <c r="H41" s="465">
        <v>1.7999999999999999E-2</v>
      </c>
      <c r="I41" s="475">
        <f ca="1">IFERROR(AVERAGE(C41:H41),"")</f>
        <v>1.99599838284494E-2</v>
      </c>
      <c r="J41" s="536">
        <f t="shared" ca="1" si="2"/>
        <v>5.5000808577529963E-3</v>
      </c>
    </row>
    <row r="42" spans="2:10" ht="16" thickBot="1">
      <c r="B42" s="161" t="s">
        <v>298</v>
      </c>
      <c r="C42" s="165"/>
      <c r="D42" s="165"/>
      <c r="E42" s="165"/>
      <c r="F42" s="165"/>
      <c r="G42" s="165"/>
      <c r="H42" s="165"/>
      <c r="I42" s="485"/>
      <c r="J42" s="519"/>
    </row>
    <row r="43" spans="2:10" ht="13.5" thickBot="1">
      <c r="B43" s="163" t="s">
        <v>299</v>
      </c>
      <c r="C43" s="574">
        <f>234.38/241.5-1</f>
        <v>-2.9482401656314772E-2</v>
      </c>
      <c r="D43" s="574">
        <f>59.56/58.99-1</f>
        <v>9.6626546872351504E-3</v>
      </c>
      <c r="E43" s="574">
        <f>120.43/159.71-1</f>
        <v>-0.2459457767203056</v>
      </c>
      <c r="F43" s="574">
        <f>57.28/59.32-1</f>
        <v>-3.4389750505731564E-2</v>
      </c>
      <c r="G43" s="574">
        <f>112.65/172.2-1</f>
        <v>-0.34581881533101033</v>
      </c>
      <c r="H43" s="574">
        <f>40.77/58.72-1</f>
        <v>-0.30568801089918252</v>
      </c>
      <c r="I43" s="474">
        <f>IFERROR(AVERAGE(C43:H43),"")</f>
        <v>-0.15861035007088495</v>
      </c>
      <c r="J43" s="512">
        <f>SQRT((C43-I43)^2)</f>
        <v>0.12912794841457018</v>
      </c>
    </row>
    <row r="44" spans="2:10" ht="13.5" thickBot="1">
      <c r="B44" s="443" t="s">
        <v>300</v>
      </c>
      <c r="C44" s="574">
        <f>234.38/221.78-1</f>
        <v>5.6813057985390936E-2</v>
      </c>
      <c r="D44" s="574">
        <f>59.56/46.09-1</f>
        <v>0.29225428509438056</v>
      </c>
      <c r="E44" s="574">
        <f>120.43/204.39-1</f>
        <v>-0.4107833064239933</v>
      </c>
      <c r="F44" s="574">
        <f>57.28/60.29-1</f>
        <v>-4.992536075634435E-2</v>
      </c>
      <c r="G44" s="574">
        <f>112.65/204.4-1</f>
        <v>-0.44887475538160471</v>
      </c>
      <c r="H44" s="574">
        <f>40.77/73.53-1</f>
        <v>-0.44553243574051404</v>
      </c>
      <c r="I44" s="474">
        <f t="shared" ref="I44:I47" si="24">IFERROR(AVERAGE(C44:H44),"")</f>
        <v>-0.16767475253711414</v>
      </c>
      <c r="J44" s="537">
        <f>SQRT((C44-I44)^2)</f>
        <v>0.22448781052250508</v>
      </c>
    </row>
    <row r="45" spans="2:10" ht="13.5" thickBot="1">
      <c r="B45" s="164" t="s">
        <v>301</v>
      </c>
      <c r="C45" s="602">
        <v>234.38</v>
      </c>
      <c r="D45" s="602">
        <v>59.56</v>
      </c>
      <c r="E45" s="602">
        <f>120.43</f>
        <v>120.43</v>
      </c>
      <c r="F45" s="602">
        <v>57.28</v>
      </c>
      <c r="G45" s="602">
        <v>113</v>
      </c>
      <c r="H45" s="602">
        <v>40.770000000000003</v>
      </c>
      <c r="I45" s="914">
        <f t="shared" si="24"/>
        <v>104.23666666666666</v>
      </c>
      <c r="J45" s="538">
        <f>SQRT((C45-I45)^2)</f>
        <v>130.14333333333332</v>
      </c>
    </row>
    <row r="46" spans="2:10" ht="13.5" thickBot="1">
      <c r="B46" s="443" t="s">
        <v>302</v>
      </c>
      <c r="C46" s="913">
        <v>291.47000000000003</v>
      </c>
      <c r="D46" s="913">
        <v>59.4</v>
      </c>
      <c r="E46" s="913">
        <v>136.66999999999999</v>
      </c>
      <c r="F46" s="913">
        <v>73</v>
      </c>
      <c r="G46" s="913">
        <f>138.6*1.07</f>
        <v>148.30199999999999</v>
      </c>
      <c r="H46" s="913">
        <v>48.71</v>
      </c>
      <c r="I46" s="914">
        <f>IFERROR(AVERAGE(C46:H46),"")</f>
        <v>126.25866666666667</v>
      </c>
      <c r="J46" s="539">
        <f t="shared" si="2"/>
        <v>165.21133333333336</v>
      </c>
    </row>
    <row r="47" spans="2:10" ht="13.5" thickBot="1">
      <c r="B47" s="462" t="s">
        <v>303</v>
      </c>
      <c r="C47" s="463">
        <f>C46/C45-1</f>
        <v>0.24357880365218887</v>
      </c>
      <c r="D47" s="463">
        <f t="shared" ref="D47:H47" si="25">D46/D45-1</f>
        <v>-2.686366689053088E-3</v>
      </c>
      <c r="E47" s="463">
        <f t="shared" si="25"/>
        <v>0.13485012040189304</v>
      </c>
      <c r="F47" s="463">
        <f t="shared" si="25"/>
        <v>0.2744413407821229</v>
      </c>
      <c r="G47" s="463">
        <f t="shared" si="25"/>
        <v>0.31240707964601766</v>
      </c>
      <c r="H47" s="463">
        <f t="shared" si="25"/>
        <v>0.19475104243316155</v>
      </c>
      <c r="I47" s="486">
        <f t="shared" si="24"/>
        <v>0.19289033670438849</v>
      </c>
      <c r="J47" s="540">
        <f t="shared" si="2"/>
        <v>5.0688466947800381E-2</v>
      </c>
    </row>
    <row r="48" spans="2:10" ht="16" thickBot="1">
      <c r="B48" s="161" t="s">
        <v>304</v>
      </c>
      <c r="C48" s="161"/>
      <c r="D48" s="161"/>
      <c r="E48" s="161"/>
      <c r="F48" s="161"/>
      <c r="G48" s="161"/>
      <c r="H48" s="161"/>
      <c r="I48" s="161" t="str">
        <f>IFERROR(AVERAGE(C48:H48),"")</f>
        <v/>
      </c>
      <c r="J48" s="511"/>
    </row>
    <row r="49" spans="2:10" ht="13.5" thickBot="1">
      <c r="B49" s="163" t="s">
        <v>305</v>
      </c>
      <c r="C49" s="542">
        <f>(Inputs!C59-Inputs!F59)/Inputs!F59</f>
        <v>8.0671083062208535E-2</v>
      </c>
      <c r="D49" s="387">
        <f>2079/1695-1</f>
        <v>0.22654867256637168</v>
      </c>
      <c r="E49" s="387">
        <f>4105/5057.15947-1</f>
        <v>-0.18827950268295568</v>
      </c>
      <c r="F49" s="387">
        <f>13265/10891-1</f>
        <v>0.21797814709393082</v>
      </c>
      <c r="G49" s="387">
        <f>1727/1999-1</f>
        <v>-0.13606803401700851</v>
      </c>
      <c r="H49" s="387">
        <f>647/817-1</f>
        <v>-0.20807833537331699</v>
      </c>
      <c r="I49" s="486">
        <f>IFERROR(AVERAGE(C49:H49),"")</f>
        <v>-1.2046615584616893E-3</v>
      </c>
      <c r="J49" s="512">
        <f t="shared" si="2"/>
        <v>8.1875744620670224E-2</v>
      </c>
    </row>
    <row r="50" spans="2:10" ht="13.5" thickBot="1">
      <c r="B50" s="513" t="s">
        <v>306</v>
      </c>
      <c r="C50" s="514">
        <f t="shared" ref="C50:H50" si="26">C63/C11</f>
        <v>0</v>
      </c>
      <c r="D50" s="514">
        <f t="shared" si="26"/>
        <v>0</v>
      </c>
      <c r="E50" s="514">
        <f t="shared" si="26"/>
        <v>0</v>
      </c>
      <c r="F50" s="514">
        <f t="shared" si="26"/>
        <v>0</v>
      </c>
      <c r="G50" s="514">
        <f t="shared" si="26"/>
        <v>0</v>
      </c>
      <c r="H50" s="514">
        <f t="shared" si="26"/>
        <v>0</v>
      </c>
      <c r="I50" s="486">
        <f>IFERROR(AVERAGE(C50:H50),"")</f>
        <v>0</v>
      </c>
      <c r="J50" s="515">
        <f t="shared" si="2"/>
        <v>0</v>
      </c>
    </row>
    <row r="51" spans="2:10" ht="13" thickBot="1"/>
    <row r="52" spans="2:10" ht="56.25" customHeight="1" thickBot="1">
      <c r="B52" s="434" t="s">
        <v>307</v>
      </c>
      <c r="C52" s="333" t="e" vm="1">
        <f>OP!E2</f>
        <v>#VALUE!</v>
      </c>
      <c r="D52" s="334" t="e" vm="2">
        <f>D8</f>
        <v>#VALUE!</v>
      </c>
      <c r="E52" s="335" t="e" vm="3">
        <f>E8</f>
        <v>#VALUE!</v>
      </c>
      <c r="F52" s="336" t="e" vm="5">
        <f>F8</f>
        <v>#VALUE!</v>
      </c>
      <c r="G52" s="337" t="e" vm="4">
        <f>G8</f>
        <v>#VALUE!</v>
      </c>
      <c r="H52" s="572" t="e" vm="6">
        <f>H8</f>
        <v>#VALUE!</v>
      </c>
    </row>
    <row r="53" spans="2:10" ht="13.5" thickBot="1">
      <c r="B53" s="153" t="s">
        <v>308</v>
      </c>
      <c r="C53" s="154"/>
      <c r="D53" s="154"/>
      <c r="E53" s="154"/>
      <c r="F53" s="154"/>
      <c r="G53" s="154"/>
      <c r="H53" s="155"/>
    </row>
    <row r="54" spans="2:10" ht="13.5" thickBot="1">
      <c r="B54" s="148" t="s">
        <v>309</v>
      </c>
      <c r="C54" s="169">
        <f>'Fin. Data'!E5</f>
        <v>8614.9</v>
      </c>
      <c r="D54" s="143">
        <v>11724</v>
      </c>
      <c r="E54" s="143">
        <v>17614</v>
      </c>
      <c r="F54" s="143">
        <v>46881</v>
      </c>
      <c r="G54" s="143">
        <v>10464</v>
      </c>
      <c r="H54" s="151">
        <v>3410</v>
      </c>
    </row>
    <row r="55" spans="2:10" ht="13.5" thickBot="1">
      <c r="B55" s="148" t="s">
        <v>310</v>
      </c>
      <c r="C55" s="169">
        <f>'Fin. Data'!C5</f>
        <v>9452.6</v>
      </c>
      <c r="D55" s="143">
        <v>10701</v>
      </c>
      <c r="E55" s="143">
        <v>20555</v>
      </c>
      <c r="F55" s="143">
        <v>57786</v>
      </c>
      <c r="G55" s="143">
        <v>13249</v>
      </c>
      <c r="H55" s="151">
        <v>4228</v>
      </c>
    </row>
    <row r="56" spans="2:10" ht="13.5" thickBot="1">
      <c r="B56" s="148" t="s">
        <v>269</v>
      </c>
      <c r="C56" s="169">
        <f>'Fin. Data'!B5</f>
        <v>9961.7999999999993</v>
      </c>
      <c r="D56" s="143">
        <v>11702</v>
      </c>
      <c r="E56" s="143">
        <v>20269</v>
      </c>
      <c r="F56" s="143">
        <v>59380</v>
      </c>
      <c r="G56" s="143">
        <v>13753</v>
      </c>
      <c r="H56" s="151">
        <v>4178</v>
      </c>
    </row>
    <row r="57" spans="2:10" ht="13.5" thickBot="1">
      <c r="B57" s="148" t="s">
        <v>311</v>
      </c>
      <c r="C57" s="169">
        <f>'Fin. Data'!B5-'Fin. Data'!B7</f>
        <v>4944.2999999999993</v>
      </c>
      <c r="D57" s="143">
        <v>7333</v>
      </c>
      <c r="E57" s="143">
        <v>8071</v>
      </c>
      <c r="F57" s="143">
        <v>27396</v>
      </c>
      <c r="G57" s="143">
        <v>4950</v>
      </c>
      <c r="H57" s="151">
        <v>1651</v>
      </c>
    </row>
    <row r="58" spans="2:10" ht="13.5" thickBot="1">
      <c r="B58" s="148" t="s">
        <v>54</v>
      </c>
      <c r="C58" s="169">
        <f>'Fin. Data'!B19</f>
        <v>4111.3999999999996</v>
      </c>
      <c r="D58" s="143">
        <v>2169</v>
      </c>
      <c r="E58" s="143">
        <v>7087</v>
      </c>
      <c r="F58" s="143">
        <v>19129</v>
      </c>
      <c r="G58" s="143">
        <v>3414</v>
      </c>
      <c r="H58" s="151">
        <v>1470</v>
      </c>
    </row>
    <row r="59" spans="2:10" ht="13.5" thickBot="1">
      <c r="B59" s="148" t="s">
        <v>312</v>
      </c>
      <c r="C59" s="433">
        <f>'Fin. Data'!B11</f>
        <v>3169.7</v>
      </c>
      <c r="D59" s="143">
        <v>1438</v>
      </c>
      <c r="E59" s="143">
        <v>6001</v>
      </c>
      <c r="F59" s="143">
        <v>14260</v>
      </c>
      <c r="G59" s="143">
        <v>2917</v>
      </c>
      <c r="H59" s="151">
        <v>1101</v>
      </c>
    </row>
    <row r="60" spans="2:10" ht="13.5" thickBot="1">
      <c r="B60" s="148" t="s">
        <v>313</v>
      </c>
      <c r="C60" s="433">
        <f>-'Fin. Data'!B14</f>
        <v>435.4</v>
      </c>
      <c r="D60" s="143">
        <v>208.6</v>
      </c>
      <c r="E60" s="143">
        <v>885</v>
      </c>
      <c r="F60" s="332">
        <v>4136</v>
      </c>
      <c r="G60" s="143">
        <v>455</v>
      </c>
      <c r="H60" s="151">
        <v>113</v>
      </c>
    </row>
    <row r="61" spans="2:10" ht="13.5" thickBot="1">
      <c r="B61" s="148" t="s">
        <v>314</v>
      </c>
      <c r="C61" s="433">
        <f>'Fin. Data'!B21</f>
        <v>-456.6</v>
      </c>
      <c r="D61" s="143">
        <v>-296</v>
      </c>
      <c r="E61" s="143">
        <v>-1285</v>
      </c>
      <c r="F61" s="143">
        <v>-2234</v>
      </c>
      <c r="G61" s="143">
        <v>-705</v>
      </c>
      <c r="H61" s="151">
        <v>-274</v>
      </c>
    </row>
    <row r="62" spans="2:10" ht="13.5" thickBot="1">
      <c r="B62" s="148" t="s">
        <v>67</v>
      </c>
      <c r="C62" s="433">
        <f>'Fin. Data'!B23</f>
        <v>1765.2</v>
      </c>
      <c r="D62" s="143">
        <v>1169</v>
      </c>
      <c r="E62" s="143">
        <v>3870</v>
      </c>
      <c r="F62" s="143">
        <v>5341</v>
      </c>
      <c r="G62" s="143">
        <v>1571</v>
      </c>
      <c r="H62" s="151">
        <v>988</v>
      </c>
    </row>
    <row r="63" spans="2:10" ht="13.5" hidden="1" thickBot="1">
      <c r="B63" s="148" t="s">
        <v>315</v>
      </c>
      <c r="C63" s="433"/>
      <c r="D63" s="143"/>
      <c r="E63" s="143"/>
      <c r="F63" s="143"/>
      <c r="G63" s="143"/>
      <c r="H63" s="151"/>
    </row>
    <row r="64" spans="2:10" ht="13.5" thickBot="1">
      <c r="B64" s="156" t="s">
        <v>316</v>
      </c>
      <c r="C64" s="157"/>
      <c r="D64" s="157"/>
      <c r="E64" s="157"/>
      <c r="F64" s="157"/>
      <c r="G64" s="157"/>
      <c r="H64" s="158"/>
    </row>
    <row r="65" spans="2:8" ht="13.5" thickBot="1">
      <c r="B65" s="148" t="s">
        <v>317</v>
      </c>
      <c r="C65" s="169">
        <f>'Fin. Data'!B39</f>
        <v>152.4</v>
      </c>
      <c r="D65" s="143">
        <v>869</v>
      </c>
      <c r="E65" s="143">
        <v>1485</v>
      </c>
      <c r="F65" s="143">
        <v>10399</v>
      </c>
      <c r="G65" s="143">
        <v>2873</v>
      </c>
      <c r="H65" s="151">
        <v>446</v>
      </c>
    </row>
    <row r="66" spans="2:8" ht="13.5" thickBot="1">
      <c r="B66" s="148" t="s">
        <v>318</v>
      </c>
      <c r="C66" s="169">
        <f>'Fin. Data'!B40</f>
        <v>832.8</v>
      </c>
      <c r="D66" s="143">
        <v>758</v>
      </c>
      <c r="E66" s="143">
        <v>3487</v>
      </c>
      <c r="F66" s="143">
        <v>4347</v>
      </c>
      <c r="G66" s="143">
        <v>1814</v>
      </c>
      <c r="H66" s="151">
        <v>769</v>
      </c>
    </row>
    <row r="67" spans="2:8" ht="13.5" thickBot="1">
      <c r="B67" s="148" t="s">
        <v>319</v>
      </c>
      <c r="C67" s="169">
        <f>'Fin. Data'!B41</f>
        <v>2078.3000000000002</v>
      </c>
      <c r="D67" s="143">
        <v>802</v>
      </c>
      <c r="E67" s="143">
        <v>9720</v>
      </c>
      <c r="F67" s="143">
        <v>5463</v>
      </c>
      <c r="G67" s="143">
        <v>8839</v>
      </c>
      <c r="H67" s="151">
        <v>2556</v>
      </c>
    </row>
    <row r="68" spans="2:8" ht="13.5" thickBot="1">
      <c r="B68" s="148" t="s">
        <v>320</v>
      </c>
      <c r="C68" s="169">
        <f>Inputs!C27</f>
        <v>3496.1</v>
      </c>
      <c r="D68" s="143">
        <v>2849</v>
      </c>
      <c r="E68" s="143">
        <v>15126</v>
      </c>
      <c r="F68" s="143">
        <v>23367</v>
      </c>
      <c r="G68" s="143">
        <v>12859</v>
      </c>
      <c r="H68" s="151">
        <v>4036</v>
      </c>
    </row>
    <row r="69" spans="2:8" ht="13.5" thickBot="1">
      <c r="B69" s="148" t="s">
        <v>321</v>
      </c>
      <c r="C69" s="169">
        <f>'Fin. Data'!B42</f>
        <v>8055.2</v>
      </c>
      <c r="D69" s="143">
        <v>23527</v>
      </c>
      <c r="E69" s="143">
        <v>30348</v>
      </c>
      <c r="F69" s="143">
        <v>195973</v>
      </c>
      <c r="G69" s="143">
        <v>27546</v>
      </c>
      <c r="H69" s="151">
        <v>4130</v>
      </c>
    </row>
    <row r="70" spans="2:8" ht="13.5" thickBot="1">
      <c r="B70" s="148" t="s">
        <v>43</v>
      </c>
      <c r="C70" s="169">
        <f>'Fin. Data'!B44</f>
        <v>25691.7</v>
      </c>
      <c r="D70" s="143">
        <v>26375</v>
      </c>
      <c r="E70" s="143">
        <v>45474</v>
      </c>
      <c r="F70" s="143">
        <v>219340</v>
      </c>
      <c r="G70" s="143">
        <v>41959</v>
      </c>
      <c r="H70" s="151">
        <v>8166</v>
      </c>
    </row>
    <row r="71" spans="2:8" ht="13.5" thickBot="1">
      <c r="B71" s="148" t="s">
        <v>322</v>
      </c>
      <c r="C71" s="169">
        <f>Inputs!C43</f>
        <v>941.5</v>
      </c>
      <c r="D71" s="143">
        <v>2405</v>
      </c>
      <c r="E71" s="143">
        <f>6354+304</f>
        <v>6658</v>
      </c>
      <c r="F71" s="143">
        <v>17729</v>
      </c>
      <c r="G71" s="143">
        <f>3461+1556+113</f>
        <v>5130</v>
      </c>
      <c r="H71" s="151">
        <v>267</v>
      </c>
    </row>
    <row r="72" spans="2:8" ht="13.5" thickBot="1">
      <c r="B72" s="148" t="s">
        <v>323</v>
      </c>
      <c r="C72" s="169">
        <f>Inputs!C42</f>
        <v>2968.3</v>
      </c>
      <c r="D72" s="143">
        <v>4093</v>
      </c>
      <c r="E72" s="143">
        <v>9868</v>
      </c>
      <c r="F72" s="143">
        <v>37156</v>
      </c>
      <c r="G72" s="143">
        <v>7754</v>
      </c>
      <c r="H72" s="151">
        <v>1559</v>
      </c>
    </row>
    <row r="73" spans="2:8" ht="13.5" thickBot="1">
      <c r="B73" s="148" t="s">
        <v>324</v>
      </c>
      <c r="C73" s="169">
        <f>'Fin. Data'!B58</f>
        <v>12575.400000000001</v>
      </c>
      <c r="D73" s="143">
        <v>6270</v>
      </c>
      <c r="E73" s="143">
        <v>21501</v>
      </c>
      <c r="F73" s="143">
        <v>78168</v>
      </c>
      <c r="G73" s="143">
        <v>14582</v>
      </c>
      <c r="H73" s="151">
        <v>3100</v>
      </c>
    </row>
    <row r="74" spans="2:8" ht="13.5" thickBot="1">
      <c r="B74" s="149" t="s">
        <v>325</v>
      </c>
      <c r="C74" s="170">
        <f>'Fin. Data'!B64</f>
        <v>9743.1</v>
      </c>
      <c r="D74" s="150">
        <v>13407</v>
      </c>
      <c r="E74" s="150">
        <v>10032</v>
      </c>
      <c r="F74" s="150">
        <v>81848</v>
      </c>
      <c r="G74" s="150">
        <v>16864</v>
      </c>
      <c r="H74" s="152">
        <v>3517</v>
      </c>
    </row>
    <row r="77" spans="2:8" ht="20">
      <c r="E77" s="915"/>
    </row>
    <row r="78" spans="2:8" ht="20">
      <c r="E78" s="915"/>
    </row>
    <row r="79" spans="2:8" ht="20">
      <c r="E79" s="915"/>
    </row>
    <row r="80" spans="2:8" ht="20">
      <c r="E80" s="915"/>
    </row>
    <row r="81" spans="5:5" ht="20">
      <c r="E81" s="916"/>
    </row>
  </sheetData>
  <mergeCells count="13">
    <mergeCell ref="D6:H6"/>
    <mergeCell ref="D4:H4"/>
    <mergeCell ref="D1:H1"/>
    <mergeCell ref="D2:H2"/>
    <mergeCell ref="D3:H3"/>
    <mergeCell ref="D5:H5"/>
    <mergeCell ref="L12:L13"/>
    <mergeCell ref="M12:N13"/>
    <mergeCell ref="L9:N9"/>
    <mergeCell ref="L10:L11"/>
    <mergeCell ref="L14:L15"/>
    <mergeCell ref="M14:N15"/>
    <mergeCell ref="M10:N11"/>
  </mergeCells>
  <phoneticPr fontId="80" type="noConversion"/>
  <pageMargins left="0.7" right="0.7" top="0.75" bottom="0.75" header="0.3" footer="0.3"/>
  <pageSetup orientation="portrait" r:id="rId1"/>
  <ignoredErrors>
    <ignoredError sqref="J46" evalError="1"/>
  </ignoredError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T90"/>
  <sheetViews>
    <sheetView showGridLines="0" topLeftCell="K1" zoomScale="73" zoomScaleNormal="80" workbookViewId="0">
      <selection activeCell="N21" sqref="N21"/>
    </sheetView>
  </sheetViews>
  <sheetFormatPr defaultColWidth="11.453125" defaultRowHeight="12.5"/>
  <cols>
    <col min="1" max="1" width="1.26953125" style="63" customWidth="1"/>
    <col min="2" max="2" width="59.453125" style="63" customWidth="1"/>
    <col min="3" max="4" width="12.7265625" style="63" customWidth="1"/>
    <col min="5" max="5" width="11.453125" style="63" bestFit="1" customWidth="1"/>
    <col min="6" max="6" width="11" style="63" customWidth="1"/>
    <col min="7" max="7" width="10.453125" style="63" customWidth="1"/>
    <col min="8" max="8" width="20.26953125" style="426" customWidth="1"/>
    <col min="9" max="9" width="22.453125" style="426" customWidth="1"/>
    <col min="10" max="10" width="64.26953125" style="63" customWidth="1"/>
    <col min="11" max="11" width="34.7265625" style="63" bestFit="1" customWidth="1"/>
    <col min="12" max="12" width="21.26953125" style="63" customWidth="1"/>
    <col min="13" max="13" width="19.7265625" style="63" customWidth="1"/>
    <col min="14" max="14" width="20.7265625" style="63" bestFit="1" customWidth="1"/>
    <col min="15" max="15" width="19.7265625" style="63" bestFit="1" customWidth="1"/>
    <col min="16" max="16" width="19.7265625" style="63" customWidth="1"/>
    <col min="17" max="17" width="22.26953125" style="63" bestFit="1" customWidth="1"/>
    <col min="18" max="18" width="11.453125" style="63" customWidth="1"/>
    <col min="19" max="19" width="10.453125" style="63" customWidth="1"/>
    <col min="20" max="20" width="12.26953125" style="63" bestFit="1" customWidth="1"/>
    <col min="21" max="21" width="15.453125" style="63" customWidth="1"/>
    <col min="22" max="23" width="18.26953125" style="63" bestFit="1" customWidth="1"/>
    <col min="24" max="24" width="17.26953125" style="63" bestFit="1" customWidth="1"/>
    <col min="25" max="30" width="11.453125" style="63"/>
    <col min="31" max="31" width="13" style="63" bestFit="1" customWidth="1"/>
    <col min="32" max="16384" width="11.453125" style="63"/>
  </cols>
  <sheetData>
    <row r="1" spans="1:20" ht="13">
      <c r="B1" s="186" t="s">
        <v>326</v>
      </c>
      <c r="C1" s="67"/>
      <c r="D1" s="67"/>
      <c r="E1" s="67"/>
      <c r="F1" s="67"/>
      <c r="G1" s="67"/>
      <c r="H1" s="421"/>
      <c r="I1" s="421"/>
      <c r="J1" s="67"/>
      <c r="T1" s="74" t="s">
        <v>327</v>
      </c>
    </row>
    <row r="2" spans="1:20" ht="13.5" thickBot="1">
      <c r="B2" s="70" t="s">
        <v>328</v>
      </c>
      <c r="C2" s="187" t="s">
        <v>329</v>
      </c>
      <c r="D2" s="67"/>
      <c r="E2" s="67"/>
      <c r="F2" s="67"/>
      <c r="G2" s="67"/>
      <c r="H2" s="421"/>
      <c r="I2" s="421"/>
      <c r="J2" s="67"/>
      <c r="T2" s="74" t="s">
        <v>19</v>
      </c>
    </row>
    <row r="3" spans="1:20" ht="20.5" thickBot="1">
      <c r="B3" s="1348" t="s">
        <v>330</v>
      </c>
      <c r="C3" s="1348"/>
      <c r="D3" s="1348"/>
      <c r="E3" s="1348"/>
      <c r="F3" s="1348"/>
      <c r="G3" s="1348"/>
      <c r="H3" s="1348"/>
      <c r="I3" s="1348"/>
      <c r="J3" s="1348"/>
      <c r="K3" s="1349" t="s">
        <v>331</v>
      </c>
      <c r="L3" s="1349"/>
      <c r="M3" s="1349"/>
      <c r="N3" s="1349"/>
      <c r="O3" s="1349"/>
      <c r="P3" s="1349"/>
      <c r="Q3" s="1349"/>
    </row>
    <row r="4" spans="1:20" ht="31.5" thickBot="1">
      <c r="B4" s="177" t="s">
        <v>332</v>
      </c>
      <c r="C4" s="209" t="s">
        <v>333</v>
      </c>
      <c r="D4" s="209" t="s">
        <v>334</v>
      </c>
      <c r="E4" s="209" t="s">
        <v>335</v>
      </c>
      <c r="F4" s="209" t="s">
        <v>336</v>
      </c>
      <c r="G4" s="209" t="s">
        <v>337</v>
      </c>
      <c r="H4" s="178" t="s">
        <v>338</v>
      </c>
      <c r="I4" s="178" t="s">
        <v>339</v>
      </c>
      <c r="J4" s="179" t="s">
        <v>340</v>
      </c>
      <c r="K4" s="177" t="s">
        <v>332</v>
      </c>
      <c r="L4" s="212" t="e" vm="1">
        <f>Peers!C8</f>
        <v>#VALUE!</v>
      </c>
      <c r="M4" s="212" t="e" vm="2">
        <f>Peers!D8</f>
        <v>#VALUE!</v>
      </c>
      <c r="N4" s="212" t="e" vm="3">
        <f>Peers!E8</f>
        <v>#VALUE!</v>
      </c>
      <c r="O4" s="212" t="e" vm="5">
        <f>Peers!F8</f>
        <v>#VALUE!</v>
      </c>
      <c r="P4" s="212" t="e" vm="4">
        <f>Peers!G8</f>
        <v>#VALUE!</v>
      </c>
      <c r="Q4" s="212" t="e" vm="6">
        <f>Peers!H8</f>
        <v>#VALUE!</v>
      </c>
      <c r="R4" s="570" t="s">
        <v>263</v>
      </c>
    </row>
    <row r="5" spans="1:20" ht="14.5" thickBot="1">
      <c r="B5" s="188" t="s">
        <v>341</v>
      </c>
      <c r="C5" s="189"/>
      <c r="D5" s="190"/>
      <c r="E5" s="190"/>
      <c r="F5" s="190"/>
      <c r="G5" s="190"/>
      <c r="H5" s="422"/>
      <c r="I5" s="422"/>
      <c r="J5" s="191"/>
      <c r="K5" s="188" t="s">
        <v>342</v>
      </c>
      <c r="L5" s="190"/>
      <c r="M5" s="190"/>
      <c r="N5" s="190"/>
      <c r="O5" s="190"/>
      <c r="P5" s="191"/>
      <c r="Q5" s="191"/>
      <c r="R5" s="191"/>
    </row>
    <row r="6" spans="1:20" ht="50.5" thickBot="1">
      <c r="A6" s="63">
        <v>1</v>
      </c>
      <c r="B6" s="182" t="s">
        <v>343</v>
      </c>
      <c r="C6" s="180" t="str">
        <f>VLOOKUP($B$2,'Sector Impact'!$K$4:$AA$16,A6+1,FALSE)</f>
        <v>High</v>
      </c>
      <c r="D6" s="180" t="s">
        <v>327</v>
      </c>
      <c r="E6" s="180" t="s">
        <v>344</v>
      </c>
      <c r="F6" s="192" t="s">
        <v>327</v>
      </c>
      <c r="G6" s="264"/>
      <c r="H6" s="181" t="s">
        <v>345</v>
      </c>
      <c r="I6" s="181" t="s">
        <v>346</v>
      </c>
      <c r="J6" s="181" t="s">
        <v>347</v>
      </c>
      <c r="K6" s="182" t="s">
        <v>348</v>
      </c>
      <c r="L6" s="405" t="e">
        <f>L12/L$11</f>
        <v>#DIV/0!</v>
      </c>
      <c r="M6" s="405" t="e">
        <f>#REF!/M$11</f>
        <v>#REF!</v>
      </c>
      <c r="N6" s="405" t="e">
        <f t="shared" ref="N6:O6" si="0">N12/N$11</f>
        <v>#DIV/0!</v>
      </c>
      <c r="O6" s="405">
        <f t="shared" si="0"/>
        <v>61.98612327382957</v>
      </c>
      <c r="P6" s="405" t="e">
        <f t="shared" ref="P6:Q9" si="1">P12/P$11</f>
        <v>#DIV/0!</v>
      </c>
      <c r="Q6" s="405" t="e">
        <f t="shared" si="1"/>
        <v>#DIV/0!</v>
      </c>
      <c r="R6" s="474" t="str">
        <f t="shared" ref="R6:R9" si="2">IFERROR(AVERAGE(L6:Q6),"")</f>
        <v/>
      </c>
    </row>
    <row r="7" spans="1:20" s="67" customFormat="1" ht="18" thickBot="1">
      <c r="A7" s="67">
        <v>2</v>
      </c>
      <c r="B7" s="182" t="s">
        <v>349</v>
      </c>
      <c r="C7" s="180" t="str">
        <f>VLOOKUP($B$2,'Sector Impact'!$K$4:$AA$16,A7+1,FALSE)</f>
        <v>Very High</v>
      </c>
      <c r="D7" s="180" t="s">
        <v>327</v>
      </c>
      <c r="E7" s="180" t="s">
        <v>344</v>
      </c>
      <c r="F7" s="192" t="s">
        <v>327</v>
      </c>
      <c r="G7" s="260"/>
      <c r="H7" s="181" t="s">
        <v>350</v>
      </c>
      <c r="I7" s="181" t="s">
        <v>351</v>
      </c>
      <c r="J7" s="181" t="s">
        <v>352</v>
      </c>
      <c r="K7" s="182" t="s">
        <v>353</v>
      </c>
      <c r="L7" s="405" t="e">
        <f t="shared" ref="L7:O9" si="3">L13/L$11</f>
        <v>#DIV/0!</v>
      </c>
      <c r="M7" s="405">
        <f>M12/M$11</f>
        <v>81.044949581268156</v>
      </c>
      <c r="N7" s="405" t="e">
        <f t="shared" si="3"/>
        <v>#DIV/0!</v>
      </c>
      <c r="O7" s="405" t="e">
        <f t="shared" si="3"/>
        <v>#VALUE!</v>
      </c>
      <c r="P7" s="405" t="e">
        <f t="shared" si="1"/>
        <v>#DIV/0!</v>
      </c>
      <c r="Q7" s="405" t="e">
        <f t="shared" si="1"/>
        <v>#DIV/0!</v>
      </c>
      <c r="R7" s="475" t="str">
        <f t="shared" si="2"/>
        <v/>
      </c>
    </row>
    <row r="8" spans="1:20" ht="25.5" thickBot="1">
      <c r="A8" s="63">
        <v>3</v>
      </c>
      <c r="B8" s="182" t="s">
        <v>354</v>
      </c>
      <c r="C8" s="180" t="str">
        <f>VLOOKUP($B$2,'Sector Impact'!$K$4:$AA$16,A8+1,FALSE)</f>
        <v>High</v>
      </c>
      <c r="D8" s="180" t="s">
        <v>19</v>
      </c>
      <c r="E8" s="180" t="s">
        <v>355</v>
      </c>
      <c r="F8" s="192" t="s">
        <v>19</v>
      </c>
      <c r="G8" s="435"/>
      <c r="H8" s="181" t="s">
        <v>70</v>
      </c>
      <c r="I8" s="181" t="s">
        <v>356</v>
      </c>
      <c r="J8" s="181" t="s">
        <v>357</v>
      </c>
      <c r="K8" s="182" t="s">
        <v>358</v>
      </c>
      <c r="L8" s="405" t="e">
        <f t="shared" si="3"/>
        <v>#DIV/0!</v>
      </c>
      <c r="M8" s="405">
        <f t="shared" si="3"/>
        <v>2040.0251982567083</v>
      </c>
      <c r="N8" s="405" t="e">
        <f t="shared" si="3"/>
        <v>#DIV/0!</v>
      </c>
      <c r="O8" s="405">
        <f t="shared" si="3"/>
        <v>933.81609969686758</v>
      </c>
      <c r="P8" s="405" t="e">
        <f t="shared" si="1"/>
        <v>#DIV/0!</v>
      </c>
      <c r="Q8" s="405" t="e">
        <f t="shared" si="1"/>
        <v>#DIV/0!</v>
      </c>
      <c r="R8" s="475" t="str">
        <f>IFERROR(AVERAGE(L8:Q8),"")</f>
        <v/>
      </c>
    </row>
    <row r="9" spans="1:20" ht="50.5" thickBot="1">
      <c r="A9" s="63">
        <v>4</v>
      </c>
      <c r="B9" s="182" t="s">
        <v>359</v>
      </c>
      <c r="C9" s="180" t="str">
        <f>VLOOKUP($B$2,'Sector Impact'!$K$4:$AA$16,A9+1,FALSE)</f>
        <v>High</v>
      </c>
      <c r="D9" s="180" t="s">
        <v>19</v>
      </c>
      <c r="E9" s="180" t="s">
        <v>360</v>
      </c>
      <c r="F9" s="192" t="s">
        <v>327</v>
      </c>
      <c r="G9" s="260"/>
      <c r="H9" s="181" t="s">
        <v>70</v>
      </c>
      <c r="I9" s="181" t="s">
        <v>361</v>
      </c>
      <c r="J9" s="183" t="s">
        <v>362</v>
      </c>
      <c r="K9" s="182" t="s">
        <v>363</v>
      </c>
      <c r="L9" s="405" t="e">
        <f t="shared" si="3"/>
        <v>#DIV/0!</v>
      </c>
      <c r="M9" s="405">
        <f t="shared" si="3"/>
        <v>70.383951461288675</v>
      </c>
      <c r="N9" s="405" t="e">
        <f t="shared" si="3"/>
        <v>#DIV/0!</v>
      </c>
      <c r="O9" s="405" t="e">
        <f t="shared" si="3"/>
        <v>#VALUE!</v>
      </c>
      <c r="P9" s="405" t="e">
        <f t="shared" si="1"/>
        <v>#DIV/0!</v>
      </c>
      <c r="Q9" s="405" t="e">
        <f t="shared" si="1"/>
        <v>#DIV/0!</v>
      </c>
      <c r="R9" s="475" t="str">
        <f t="shared" si="2"/>
        <v/>
      </c>
    </row>
    <row r="10" spans="1:20" ht="38" thickBot="1">
      <c r="A10" s="63">
        <v>5</v>
      </c>
      <c r="B10" s="182" t="s">
        <v>364</v>
      </c>
      <c r="C10" s="180" t="str">
        <f>VLOOKUP($B$2,'Sector Impact'!$K$4:$AA$16,A10+1,FALSE)</f>
        <v>High</v>
      </c>
      <c r="D10" s="180" t="s">
        <v>327</v>
      </c>
      <c r="E10" s="180" t="s">
        <v>344</v>
      </c>
      <c r="F10" s="192" t="s">
        <v>327</v>
      </c>
      <c r="G10" s="264"/>
      <c r="H10" s="181" t="s">
        <v>70</v>
      </c>
      <c r="I10" s="181" t="s">
        <v>365</v>
      </c>
      <c r="J10" s="183" t="s">
        <v>70</v>
      </c>
      <c r="K10" s="188" t="s">
        <v>366</v>
      </c>
      <c r="L10" s="190"/>
      <c r="M10" s="190"/>
      <c r="N10" s="190"/>
      <c r="O10" s="190"/>
      <c r="P10" s="190"/>
      <c r="Q10" s="191"/>
      <c r="S10"/>
    </row>
    <row r="11" spans="1:20" ht="14.5" thickBot="1">
      <c r="B11" s="188" t="s">
        <v>367</v>
      </c>
      <c r="C11" s="185"/>
      <c r="D11" s="185"/>
      <c r="E11" s="194"/>
      <c r="F11" s="194"/>
      <c r="G11" s="195"/>
      <c r="H11" s="423"/>
      <c r="I11" s="423"/>
      <c r="J11" s="196"/>
      <c r="K11" s="182" t="s">
        <v>368</v>
      </c>
      <c r="L11" s="406"/>
      <c r="M11" s="143">
        <v>11702</v>
      </c>
      <c r="N11" s="406"/>
      <c r="O11" s="442">
        <v>59380</v>
      </c>
      <c r="P11" s="406"/>
      <c r="Q11" s="406"/>
      <c r="S11"/>
    </row>
    <row r="12" spans="1:20" ht="13" thickBot="1">
      <c r="A12" s="63">
        <v>6</v>
      </c>
      <c r="B12" s="182" t="s">
        <v>369</v>
      </c>
      <c r="C12" s="180" t="str">
        <f>VLOOKUP($B$2,'Sector Impact'!$K$4:$AA$16,A12+1,FALSE)</f>
        <v>Medium</v>
      </c>
      <c r="D12" s="180" t="s">
        <v>19</v>
      </c>
      <c r="E12" s="180" t="s">
        <v>360</v>
      </c>
      <c r="F12" s="192" t="s">
        <v>19</v>
      </c>
      <c r="G12" s="265"/>
      <c r="H12" s="181" t="s">
        <v>70</v>
      </c>
      <c r="I12" s="181" t="s">
        <v>70</v>
      </c>
      <c r="J12" s="197" t="s">
        <v>70</v>
      </c>
      <c r="K12" s="182" t="s">
        <v>370</v>
      </c>
      <c r="L12" s="211"/>
      <c r="M12" s="211">
        <v>948388</v>
      </c>
      <c r="N12" s="211"/>
      <c r="O12" s="211">
        <v>3680736</v>
      </c>
      <c r="P12" s="211"/>
      <c r="Q12" s="211"/>
      <c r="S12"/>
    </row>
    <row r="13" spans="1:20" ht="13" thickBot="1">
      <c r="A13" s="63">
        <v>7</v>
      </c>
      <c r="B13" s="182" t="s">
        <v>371</v>
      </c>
      <c r="C13" s="180" t="str">
        <f>VLOOKUP($B$2,'Sector Impact'!$K$4:$AA$16,A13+1,FALSE)</f>
        <v>High</v>
      </c>
      <c r="D13" s="180" t="s">
        <v>19</v>
      </c>
      <c r="E13" s="180" t="s">
        <v>360</v>
      </c>
      <c r="F13" s="198" t="s">
        <v>19</v>
      </c>
      <c r="G13" s="266"/>
      <c r="H13" s="181" t="s">
        <v>70</v>
      </c>
      <c r="I13" s="181" t="s">
        <v>70</v>
      </c>
      <c r="J13" s="199" t="s">
        <v>70</v>
      </c>
      <c r="K13" s="182" t="s">
        <v>372</v>
      </c>
      <c r="L13" s="211"/>
      <c r="M13" s="63" t="s">
        <v>70</v>
      </c>
      <c r="N13" s="211"/>
      <c r="O13" s="211" t="s">
        <v>70</v>
      </c>
      <c r="P13" s="211"/>
      <c r="Q13" s="211"/>
      <c r="S13"/>
    </row>
    <row r="14" spans="1:20" ht="13" thickBot="1">
      <c r="A14" s="63">
        <v>8</v>
      </c>
      <c r="B14" s="200" t="s">
        <v>373</v>
      </c>
      <c r="C14" s="180" t="str">
        <f>VLOOKUP($B$2,'Sector Impact'!$K$4:$AA$16,A14+1,FALSE)</f>
        <v>High</v>
      </c>
      <c r="D14" s="180" t="s">
        <v>19</v>
      </c>
      <c r="E14" s="180" t="s">
        <v>344</v>
      </c>
      <c r="F14" s="192" t="s">
        <v>19</v>
      </c>
      <c r="G14" s="266"/>
      <c r="H14" s="181" t="s">
        <v>70</v>
      </c>
      <c r="I14" s="181" t="s">
        <v>70</v>
      </c>
      <c r="J14" s="199" t="s">
        <v>374</v>
      </c>
      <c r="K14" s="182" t="s">
        <v>375</v>
      </c>
      <c r="L14" s="211"/>
      <c r="M14" s="211">
        <v>23872374.870000001</v>
      </c>
      <c r="N14" s="211"/>
      <c r="O14" s="211">
        <v>55450000</v>
      </c>
      <c r="P14" s="211"/>
      <c r="Q14" s="211"/>
      <c r="S14"/>
    </row>
    <row r="15" spans="1:20" ht="13" thickBot="1">
      <c r="A15" s="63">
        <v>9</v>
      </c>
      <c r="B15" s="200" t="s">
        <v>376</v>
      </c>
      <c r="C15" s="180" t="str">
        <f>VLOOKUP($B$2,'Sector Impact'!$K$4:$AA$16,A15+1,FALSE)</f>
        <v>Low</v>
      </c>
      <c r="D15" s="180"/>
      <c r="E15" s="180"/>
      <c r="F15" s="192" t="s">
        <v>327</v>
      </c>
      <c r="G15" s="193"/>
      <c r="H15" s="424"/>
      <c r="I15" s="424"/>
      <c r="J15" s="199"/>
      <c r="K15" s="182" t="s">
        <v>377</v>
      </c>
      <c r="L15" s="211"/>
      <c r="M15" s="211">
        <v>823633</v>
      </c>
      <c r="N15" s="211"/>
      <c r="O15" s="211" t="s">
        <v>70</v>
      </c>
      <c r="P15" s="211"/>
      <c r="Q15" s="211"/>
      <c r="S15"/>
    </row>
    <row r="16" spans="1:20" ht="42" customHeight="1" thickBot="1">
      <c r="A16" s="63">
        <v>10</v>
      </c>
      <c r="B16" s="182" t="s">
        <v>378</v>
      </c>
      <c r="C16" s="180" t="str">
        <f>VLOOKUP($B$2,'Sector Impact'!$K$4:$AA$16,A16+1,FALSE)</f>
        <v>Medium</v>
      </c>
      <c r="D16" s="663" t="s">
        <v>19</v>
      </c>
      <c r="E16" s="180" t="s">
        <v>379</v>
      </c>
      <c r="F16" s="192" t="s">
        <v>19</v>
      </c>
      <c r="G16" s="436"/>
      <c r="H16" s="181" t="s">
        <v>70</v>
      </c>
      <c r="I16" s="425" t="s">
        <v>70</v>
      </c>
      <c r="J16" s="199" t="s">
        <v>380</v>
      </c>
      <c r="K16" s="188" t="s">
        <v>381</v>
      </c>
      <c r="L16" s="190"/>
      <c r="M16" s="190"/>
      <c r="N16" s="190"/>
      <c r="O16" s="190"/>
      <c r="P16" s="191"/>
      <c r="Q16" s="191"/>
      <c r="S16"/>
    </row>
    <row r="17" spans="1:17" ht="13" thickBot="1">
      <c r="A17" s="63">
        <v>11</v>
      </c>
      <c r="B17" s="182" t="s">
        <v>382</v>
      </c>
      <c r="C17" s="180" t="str">
        <f>VLOOKUP($B$2,'Sector Impact'!$K$4:$AA$16,A17+1,FALSE)</f>
        <v>Medium</v>
      </c>
      <c r="D17" s="201" t="s">
        <v>19</v>
      </c>
      <c r="E17" s="201" t="s">
        <v>344</v>
      </c>
      <c r="F17" s="201" t="s">
        <v>19</v>
      </c>
      <c r="G17" s="260"/>
      <c r="H17" s="181" t="s">
        <v>70</v>
      </c>
      <c r="I17" s="425" t="s">
        <v>70</v>
      </c>
      <c r="J17" s="199" t="s">
        <v>383</v>
      </c>
      <c r="K17" s="182" t="s">
        <v>384</v>
      </c>
      <c r="L17" s="210">
        <v>37</v>
      </c>
      <c r="M17" s="210">
        <v>65</v>
      </c>
      <c r="N17" s="210"/>
      <c r="O17" s="210" t="s">
        <v>70</v>
      </c>
      <c r="P17" s="210"/>
      <c r="Q17" s="210"/>
    </row>
    <row r="18" spans="1:17">
      <c r="A18" s="63">
        <v>12</v>
      </c>
      <c r="B18" s="182" t="s">
        <v>385</v>
      </c>
      <c r="C18" s="180" t="str">
        <f>VLOOKUP($B$2,'Sector Impact'!$K$4:$AA$16,A18+1,FALSE)</f>
        <v>Low</v>
      </c>
      <c r="D18" s="180"/>
      <c r="E18" s="180"/>
      <c r="F18" s="192"/>
      <c r="G18" s="193"/>
      <c r="H18" s="424"/>
      <c r="I18" s="424"/>
      <c r="J18" s="202"/>
      <c r="K18" s="182" t="s">
        <v>386</v>
      </c>
      <c r="L18" s="210">
        <v>26.4</v>
      </c>
      <c r="M18" s="210">
        <v>25.5</v>
      </c>
      <c r="N18" s="210"/>
      <c r="O18" s="210">
        <v>22.1</v>
      </c>
      <c r="P18" s="210"/>
      <c r="Q18" s="210"/>
    </row>
    <row r="19" spans="1:17">
      <c r="A19" s="63">
        <v>13</v>
      </c>
      <c r="B19" s="182" t="s">
        <v>387</v>
      </c>
      <c r="C19" s="180" t="str">
        <f>VLOOKUP($B$2,'Sector Impact'!$K$4:$AA$16,A19+1,FALSE)</f>
        <v>High</v>
      </c>
      <c r="D19" s="180" t="s">
        <v>19</v>
      </c>
      <c r="E19" s="180" t="s">
        <v>360</v>
      </c>
      <c r="F19" s="192" t="s">
        <v>19</v>
      </c>
      <c r="G19" s="260"/>
      <c r="H19" s="181" t="s">
        <v>70</v>
      </c>
      <c r="I19" s="425" t="s">
        <v>70</v>
      </c>
      <c r="J19" s="199" t="s">
        <v>388</v>
      </c>
      <c r="K19" s="182" t="s">
        <v>389</v>
      </c>
      <c r="L19" s="211" t="s">
        <v>390</v>
      </c>
      <c r="M19" s="211" t="s">
        <v>391</v>
      </c>
      <c r="N19" s="211"/>
      <c r="O19" s="211" t="s">
        <v>391</v>
      </c>
      <c r="P19" s="211"/>
      <c r="Q19" s="211"/>
    </row>
    <row r="20" spans="1:17" ht="13" thickBot="1">
      <c r="A20" s="63">
        <v>14</v>
      </c>
      <c r="B20" s="182" t="s">
        <v>392</v>
      </c>
      <c r="C20" s="180" t="str">
        <f>VLOOKUP($B$2,'Sector Impact'!$K$4:$AA$16,A20+1,FALSE)</f>
        <v>Low</v>
      </c>
      <c r="D20" s="180"/>
      <c r="E20" s="180"/>
      <c r="F20" s="192"/>
      <c r="G20" s="193"/>
      <c r="H20" s="424"/>
      <c r="I20" s="424"/>
      <c r="J20" s="199"/>
      <c r="K20" s="182" t="s">
        <v>393</v>
      </c>
      <c r="L20" s="210" t="s">
        <v>394</v>
      </c>
      <c r="M20" s="210" t="s">
        <v>70</v>
      </c>
      <c r="N20" s="210"/>
      <c r="O20" s="210" t="s">
        <v>395</v>
      </c>
      <c r="P20" s="210"/>
      <c r="Q20" s="210"/>
    </row>
    <row r="21" spans="1:17" ht="13" thickBot="1">
      <c r="A21" s="63">
        <v>15</v>
      </c>
      <c r="B21" s="182" t="s">
        <v>396</v>
      </c>
      <c r="C21" s="180" t="str">
        <f>VLOOKUP($B$2,'Sector Impact'!$K$4:$AA$16,A21+1,FALSE)</f>
        <v>Very High</v>
      </c>
      <c r="D21" s="180" t="s">
        <v>19</v>
      </c>
      <c r="E21" s="180" t="s">
        <v>344</v>
      </c>
      <c r="F21" s="192" t="s">
        <v>19</v>
      </c>
      <c r="G21" s="260"/>
      <c r="H21" s="181" t="s">
        <v>70</v>
      </c>
      <c r="I21" s="425" t="s">
        <v>70</v>
      </c>
      <c r="J21" s="199" t="s">
        <v>70</v>
      </c>
    </row>
    <row r="22" spans="1:17" ht="13" thickBot="1">
      <c r="A22" s="63">
        <v>16</v>
      </c>
      <c r="B22" s="182" t="s">
        <v>397</v>
      </c>
      <c r="C22" s="184" t="str">
        <f>VLOOKUP($B$2,'Sector Impact'!$K$4:$AA$16,A22+1,FALSE)</f>
        <v>Low</v>
      </c>
      <c r="D22" s="180" t="s">
        <v>327</v>
      </c>
      <c r="E22" s="180"/>
      <c r="F22" s="192"/>
      <c r="G22" s="193"/>
      <c r="H22" s="424"/>
      <c r="I22" s="424"/>
      <c r="J22" s="183"/>
    </row>
    <row r="23" spans="1:17" ht="14.5" thickBot="1">
      <c r="B23" s="188" t="s">
        <v>398</v>
      </c>
      <c r="C23" s="203"/>
      <c r="D23" s="185"/>
      <c r="E23" s="194"/>
      <c r="F23" s="194"/>
      <c r="G23" s="195"/>
      <c r="H23" s="423"/>
      <c r="I23" s="423"/>
      <c r="J23" s="196"/>
      <c r="K23" s="1351" t="s">
        <v>399</v>
      </c>
      <c r="L23" s="1352"/>
      <c r="M23" s="1353"/>
    </row>
    <row r="24" spans="1:17" ht="25.5" thickBot="1">
      <c r="A24" s="63">
        <v>17</v>
      </c>
      <c r="B24" s="182" t="s">
        <v>400</v>
      </c>
      <c r="C24" s="204"/>
      <c r="D24" s="205"/>
      <c r="E24" s="198" t="s">
        <v>360</v>
      </c>
      <c r="F24" s="198" t="s">
        <v>19</v>
      </c>
      <c r="G24" s="260"/>
      <c r="H24" s="181" t="s">
        <v>70</v>
      </c>
      <c r="I24" s="425" t="s">
        <v>70</v>
      </c>
      <c r="J24" s="206" t="s">
        <v>401</v>
      </c>
      <c r="K24" s="232" t="s">
        <v>402</v>
      </c>
      <c r="L24" s="64" t="s">
        <v>403</v>
      </c>
      <c r="M24" s="65" t="s">
        <v>404</v>
      </c>
      <c r="O24" s="543" t="s">
        <v>266</v>
      </c>
    </row>
    <row r="25" spans="1:17" ht="15.75" customHeight="1" thickBot="1">
      <c r="A25" s="63">
        <v>18</v>
      </c>
      <c r="B25" s="182" t="s">
        <v>405</v>
      </c>
      <c r="C25" s="204"/>
      <c r="D25" s="205"/>
      <c r="E25" s="198" t="s">
        <v>344</v>
      </c>
      <c r="F25" s="198" t="s">
        <v>327</v>
      </c>
      <c r="G25" s="264"/>
      <c r="H25" s="181" t="s">
        <v>327</v>
      </c>
      <c r="I25" s="425" t="s">
        <v>70</v>
      </c>
      <c r="J25" s="199" t="s">
        <v>406</v>
      </c>
      <c r="K25" s="171" t="s">
        <v>407</v>
      </c>
      <c r="L25" s="172" t="s">
        <v>379</v>
      </c>
      <c r="M25" s="1354" t="s">
        <v>408</v>
      </c>
      <c r="O25" s="544"/>
    </row>
    <row r="26" spans="1:17" ht="15.75" customHeight="1" thickBot="1">
      <c r="A26" s="63">
        <v>19</v>
      </c>
      <c r="B26" s="182" t="s">
        <v>409</v>
      </c>
      <c r="C26" s="204"/>
      <c r="D26" s="205"/>
      <c r="E26" s="198" t="s">
        <v>379</v>
      </c>
      <c r="F26" s="198" t="s">
        <v>19</v>
      </c>
      <c r="G26" s="260"/>
      <c r="H26" s="181" t="s">
        <v>70</v>
      </c>
      <c r="I26" s="425" t="s">
        <v>70</v>
      </c>
      <c r="J26" s="206" t="s">
        <v>410</v>
      </c>
      <c r="K26" s="171" t="s">
        <v>360</v>
      </c>
      <c r="L26" s="172" t="s">
        <v>344</v>
      </c>
      <c r="M26" s="1355"/>
      <c r="O26" s="545"/>
    </row>
    <row r="27" spans="1:17" ht="25.5" thickBot="1">
      <c r="A27" s="63">
        <v>20</v>
      </c>
      <c r="B27" s="182" t="s">
        <v>411</v>
      </c>
      <c r="C27" s="204"/>
      <c r="D27" s="205"/>
      <c r="E27" s="198" t="s">
        <v>344</v>
      </c>
      <c r="F27" s="198" t="s">
        <v>327</v>
      </c>
      <c r="G27" s="264"/>
      <c r="H27" s="181" t="s">
        <v>70</v>
      </c>
      <c r="I27" s="425" t="s">
        <v>412</v>
      </c>
      <c r="J27" s="206" t="s">
        <v>413</v>
      </c>
      <c r="K27" s="173" t="s">
        <v>414</v>
      </c>
      <c r="L27" s="174" t="s">
        <v>360</v>
      </c>
      <c r="M27" s="1355"/>
      <c r="O27" s="546"/>
    </row>
    <row r="28" spans="1:17" ht="13" thickBot="1">
      <c r="A28" s="63">
        <v>21</v>
      </c>
      <c r="B28" s="182" t="s">
        <v>415</v>
      </c>
      <c r="C28" s="204"/>
      <c r="D28" s="205"/>
      <c r="E28" s="198" t="s">
        <v>379</v>
      </c>
      <c r="F28" s="198" t="s">
        <v>19</v>
      </c>
      <c r="G28" s="264"/>
      <c r="H28" s="181" t="s">
        <v>70</v>
      </c>
      <c r="I28" s="425" t="s">
        <v>70</v>
      </c>
      <c r="J28" s="199" t="s">
        <v>416</v>
      </c>
      <c r="K28" s="175" t="s">
        <v>417</v>
      </c>
      <c r="L28" s="176" t="s">
        <v>355</v>
      </c>
      <c r="M28" s="1356"/>
    </row>
    <row r="29" spans="1:17" ht="13" thickBot="1">
      <c r="A29" s="63">
        <v>22</v>
      </c>
      <c r="B29" s="182" t="s">
        <v>418</v>
      </c>
      <c r="C29" s="204"/>
      <c r="D29" s="205"/>
      <c r="E29" s="198" t="s">
        <v>360</v>
      </c>
      <c r="F29" s="198" t="s">
        <v>19</v>
      </c>
      <c r="G29" s="260"/>
      <c r="H29" s="181" t="s">
        <v>70</v>
      </c>
      <c r="I29" s="425" t="s">
        <v>70</v>
      </c>
      <c r="J29" s="63" t="s">
        <v>419</v>
      </c>
    </row>
    <row r="30" spans="1:17" ht="26.15" customHeight="1" thickBot="1">
      <c r="A30" s="63">
        <v>23</v>
      </c>
      <c r="B30" s="182" t="s">
        <v>420</v>
      </c>
      <c r="C30" s="204"/>
      <c r="D30" s="205"/>
      <c r="E30" s="198" t="s">
        <v>344</v>
      </c>
      <c r="F30" s="198" t="s">
        <v>19</v>
      </c>
      <c r="G30" s="264"/>
      <c r="H30" s="181" t="s">
        <v>70</v>
      </c>
      <c r="I30" s="425" t="s">
        <v>70</v>
      </c>
      <c r="J30" s="206" t="s">
        <v>421</v>
      </c>
    </row>
    <row r="31" spans="1:17" ht="20.25" customHeight="1" thickBot="1">
      <c r="A31" s="63">
        <v>24</v>
      </c>
      <c r="B31" s="207" t="s">
        <v>422</v>
      </c>
      <c r="C31" s="204"/>
      <c r="D31" s="205"/>
      <c r="E31" s="198" t="s">
        <v>379</v>
      </c>
      <c r="F31" s="198" t="s">
        <v>19</v>
      </c>
      <c r="G31" s="264"/>
      <c r="H31" s="181" t="s">
        <v>70</v>
      </c>
      <c r="I31" s="425" t="s">
        <v>70</v>
      </c>
      <c r="J31" s="197" t="s">
        <v>70</v>
      </c>
      <c r="L31" s="509"/>
    </row>
    <row r="32" spans="1:17" ht="13.5" customHeight="1" thickBot="1">
      <c r="A32" s="63">
        <v>25</v>
      </c>
      <c r="B32" s="182" t="s">
        <v>423</v>
      </c>
      <c r="C32" s="204"/>
      <c r="D32" s="198" t="s">
        <v>327</v>
      </c>
      <c r="E32" s="198" t="s">
        <v>355</v>
      </c>
      <c r="F32" s="198" t="s">
        <v>19</v>
      </c>
      <c r="G32" s="263"/>
      <c r="H32" s="181" t="s">
        <v>424</v>
      </c>
      <c r="I32" s="425" t="s">
        <v>70</v>
      </c>
      <c r="J32" s="199" t="s">
        <v>425</v>
      </c>
      <c r="L32" s="510"/>
    </row>
    <row r="33" spans="1:14" ht="13.5" customHeight="1" thickBot="1">
      <c r="A33" s="63">
        <v>26</v>
      </c>
      <c r="B33" s="182" t="s">
        <v>426</v>
      </c>
      <c r="C33" s="204"/>
      <c r="D33" s="198" t="s">
        <v>19</v>
      </c>
      <c r="E33" s="198" t="s">
        <v>360</v>
      </c>
      <c r="F33" s="198" t="s">
        <v>19</v>
      </c>
      <c r="G33" s="266"/>
      <c r="H33" s="181" t="s">
        <v>70</v>
      </c>
      <c r="I33" s="425" t="s">
        <v>70</v>
      </c>
      <c r="J33" s="199" t="s">
        <v>70</v>
      </c>
      <c r="L33" s="261"/>
      <c r="N33" s="261"/>
    </row>
    <row r="34" spans="1:14" ht="13.5" customHeight="1" thickBot="1">
      <c r="A34" s="63">
        <v>27</v>
      </c>
      <c r="B34" s="182" t="s">
        <v>427</v>
      </c>
      <c r="C34" s="204"/>
      <c r="D34" s="208" t="s">
        <v>327</v>
      </c>
      <c r="E34" s="198" t="s">
        <v>379</v>
      </c>
      <c r="F34" s="198" t="s">
        <v>19</v>
      </c>
      <c r="G34" s="264"/>
      <c r="H34" s="181" t="s">
        <v>70</v>
      </c>
      <c r="I34" s="425" t="s">
        <v>70</v>
      </c>
      <c r="J34" s="199" t="s">
        <v>70</v>
      </c>
      <c r="L34" s="262"/>
      <c r="N34" s="262"/>
    </row>
    <row r="37" spans="1:14">
      <c r="B37" s="63" t="s">
        <v>419</v>
      </c>
    </row>
    <row r="39" spans="1:14">
      <c r="H39" s="63"/>
      <c r="J39" s="426"/>
    </row>
    <row r="54" spans="14:19">
      <c r="N54" s="1350"/>
      <c r="O54" s="1350"/>
      <c r="P54" s="1350"/>
      <c r="Q54" s="1350"/>
      <c r="R54" s="1350"/>
      <c r="S54" s="1350"/>
    </row>
    <row r="66" spans="14:19">
      <c r="N66" s="1347"/>
      <c r="O66" s="1347"/>
      <c r="P66" s="1347"/>
      <c r="Q66" s="1347"/>
      <c r="R66" s="1347"/>
      <c r="S66" s="1347"/>
    </row>
    <row r="67" spans="14:19">
      <c r="N67" s="427"/>
      <c r="O67" s="427"/>
      <c r="P67" s="427"/>
      <c r="Q67" s="427"/>
      <c r="R67" s="427"/>
      <c r="S67" s="427"/>
    </row>
    <row r="68" spans="14:19">
      <c r="N68" s="427"/>
      <c r="O68" s="427"/>
      <c r="P68" s="427"/>
      <c r="Q68" s="427"/>
      <c r="R68" s="427"/>
      <c r="S68" s="427"/>
    </row>
    <row r="69" spans="14:19">
      <c r="N69" s="427"/>
      <c r="O69" s="427"/>
      <c r="P69" s="427"/>
      <c r="Q69" s="427"/>
      <c r="R69" s="427"/>
      <c r="S69" s="427"/>
    </row>
    <row r="70" spans="14:19">
      <c r="N70" s="427"/>
      <c r="O70" s="427"/>
      <c r="P70" s="427"/>
      <c r="Q70" s="427"/>
      <c r="R70" s="427"/>
      <c r="S70" s="427"/>
    </row>
    <row r="71" spans="14:19">
      <c r="N71" s="427"/>
      <c r="O71" s="427"/>
      <c r="P71" s="427"/>
      <c r="Q71" s="427"/>
      <c r="R71" s="427"/>
      <c r="S71" s="427"/>
    </row>
    <row r="72" spans="14:19">
      <c r="N72" s="427"/>
      <c r="O72" s="427"/>
      <c r="P72" s="427"/>
      <c r="Q72" s="427"/>
      <c r="R72" s="427"/>
      <c r="S72" s="427"/>
    </row>
    <row r="73" spans="14:19">
      <c r="N73" s="427"/>
      <c r="O73" s="427"/>
      <c r="P73" s="427"/>
      <c r="Q73" s="427"/>
      <c r="R73" s="427"/>
      <c r="S73" s="427"/>
    </row>
    <row r="74" spans="14:19">
      <c r="N74" s="428"/>
      <c r="O74" s="427"/>
      <c r="P74" s="427"/>
      <c r="Q74" s="427"/>
      <c r="R74" s="427"/>
      <c r="S74" s="427"/>
    </row>
    <row r="75" spans="14:19">
      <c r="N75" s="428"/>
      <c r="O75" s="427"/>
      <c r="P75" s="427"/>
      <c r="Q75" s="427"/>
      <c r="R75" s="427"/>
      <c r="S75" s="427"/>
    </row>
    <row r="76" spans="14:19">
      <c r="N76" s="428"/>
      <c r="O76" s="427"/>
      <c r="P76" s="427"/>
      <c r="Q76" s="427"/>
      <c r="R76" s="427"/>
      <c r="S76" s="427"/>
    </row>
    <row r="77" spans="14:19">
      <c r="N77" s="427"/>
      <c r="O77" s="427"/>
      <c r="P77" s="427"/>
      <c r="Q77" s="427"/>
      <c r="R77" s="427"/>
      <c r="S77" s="427"/>
    </row>
    <row r="78" spans="14:19">
      <c r="N78" s="1347"/>
      <c r="O78" s="1347"/>
      <c r="P78" s="1347"/>
      <c r="Q78" s="1347"/>
      <c r="R78" s="1347"/>
      <c r="S78" s="1347"/>
    </row>
    <row r="90" spans="14:19">
      <c r="N90" s="1347"/>
      <c r="O90" s="1347"/>
      <c r="P90" s="1347"/>
      <c r="Q90" s="1347"/>
      <c r="R90" s="1347"/>
      <c r="S90" s="1347"/>
    </row>
  </sheetData>
  <mergeCells count="8">
    <mergeCell ref="N90:S90"/>
    <mergeCell ref="B3:J3"/>
    <mergeCell ref="K3:Q3"/>
    <mergeCell ref="N54:S54"/>
    <mergeCell ref="N66:S66"/>
    <mergeCell ref="N78:S78"/>
    <mergeCell ref="K23:M23"/>
    <mergeCell ref="M25:M28"/>
  </mergeCells>
  <phoneticPr fontId="80" type="noConversion"/>
  <conditionalFormatting sqref="C10:G10">
    <cfRule type="expression" dxfId="30" priority="20">
      <formula>$C$10="Low"</formula>
    </cfRule>
  </conditionalFormatting>
  <conditionalFormatting sqref="D15 E16:G16 I16:J16">
    <cfRule type="expression" dxfId="29" priority="28">
      <formula>$C$16="Low"</formula>
    </cfRule>
  </conditionalFormatting>
  <conditionalFormatting sqref="D16">
    <cfRule type="expression" dxfId="28" priority="1">
      <formula>$C$13="Low"</formula>
    </cfRule>
  </conditionalFormatting>
  <conditionalFormatting sqref="D6:F6 H6:J6">
    <cfRule type="expression" dxfId="27" priority="37">
      <formula>$C$6="Low"</formula>
    </cfRule>
  </conditionalFormatting>
  <conditionalFormatting sqref="D7:G7 J7">
    <cfRule type="expression" dxfId="26" priority="36">
      <formula>$C$7="Low"</formula>
    </cfRule>
  </conditionalFormatting>
  <conditionalFormatting sqref="D8:G8 J8">
    <cfRule type="expression" dxfId="25" priority="35">
      <formula>$C$8="Low"</formula>
    </cfRule>
  </conditionalFormatting>
  <conditionalFormatting sqref="D9:G9 J9:J10">
    <cfRule type="expression" dxfId="24" priority="34">
      <formula>$C$9="Low"</formula>
    </cfRule>
  </conditionalFormatting>
  <conditionalFormatting sqref="D12:G12 J12">
    <cfRule type="expression" dxfId="23" priority="32">
      <formula>$C$12="Low"</formula>
    </cfRule>
  </conditionalFormatting>
  <conditionalFormatting sqref="D13:G13 J13">
    <cfRule type="expression" dxfId="22" priority="31">
      <formula>$C$13="Low"</formula>
    </cfRule>
  </conditionalFormatting>
  <conditionalFormatting sqref="D14:G14 J14">
    <cfRule type="expression" dxfId="21" priority="30">
      <formula>$C$14="Low"</formula>
    </cfRule>
  </conditionalFormatting>
  <conditionalFormatting sqref="D17:G17 J17">
    <cfRule type="expression" dxfId="20" priority="27">
      <formula>$C$17="Low"</formula>
    </cfRule>
  </conditionalFormatting>
  <conditionalFormatting sqref="D19:G19 J20">
    <cfRule type="expression" dxfId="19" priority="25">
      <formula>$C$19="Low"</formula>
    </cfRule>
  </conditionalFormatting>
  <conditionalFormatting sqref="D21:G21 J21">
    <cfRule type="expression" dxfId="18" priority="23">
      <formula>$C$21="Low"</formula>
    </cfRule>
  </conditionalFormatting>
  <conditionalFormatting sqref="D15:J15">
    <cfRule type="expression" dxfId="17" priority="29">
      <formula>$C$15="Low"</formula>
    </cfRule>
  </conditionalFormatting>
  <conditionalFormatting sqref="D18:J18">
    <cfRule type="expression" dxfId="16" priority="26">
      <formula>$C$18="Low"</formula>
    </cfRule>
  </conditionalFormatting>
  <conditionalFormatting sqref="D20:J20">
    <cfRule type="expression" dxfId="15" priority="24">
      <formula>$C$20="Low"</formula>
    </cfRule>
  </conditionalFormatting>
  <conditionalFormatting sqref="D22:J22">
    <cfRule type="expression" dxfId="14" priority="22">
      <formula>$C$22="Low"</formula>
    </cfRule>
  </conditionalFormatting>
  <conditionalFormatting sqref="G6">
    <cfRule type="expression" dxfId="13" priority="18">
      <formula>$C$7="Low"</formula>
    </cfRule>
  </conditionalFormatting>
  <conditionalFormatting sqref="H16:H17">
    <cfRule type="expression" dxfId="12" priority="7">
      <formula>$C$6="Low"</formula>
    </cfRule>
  </conditionalFormatting>
  <conditionalFormatting sqref="H19">
    <cfRule type="expression" dxfId="11" priority="6">
      <formula>$C$6="Low"</formula>
    </cfRule>
  </conditionalFormatting>
  <conditionalFormatting sqref="H21">
    <cfRule type="expression" dxfId="10" priority="5">
      <formula>$C$6="Low"</formula>
    </cfRule>
  </conditionalFormatting>
  <conditionalFormatting sqref="H24:H34">
    <cfRule type="expression" dxfId="9" priority="4">
      <formula>$C$6="Low"</formula>
    </cfRule>
  </conditionalFormatting>
  <conditionalFormatting sqref="H7:I10">
    <cfRule type="expression" dxfId="8" priority="15">
      <formula>$C$6="Low"</formula>
    </cfRule>
  </conditionalFormatting>
  <conditionalFormatting sqref="H12:I14">
    <cfRule type="expression" dxfId="7" priority="8">
      <formula>$C$6="Low"</formula>
    </cfRule>
  </conditionalFormatting>
  <conditionalFormatting sqref="I17">
    <cfRule type="expression" dxfId="6" priority="12">
      <formula>$C$16="Low"</formula>
    </cfRule>
  </conditionalFormatting>
  <conditionalFormatting sqref="I19">
    <cfRule type="expression" dxfId="5" priority="11">
      <formula>$C$16="Low"</formula>
    </cfRule>
  </conditionalFormatting>
  <conditionalFormatting sqref="I21">
    <cfRule type="expression" dxfId="4" priority="10">
      <formula>$C$16="Low"</formula>
    </cfRule>
  </conditionalFormatting>
  <conditionalFormatting sqref="I24:I34">
    <cfRule type="expression" dxfId="3" priority="9">
      <formula>$C$16="Low"</formula>
    </cfRule>
  </conditionalFormatting>
  <conditionalFormatting sqref="J19">
    <cfRule type="expression" dxfId="2" priority="3">
      <formula>$C$17="Low"</formula>
    </cfRule>
  </conditionalFormatting>
  <dataValidations count="3">
    <dataValidation type="list" allowBlank="1" showInputMessage="1" showErrorMessage="1" sqref="D32:D34 F24:F34 F6:F10 F12:F22 C11 D6:D22"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CA9854"/>
  <sheetViews>
    <sheetView showGridLines="0" zoomScale="70" zoomScaleNormal="70" workbookViewId="0">
      <selection activeCell="G44" sqref="G44"/>
    </sheetView>
  </sheetViews>
  <sheetFormatPr defaultColWidth="11.453125" defaultRowHeight="12.5" outlineLevelCol="1"/>
  <cols>
    <col min="1" max="1" width="24.453125" bestFit="1" customWidth="1"/>
    <col min="2" max="2" width="11.453125" customWidth="1" outlineLevel="1"/>
    <col min="3" max="3" width="32.26953125" customWidth="1" outlineLevel="1"/>
    <col min="4" max="4" width="20" customWidth="1" outlineLevel="1"/>
    <col min="5" max="5" width="24" customWidth="1"/>
    <col min="6" max="6" width="27.26953125" customWidth="1"/>
    <col min="7" max="7" width="14.26953125" style="1" customWidth="1"/>
    <col min="8" max="8" width="12.453125" style="1" customWidth="1"/>
    <col min="9" max="32" width="11.26953125" style="1" customWidth="1"/>
    <col min="33" max="33" width="14.453125" customWidth="1"/>
  </cols>
  <sheetData>
    <row r="1" spans="1:34" ht="21" customHeight="1">
      <c r="A1" s="1362" t="s">
        <v>428</v>
      </c>
      <c r="B1" s="1362"/>
      <c r="C1" s="1362"/>
      <c r="D1" s="1362"/>
      <c r="E1" s="1362"/>
      <c r="F1" s="1362"/>
      <c r="G1" s="1362"/>
      <c r="H1" s="1362"/>
      <c r="I1" s="1362"/>
      <c r="J1" s="1362"/>
      <c r="K1" s="1362"/>
      <c r="L1" s="1362"/>
      <c r="M1" s="1362"/>
      <c r="N1" s="1362"/>
      <c r="O1" s="1362"/>
      <c r="P1" s="1362"/>
      <c r="Q1" s="1362"/>
      <c r="R1" s="1362"/>
      <c r="S1" s="1362"/>
      <c r="T1" s="1362"/>
      <c r="U1" s="1362"/>
      <c r="V1" s="1362"/>
      <c r="W1" s="1362"/>
      <c r="X1" s="1362"/>
      <c r="Y1" s="1362"/>
      <c r="Z1" s="1362"/>
      <c r="AA1" s="1362"/>
      <c r="AB1" s="1362"/>
      <c r="AC1" s="1362"/>
      <c r="AD1" s="1362"/>
      <c r="AE1" s="1362"/>
      <c r="AF1" s="1362"/>
      <c r="AG1" s="6"/>
      <c r="AH1" s="6"/>
    </row>
    <row r="2" spans="1:34" ht="3.75" customHeight="1" thickBot="1">
      <c r="A2" s="1363"/>
      <c r="B2" s="1363"/>
      <c r="C2" s="1363"/>
      <c r="D2" s="1363"/>
      <c r="E2" s="1363"/>
      <c r="F2" s="1363"/>
      <c r="G2" s="1363"/>
      <c r="H2" s="1363"/>
      <c r="I2" s="1363"/>
      <c r="J2" s="1363"/>
      <c r="K2" s="1363"/>
      <c r="L2" s="1363"/>
      <c r="M2" s="1363"/>
      <c r="N2" s="1363"/>
      <c r="O2" s="1363"/>
      <c r="P2" s="1363"/>
      <c r="Q2" s="1363"/>
      <c r="R2" s="1363"/>
      <c r="S2" s="1363"/>
      <c r="T2" s="1363"/>
      <c r="U2" s="1363"/>
      <c r="V2" s="1363"/>
      <c r="W2" s="1363"/>
      <c r="X2" s="1363"/>
      <c r="Y2" s="1363"/>
      <c r="Z2" s="1363"/>
      <c r="AA2" s="1363"/>
      <c r="AB2" s="1363"/>
      <c r="AC2" s="1363"/>
      <c r="AD2" s="1363"/>
      <c r="AE2" s="1363"/>
      <c r="AF2" s="1363"/>
      <c r="AG2" s="429"/>
      <c r="AH2" s="6"/>
    </row>
    <row r="3" spans="1:34" ht="18.5">
      <c r="A3" s="213"/>
      <c r="B3" s="213"/>
      <c r="C3" s="213"/>
      <c r="D3" s="213"/>
      <c r="E3" s="213"/>
      <c r="F3" s="213"/>
      <c r="G3" s="1369" t="s">
        <v>429</v>
      </c>
      <c r="H3" s="1370"/>
      <c r="I3" s="1370"/>
      <c r="J3" s="1370"/>
      <c r="K3" s="1371" t="s">
        <v>430</v>
      </c>
      <c r="L3" s="1372"/>
      <c r="M3" s="1372"/>
      <c r="N3" s="1372"/>
      <c r="O3" s="1372"/>
      <c r="P3" s="1372"/>
      <c r="Q3" s="1372"/>
      <c r="R3" s="1372"/>
      <c r="S3" s="1372"/>
      <c r="T3" s="1372"/>
      <c r="U3" s="1372"/>
      <c r="V3" s="1372"/>
      <c r="W3" s="1372"/>
      <c r="X3" s="1372"/>
      <c r="Y3" s="1372"/>
      <c r="Z3" s="1372"/>
      <c r="AA3" s="1372"/>
      <c r="AB3" s="1372"/>
      <c r="AC3" s="1372"/>
      <c r="AD3" s="1372"/>
      <c r="AE3" s="1372"/>
      <c r="AF3" s="1373"/>
      <c r="AG3" s="429"/>
      <c r="AH3" s="6"/>
    </row>
    <row r="4" spans="1:34" ht="14.5">
      <c r="A4" s="236" t="s">
        <v>431</v>
      </c>
      <c r="B4" s="634" t="s">
        <v>432</v>
      </c>
      <c r="C4" s="635" t="s">
        <v>433</v>
      </c>
      <c r="D4" s="243" t="s">
        <v>434</v>
      </c>
      <c r="E4" s="243" t="s">
        <v>435</v>
      </c>
      <c r="F4" s="244" t="s">
        <v>436</v>
      </c>
      <c r="G4" s="243">
        <v>2025</v>
      </c>
      <c r="H4" s="243">
        <f>G4+1</f>
        <v>2026</v>
      </c>
      <c r="I4" s="243">
        <f t="shared" ref="I4:AF4" si="0">H4+1</f>
        <v>2027</v>
      </c>
      <c r="J4" s="244">
        <f t="shared" si="0"/>
        <v>2028</v>
      </c>
      <c r="K4" s="245">
        <f t="shared" si="0"/>
        <v>2029</v>
      </c>
      <c r="L4" s="245">
        <f t="shared" si="0"/>
        <v>2030</v>
      </c>
      <c r="M4" s="245">
        <f t="shared" si="0"/>
        <v>2031</v>
      </c>
      <c r="N4" s="245">
        <f t="shared" si="0"/>
        <v>2032</v>
      </c>
      <c r="O4" s="245">
        <f t="shared" si="0"/>
        <v>2033</v>
      </c>
      <c r="P4" s="245">
        <f t="shared" si="0"/>
        <v>2034</v>
      </c>
      <c r="Q4" s="245">
        <f t="shared" si="0"/>
        <v>2035</v>
      </c>
      <c r="R4" s="245">
        <f t="shared" si="0"/>
        <v>2036</v>
      </c>
      <c r="S4" s="245">
        <f t="shared" si="0"/>
        <v>2037</v>
      </c>
      <c r="T4" s="245">
        <f t="shared" si="0"/>
        <v>2038</v>
      </c>
      <c r="U4" s="245">
        <f t="shared" si="0"/>
        <v>2039</v>
      </c>
      <c r="V4" s="245">
        <f t="shared" si="0"/>
        <v>2040</v>
      </c>
      <c r="W4" s="245">
        <f t="shared" si="0"/>
        <v>2041</v>
      </c>
      <c r="X4" s="245">
        <f t="shared" si="0"/>
        <v>2042</v>
      </c>
      <c r="Y4" s="245">
        <f t="shared" si="0"/>
        <v>2043</v>
      </c>
      <c r="Z4" s="245">
        <f t="shared" si="0"/>
        <v>2044</v>
      </c>
      <c r="AA4" s="245">
        <f t="shared" si="0"/>
        <v>2045</v>
      </c>
      <c r="AB4" s="245">
        <f t="shared" si="0"/>
        <v>2046</v>
      </c>
      <c r="AC4" s="245">
        <f t="shared" si="0"/>
        <v>2047</v>
      </c>
      <c r="AD4" s="245">
        <f t="shared" si="0"/>
        <v>2048</v>
      </c>
      <c r="AE4" s="245">
        <f t="shared" si="0"/>
        <v>2049</v>
      </c>
      <c r="AF4" s="246">
        <f t="shared" si="0"/>
        <v>2050</v>
      </c>
      <c r="AG4" s="429"/>
      <c r="AH4" s="6"/>
    </row>
    <row r="5" spans="1:34" ht="13">
      <c r="A5" s="1141" t="s">
        <v>437</v>
      </c>
      <c r="B5" s="624">
        <v>1</v>
      </c>
      <c r="C5" s="636" t="s">
        <v>438</v>
      </c>
      <c r="D5" s="630">
        <f>'Fin. Data'!D6</f>
        <v>2.3888843747460919E-2</v>
      </c>
      <c r="E5" s="250">
        <f t="shared" ref="E5:F5" si="1">+E6/D6-1</f>
        <v>7.1638305349915443E-2</v>
      </c>
      <c r="F5" s="277">
        <f t="shared" si="1"/>
        <v>5.3868776844465893E-2</v>
      </c>
      <c r="G5" s="289">
        <f>Assumptions!D39</f>
        <v>0.05</v>
      </c>
      <c r="H5" s="290">
        <f>Assumptions!E39</f>
        <v>4.4999999999999998E-2</v>
      </c>
      <c r="I5" s="290">
        <f>Assumptions!F39</f>
        <v>0.04</v>
      </c>
      <c r="J5" s="291">
        <f>Assumptions!G39</f>
        <v>0.04</v>
      </c>
      <c r="K5" s="289">
        <f>Assumptions!H39</f>
        <v>0.03</v>
      </c>
      <c r="L5" s="290">
        <f>Assumptions!I39</f>
        <v>0.03</v>
      </c>
      <c r="M5" s="290">
        <f>Assumptions!J39</f>
        <v>0.03</v>
      </c>
      <c r="N5" s="290">
        <f>Assumptions!K39</f>
        <v>0.03</v>
      </c>
      <c r="O5" s="290">
        <f>Assumptions!L39</f>
        <v>0.03</v>
      </c>
      <c r="P5" s="290">
        <f>Assumptions!M39</f>
        <v>0.03</v>
      </c>
      <c r="Q5" s="290">
        <f>Assumptions!N39</f>
        <v>0.03</v>
      </c>
      <c r="R5" s="290">
        <f>Assumptions!O39</f>
        <v>0.03</v>
      </c>
      <c r="S5" s="290">
        <f>Assumptions!P39</f>
        <v>0.03</v>
      </c>
      <c r="T5" s="290">
        <f>Assumptions!Q39</f>
        <v>0.03</v>
      </c>
      <c r="U5" s="290">
        <f>Assumptions!R39</f>
        <v>0.03</v>
      </c>
      <c r="V5" s="290">
        <f>Assumptions!S39</f>
        <v>0.03</v>
      </c>
      <c r="W5" s="290">
        <f>Assumptions!T39</f>
        <v>0.03</v>
      </c>
      <c r="X5" s="290">
        <f>Assumptions!U39</f>
        <v>0.03</v>
      </c>
      <c r="Y5" s="290">
        <f>Assumptions!V39</f>
        <v>0.03</v>
      </c>
      <c r="Z5" s="290">
        <f>Assumptions!W39</f>
        <v>0.03</v>
      </c>
      <c r="AA5" s="290">
        <f>Assumptions!X39</f>
        <v>0.03</v>
      </c>
      <c r="AB5" s="290">
        <f>Assumptions!Y39</f>
        <v>0.03</v>
      </c>
      <c r="AC5" s="290">
        <f>Assumptions!Z39</f>
        <v>0.03</v>
      </c>
      <c r="AD5" s="290">
        <f>Assumptions!AA39</f>
        <v>0.03</v>
      </c>
      <c r="AE5" s="290">
        <f>Assumptions!AB39</f>
        <v>0.03</v>
      </c>
      <c r="AF5" s="291">
        <f>Assumptions!AD39</f>
        <v>0.03</v>
      </c>
      <c r="AG5" s="353"/>
      <c r="AH5" s="6"/>
    </row>
    <row r="6" spans="1:34" ht="14.5">
      <c r="A6" s="1141"/>
      <c r="B6" s="624">
        <v>2</v>
      </c>
      <c r="C6" s="625" t="s">
        <v>439</v>
      </c>
      <c r="D6" s="631">
        <f>Inputs!D6</f>
        <v>8820.7000000000007</v>
      </c>
      <c r="E6" s="573">
        <f>Inputs!C6</f>
        <v>9452.6</v>
      </c>
      <c r="F6" s="278">
        <f>Inputs!B6</f>
        <v>9961.7999999999993</v>
      </c>
      <c r="G6" s="283">
        <f t="shared" ref="G6:AF6" si="2">F6*(1+G5)</f>
        <v>10459.89</v>
      </c>
      <c r="H6" s="281">
        <f t="shared" si="2"/>
        <v>10930.585049999998</v>
      </c>
      <c r="I6" s="281">
        <f t="shared" si="2"/>
        <v>11367.808451999997</v>
      </c>
      <c r="J6" s="284">
        <f t="shared" si="2"/>
        <v>11822.520790079998</v>
      </c>
      <c r="K6" s="283">
        <f t="shared" si="2"/>
        <v>12177.196413782398</v>
      </c>
      <c r="L6" s="281">
        <f t="shared" si="2"/>
        <v>12542.512306195869</v>
      </c>
      <c r="M6" s="281">
        <f t="shared" si="2"/>
        <v>12918.787675381745</v>
      </c>
      <c r="N6" s="281">
        <f t="shared" si="2"/>
        <v>13306.351305643198</v>
      </c>
      <c r="O6" s="281">
        <f t="shared" si="2"/>
        <v>13705.541844812495</v>
      </c>
      <c r="P6" s="281">
        <f t="shared" si="2"/>
        <v>14116.708100156869</v>
      </c>
      <c r="Q6" s="281">
        <f t="shared" si="2"/>
        <v>14540.209343161576</v>
      </c>
      <c r="R6" s="281">
        <f t="shared" si="2"/>
        <v>14976.415623456423</v>
      </c>
      <c r="S6" s="281">
        <f t="shared" si="2"/>
        <v>15425.708092160117</v>
      </c>
      <c r="T6" s="281">
        <f t="shared" si="2"/>
        <v>15888.479334924921</v>
      </c>
      <c r="U6" s="281">
        <f t="shared" si="2"/>
        <v>16365.13371497267</v>
      </c>
      <c r="V6" s="281">
        <f t="shared" si="2"/>
        <v>16856.087726421851</v>
      </c>
      <c r="W6" s="281">
        <f t="shared" si="2"/>
        <v>17361.770358214508</v>
      </c>
      <c r="X6" s="281">
        <f t="shared" si="2"/>
        <v>17882.623468960945</v>
      </c>
      <c r="Y6" s="281">
        <f t="shared" si="2"/>
        <v>18419.102173029773</v>
      </c>
      <c r="Z6" s="281">
        <f t="shared" si="2"/>
        <v>18971.675238220665</v>
      </c>
      <c r="AA6" s="281">
        <f t="shared" si="2"/>
        <v>19540.825495367284</v>
      </c>
      <c r="AB6" s="281">
        <f t="shared" si="2"/>
        <v>20127.050260228301</v>
      </c>
      <c r="AC6" s="281">
        <f t="shared" si="2"/>
        <v>20730.861768035153</v>
      </c>
      <c r="AD6" s="281">
        <f t="shared" si="2"/>
        <v>21352.787621076208</v>
      </c>
      <c r="AE6" s="281">
        <f t="shared" si="2"/>
        <v>21993.371249708496</v>
      </c>
      <c r="AF6" s="284">
        <f t="shared" si="2"/>
        <v>22653.172387199753</v>
      </c>
      <c r="AG6" s="430"/>
      <c r="AH6" s="6"/>
    </row>
    <row r="7" spans="1:34" ht="13">
      <c r="A7" s="1141"/>
      <c r="B7" s="624">
        <v>3</v>
      </c>
      <c r="C7" s="626" t="s">
        <v>440</v>
      </c>
      <c r="D7" s="632">
        <f>D8/D6</f>
        <v>0.26434409967462896</v>
      </c>
      <c r="E7" s="275">
        <f t="shared" ref="E7:F7" si="3">E8/E6</f>
        <v>0.30075323191502867</v>
      </c>
      <c r="F7" s="279">
        <f t="shared" si="3"/>
        <v>0.31818546848963042</v>
      </c>
      <c r="G7" s="292">
        <f>Assumptions!D40</f>
        <v>0.33</v>
      </c>
      <c r="H7" s="293">
        <f>Assumptions!E40</f>
        <v>0.33</v>
      </c>
      <c r="I7" s="293">
        <f>Assumptions!F40</f>
        <v>0.33</v>
      </c>
      <c r="J7" s="294">
        <f>Assumptions!G40</f>
        <v>0.33</v>
      </c>
      <c r="K7" s="292">
        <f>Assumptions!H40</f>
        <v>0.34499999999999997</v>
      </c>
      <c r="L7" s="293">
        <f>Assumptions!I40</f>
        <v>0.34499999999999997</v>
      </c>
      <c r="M7" s="293">
        <f>Assumptions!J40</f>
        <v>0.34499999999999997</v>
      </c>
      <c r="N7" s="293">
        <f>Assumptions!K40</f>
        <v>0.34499999999999997</v>
      </c>
      <c r="O7" s="293">
        <f>Assumptions!L40</f>
        <v>0.34499999999999997</v>
      </c>
      <c r="P7" s="293">
        <f>Assumptions!M40</f>
        <v>0.34499999999999997</v>
      </c>
      <c r="Q7" s="293">
        <f>Assumptions!N40</f>
        <v>0.34499999999999997</v>
      </c>
      <c r="R7" s="293">
        <f>Assumptions!O40</f>
        <v>0.34499999999999997</v>
      </c>
      <c r="S7" s="293">
        <f>Assumptions!P40</f>
        <v>0.34499999999999997</v>
      </c>
      <c r="T7" s="293">
        <f>Assumptions!Q40</f>
        <v>0.34499999999999997</v>
      </c>
      <c r="U7" s="293">
        <f>Assumptions!R40</f>
        <v>0.34499999999999997</v>
      </c>
      <c r="V7" s="293">
        <f>Assumptions!S40</f>
        <v>0.34499999999999997</v>
      </c>
      <c r="W7" s="293">
        <f>Assumptions!T40</f>
        <v>0.34499999999999997</v>
      </c>
      <c r="X7" s="293">
        <f>Assumptions!U40</f>
        <v>0.34499999999999997</v>
      </c>
      <c r="Y7" s="293">
        <f>Assumptions!V40</f>
        <v>0.34499999999999997</v>
      </c>
      <c r="Z7" s="293">
        <f>Assumptions!W40</f>
        <v>0.34499999999999997</v>
      </c>
      <c r="AA7" s="293">
        <f>Assumptions!X40</f>
        <v>0.34499999999999997</v>
      </c>
      <c r="AB7" s="293">
        <f>Assumptions!Y40</f>
        <v>0.34499999999999997</v>
      </c>
      <c r="AC7" s="293">
        <f>Assumptions!Z40</f>
        <v>0.34499999999999997</v>
      </c>
      <c r="AD7" s="293">
        <f>Assumptions!AA40</f>
        <v>0.34499999999999997</v>
      </c>
      <c r="AE7" s="293">
        <f>Assumptions!AB40</f>
        <v>0.34499999999999997</v>
      </c>
      <c r="AF7" s="294">
        <f>Assumptions!AD40</f>
        <v>0.34499999999999997</v>
      </c>
      <c r="AG7" s="353"/>
      <c r="AH7" s="6"/>
    </row>
    <row r="8" spans="1:34" ht="14.5">
      <c r="A8" s="1141"/>
      <c r="B8" s="624">
        <v>4</v>
      </c>
      <c r="C8" s="627" t="s">
        <v>63</v>
      </c>
      <c r="D8" s="633">
        <f>'Fin. Data'!D11</f>
        <v>2331.6999999999998</v>
      </c>
      <c r="E8" s="276">
        <f>'Fin. Data'!C11</f>
        <v>2842.9</v>
      </c>
      <c r="F8" s="280">
        <f>'Fin. Data'!B11</f>
        <v>3169.7</v>
      </c>
      <c r="G8" s="283">
        <f>G7*G6</f>
        <v>3451.7637</v>
      </c>
      <c r="H8" s="281">
        <f t="shared" ref="H8:AF8" si="4">H7*H6</f>
        <v>3607.0930664999996</v>
      </c>
      <c r="I8" s="281">
        <f t="shared" si="4"/>
        <v>3751.3767891599991</v>
      </c>
      <c r="J8" s="284">
        <f t="shared" si="4"/>
        <v>3901.4318607263995</v>
      </c>
      <c r="K8" s="283">
        <f t="shared" si="4"/>
        <v>4201.1327627549272</v>
      </c>
      <c r="L8" s="281">
        <f t="shared" si="4"/>
        <v>4327.1667456375744</v>
      </c>
      <c r="M8" s="281">
        <f t="shared" si="4"/>
        <v>4456.9817480067022</v>
      </c>
      <c r="N8" s="281">
        <f t="shared" si="4"/>
        <v>4590.6912004469032</v>
      </c>
      <c r="O8" s="281">
        <f t="shared" si="4"/>
        <v>4728.4119364603102</v>
      </c>
      <c r="P8" s="281">
        <f t="shared" si="4"/>
        <v>4870.2642945541193</v>
      </c>
      <c r="Q8" s="281">
        <f t="shared" si="4"/>
        <v>5016.3722233907429</v>
      </c>
      <c r="R8" s="281">
        <f t="shared" si="4"/>
        <v>5166.863390092466</v>
      </c>
      <c r="S8" s="281">
        <f t="shared" si="4"/>
        <v>5321.8692917952403</v>
      </c>
      <c r="T8" s="281">
        <f t="shared" si="4"/>
        <v>5481.5253705490977</v>
      </c>
      <c r="U8" s="281">
        <f t="shared" si="4"/>
        <v>5645.9711316655703</v>
      </c>
      <c r="V8" s="281">
        <f t="shared" si="4"/>
        <v>5815.3502656155379</v>
      </c>
      <c r="W8" s="281">
        <f t="shared" si="4"/>
        <v>5989.8107735840049</v>
      </c>
      <c r="X8" s="281">
        <f t="shared" si="4"/>
        <v>6169.5050967915258</v>
      </c>
      <c r="Y8" s="281">
        <f t="shared" si="4"/>
        <v>6354.5902496952713</v>
      </c>
      <c r="Z8" s="281">
        <f t="shared" si="4"/>
        <v>6545.2279571861291</v>
      </c>
      <c r="AA8" s="281">
        <f t="shared" si="4"/>
        <v>6741.5847959017128</v>
      </c>
      <c r="AB8" s="281">
        <f t="shared" si="4"/>
        <v>6943.8323397787635</v>
      </c>
      <c r="AC8" s="281">
        <f t="shared" si="4"/>
        <v>7152.147309972127</v>
      </c>
      <c r="AD8" s="281">
        <f t="shared" si="4"/>
        <v>7366.711729271291</v>
      </c>
      <c r="AE8" s="281">
        <f t="shared" si="4"/>
        <v>7587.7130811494308</v>
      </c>
      <c r="AF8" s="284">
        <f t="shared" si="4"/>
        <v>7815.3444735839139</v>
      </c>
      <c r="AG8" s="418"/>
      <c r="AH8" s="3"/>
    </row>
    <row r="9" spans="1:34" ht="14.5">
      <c r="A9" s="1141"/>
      <c r="B9" s="624" t="s">
        <v>441</v>
      </c>
      <c r="C9" s="625" t="s">
        <v>442</v>
      </c>
      <c r="D9" s="808">
        <v>-218.1</v>
      </c>
      <c r="E9" s="809">
        <v>-439.6</v>
      </c>
      <c r="F9" s="810">
        <v>-341.2</v>
      </c>
      <c r="G9" s="408">
        <f>$D$53*DCF!F40</f>
        <v>-479.71559999999999</v>
      </c>
      <c r="H9" s="409">
        <f>$D$53*DCF!G40</f>
        <v>-540.61559999999997</v>
      </c>
      <c r="I9" s="409">
        <f>$D$53*DCF!H40</f>
        <v>-604.887440094</v>
      </c>
      <c r="J9" s="410">
        <f>$D$53*DCF!I40</f>
        <v>-671.73015379176002</v>
      </c>
      <c r="K9" s="411">
        <f>$E$53*DCF!J40</f>
        <v>-705.94912003564798</v>
      </c>
      <c r="L9" s="412">
        <f>$E$53*DCF!K40</f>
        <v>-769.27054138731648</v>
      </c>
      <c r="M9" s="412">
        <f>$E$53*DCF!L40</f>
        <v>-834.49160537953503</v>
      </c>
      <c r="N9" s="412">
        <f>$E$53*DCF!M40</f>
        <v>-901.66930129152013</v>
      </c>
      <c r="O9" s="412">
        <f>$E$53*DCF!N40</f>
        <v>-970.8623280808647</v>
      </c>
      <c r="P9" s="412">
        <f>$E$53*DCF!O40</f>
        <v>-1042.1311456738897</v>
      </c>
      <c r="Q9" s="412">
        <f>$E$53*DCF!P40</f>
        <v>-1115.5380277947054</v>
      </c>
      <c r="R9" s="412">
        <f>$E$53*DCF!Q40</f>
        <v>-1191.1471163791457</v>
      </c>
      <c r="S9" s="412">
        <f>$E$53*DCF!R40</f>
        <v>-1269.0244776211191</v>
      </c>
      <c r="T9" s="412">
        <f>$E$53*DCF!S40</f>
        <v>-1349.2381597003516</v>
      </c>
      <c r="U9" s="412">
        <f>$E$53*DCF!T40</f>
        <v>-1431.8582522419611</v>
      </c>
      <c r="V9" s="412">
        <f>$E$53*DCF!U40</f>
        <v>-1516.9569475598189</v>
      </c>
      <c r="W9" s="412">
        <f>$E$53*DCF!V40</f>
        <v>-1604.6086037372127</v>
      </c>
      <c r="X9" s="412">
        <f>$E$53*DCF!W40</f>
        <v>-1694.889809599928</v>
      </c>
      <c r="Y9" s="412">
        <f>$E$53*DCF!X40</f>
        <v>-1787.8794516385249</v>
      </c>
      <c r="Z9" s="412">
        <f>$E$53*DCF!Y40</f>
        <v>-1883.6587829382797</v>
      </c>
      <c r="AA9" s="412">
        <f>$E$53*DCF!Z40</f>
        <v>-1982.3114941770273</v>
      </c>
      <c r="AB9" s="412">
        <f>$E$53*DCF!AA40</f>
        <v>-2083.9237867529368</v>
      </c>
      <c r="AC9" s="412">
        <f>$E$53*DCF!AB40</f>
        <v>-2188.584448106124</v>
      </c>
      <c r="AD9" s="412">
        <f>$E$53*DCF!AC40</f>
        <v>-2296.3849292999071</v>
      </c>
      <c r="AE9" s="412">
        <f>$E$53*DCF!AD40</f>
        <v>-2407.4194249295033</v>
      </c>
      <c r="AF9" s="413">
        <f>$E$53*DCF!AE40</f>
        <v>-2521.7849554279874</v>
      </c>
      <c r="AG9" s="419">
        <f>SUM(D9:AF9)</f>
        <v>-36845.431503639069</v>
      </c>
      <c r="AH9" s="3"/>
    </row>
    <row r="10" spans="1:34" ht="14.5">
      <c r="A10" s="1141"/>
      <c r="B10" s="624" t="s">
        <v>443</v>
      </c>
      <c r="C10" s="625" t="s">
        <v>444</v>
      </c>
      <c r="D10" s="808">
        <v>-5.0999999999999996</v>
      </c>
      <c r="E10" s="809">
        <f>-3.2</f>
        <v>-3.2</v>
      </c>
      <c r="F10" s="810">
        <v>-1.3</v>
      </c>
      <c r="G10" s="408">
        <f t="shared" ref="G10:J10" si="5">F38*$D$54</f>
        <v>-1.36585</v>
      </c>
      <c r="H10" s="414">
        <f t="shared" si="5"/>
        <v>-1.366532925</v>
      </c>
      <c r="I10" s="414">
        <f t="shared" si="5"/>
        <v>-1.3672161914624998</v>
      </c>
      <c r="J10" s="415">
        <f t="shared" si="5"/>
        <v>-1.3678997995582312</v>
      </c>
      <c r="K10" s="411">
        <f t="shared" ref="K10:AF10" si="6">J38*$E$54</f>
        <v>-2.1897339991328164</v>
      </c>
      <c r="L10" s="412">
        <f t="shared" si="6"/>
        <v>-2.1914857863321227</v>
      </c>
      <c r="M10" s="412">
        <f t="shared" si="6"/>
        <v>-2.1932389749611882</v>
      </c>
      <c r="N10" s="412">
        <f t="shared" si="6"/>
        <v>-2.1949935661411573</v>
      </c>
      <c r="O10" s="412">
        <f t="shared" si="6"/>
        <v>-2.1967495609940699</v>
      </c>
      <c r="P10" s="412">
        <f t="shared" si="6"/>
        <v>-2.1985069606428653</v>
      </c>
      <c r="Q10" s="412">
        <f t="shared" si="6"/>
        <v>-2.20026576621138</v>
      </c>
      <c r="R10" s="412">
        <f t="shared" si="6"/>
        <v>-2.202025978824349</v>
      </c>
      <c r="S10" s="412">
        <f t="shared" si="6"/>
        <v>-2.2037875996074083</v>
      </c>
      <c r="T10" s="412">
        <f t="shared" si="6"/>
        <v>-2.2055506296870946</v>
      </c>
      <c r="U10" s="412">
        <f t="shared" si="6"/>
        <v>-2.2073150701908437</v>
      </c>
      <c r="V10" s="412">
        <f t="shared" si="6"/>
        <v>-2.2090809222469967</v>
      </c>
      <c r="W10" s="412">
        <f t="shared" si="6"/>
        <v>-2.2108481869847942</v>
      </c>
      <c r="X10" s="412">
        <f t="shared" si="6"/>
        <v>-2.2126168655343821</v>
      </c>
      <c r="Y10" s="412">
        <f t="shared" si="6"/>
        <v>-2.2143869590268097</v>
      </c>
      <c r="Z10" s="412">
        <f t="shared" si="6"/>
        <v>-2.2161584685940312</v>
      </c>
      <c r="AA10" s="412">
        <f t="shared" si="6"/>
        <v>-2.2179313953689066</v>
      </c>
      <c r="AB10" s="412">
        <f t="shared" si="6"/>
        <v>-2.2197057404852014</v>
      </c>
      <c r="AC10" s="412">
        <f t="shared" si="6"/>
        <v>-2.2214815050775898</v>
      </c>
      <c r="AD10" s="412">
        <f t="shared" si="6"/>
        <v>-2.2232586902816514</v>
      </c>
      <c r="AE10" s="412">
        <f t="shared" si="6"/>
        <v>-2.2250372972338766</v>
      </c>
      <c r="AF10" s="413">
        <f t="shared" si="6"/>
        <v>-2.226817327071664</v>
      </c>
      <c r="AG10" s="418"/>
      <c r="AH10" s="3"/>
    </row>
    <row r="11" spans="1:34" ht="14.5">
      <c r="A11" s="1141"/>
      <c r="B11" s="624" t="s">
        <v>445</v>
      </c>
      <c r="C11" s="625" t="s">
        <v>446</v>
      </c>
      <c r="D11" s="808">
        <v>-44.9</v>
      </c>
      <c r="E11" s="809">
        <v>-68.5</v>
      </c>
      <c r="F11" s="810">
        <v>-63.6</v>
      </c>
      <c r="G11" s="408">
        <f>G6*$D$55</f>
        <v>-83.679119999999998</v>
      </c>
      <c r="H11" s="414">
        <f t="shared" ref="H11:AF11" si="7">H6*$D$55</f>
        <v>-87.444680399999982</v>
      </c>
      <c r="I11" s="414">
        <f t="shared" si="7"/>
        <v>-90.942467615999988</v>
      </c>
      <c r="J11" s="415">
        <f t="shared" si="7"/>
        <v>-94.580166320639989</v>
      </c>
      <c r="K11" s="408">
        <f t="shared" si="7"/>
        <v>-97.417571310259191</v>
      </c>
      <c r="L11" s="414">
        <f t="shared" si="7"/>
        <v>-100.34009844956695</v>
      </c>
      <c r="M11" s="414">
        <f t="shared" si="7"/>
        <v>-103.35030140305396</v>
      </c>
      <c r="N11" s="414">
        <f t="shared" si="7"/>
        <v>-106.45081044514559</v>
      </c>
      <c r="O11" s="414">
        <f t="shared" si="7"/>
        <v>-109.64433475849997</v>
      </c>
      <c r="P11" s="414">
        <f t="shared" si="7"/>
        <v>-112.93366480125496</v>
      </c>
      <c r="Q11" s="414">
        <f t="shared" si="7"/>
        <v>-116.32167474529261</v>
      </c>
      <c r="R11" s="414">
        <f t="shared" si="7"/>
        <v>-119.81132498765139</v>
      </c>
      <c r="S11" s="414">
        <f t="shared" si="7"/>
        <v>-123.40566473728094</v>
      </c>
      <c r="T11" s="414">
        <f t="shared" si="7"/>
        <v>-127.10783467939937</v>
      </c>
      <c r="U11" s="414">
        <f t="shared" si="7"/>
        <v>-130.92106971978137</v>
      </c>
      <c r="V11" s="414">
        <f t="shared" si="7"/>
        <v>-134.84870181137481</v>
      </c>
      <c r="W11" s="414">
        <f t="shared" si="7"/>
        <v>-138.89416286571605</v>
      </c>
      <c r="X11" s="414">
        <f t="shared" si="7"/>
        <v>-143.06098775168755</v>
      </c>
      <c r="Y11" s="414">
        <f t="shared" si="7"/>
        <v>-147.35281738423819</v>
      </c>
      <c r="Z11" s="414">
        <f t="shared" si="7"/>
        <v>-151.77340190576533</v>
      </c>
      <c r="AA11" s="414">
        <f t="shared" si="7"/>
        <v>-156.32660396293826</v>
      </c>
      <c r="AB11" s="414">
        <f t="shared" si="7"/>
        <v>-161.01640208182641</v>
      </c>
      <c r="AC11" s="414">
        <f t="shared" si="7"/>
        <v>-165.84689414428124</v>
      </c>
      <c r="AD11" s="414">
        <f t="shared" si="7"/>
        <v>-170.82230096860965</v>
      </c>
      <c r="AE11" s="414">
        <f t="shared" si="7"/>
        <v>-175.94696999766796</v>
      </c>
      <c r="AF11" s="415">
        <f t="shared" si="7"/>
        <v>-181.22537909759802</v>
      </c>
      <c r="AG11" s="418"/>
      <c r="AH11" s="3"/>
    </row>
    <row r="12" spans="1:34" ht="14.5">
      <c r="A12" s="1141"/>
      <c r="B12" s="624">
        <v>6</v>
      </c>
      <c r="C12" s="627" t="s">
        <v>54</v>
      </c>
      <c r="D12" s="811">
        <f>D8-D9-D10</f>
        <v>2554.8999999999996</v>
      </c>
      <c r="E12" s="296">
        <f t="shared" ref="E12:AF12" si="8">E8-E9-E10</f>
        <v>3285.7</v>
      </c>
      <c r="F12" s="805">
        <f t="shared" si="8"/>
        <v>3512.2</v>
      </c>
      <c r="G12" s="295">
        <f>G8-G9-G10</f>
        <v>3932.8451500000001</v>
      </c>
      <c r="H12" s="296">
        <f t="shared" si="8"/>
        <v>4149.0751994249995</v>
      </c>
      <c r="I12" s="296">
        <f t="shared" si="8"/>
        <v>4357.6314454454623</v>
      </c>
      <c r="J12" s="297">
        <f t="shared" si="8"/>
        <v>4574.5299143177181</v>
      </c>
      <c r="K12" s="295">
        <f t="shared" si="8"/>
        <v>4909.2716167897079</v>
      </c>
      <c r="L12" s="296">
        <f t="shared" si="8"/>
        <v>5098.6287728112229</v>
      </c>
      <c r="M12" s="296">
        <f t="shared" si="8"/>
        <v>5293.6665923611981</v>
      </c>
      <c r="N12" s="296">
        <f t="shared" si="8"/>
        <v>5494.5554953045648</v>
      </c>
      <c r="O12" s="296">
        <f t="shared" si="8"/>
        <v>5701.4710141021687</v>
      </c>
      <c r="P12" s="296">
        <f t="shared" si="8"/>
        <v>5914.5939471886513</v>
      </c>
      <c r="Q12" s="296">
        <f t="shared" si="8"/>
        <v>6134.1105169516595</v>
      </c>
      <c r="R12" s="296">
        <f t="shared" si="8"/>
        <v>6360.2125324504359</v>
      </c>
      <c r="S12" s="296">
        <f t="shared" si="8"/>
        <v>6593.0975570159671</v>
      </c>
      <c r="T12" s="296">
        <f t="shared" si="8"/>
        <v>6832.9690808791365</v>
      </c>
      <c r="U12" s="296">
        <f t="shared" si="8"/>
        <v>7080.0366989777222</v>
      </c>
      <c r="V12" s="296">
        <f t="shared" si="8"/>
        <v>7334.5162940976043</v>
      </c>
      <c r="W12" s="296">
        <f t="shared" si="8"/>
        <v>7596.6302255082019</v>
      </c>
      <c r="X12" s="296">
        <f t="shared" si="8"/>
        <v>7866.6075232569874</v>
      </c>
      <c r="Y12" s="296">
        <f t="shared" si="8"/>
        <v>8144.6840882928236</v>
      </c>
      <c r="Z12" s="296">
        <f t="shared" si="8"/>
        <v>8431.1028985930043</v>
      </c>
      <c r="AA12" s="296">
        <f t="shared" si="8"/>
        <v>8726.1142214741103</v>
      </c>
      <c r="AB12" s="296">
        <f t="shared" si="8"/>
        <v>9029.9758322721846</v>
      </c>
      <c r="AC12" s="296">
        <f t="shared" si="8"/>
        <v>9342.9532395833285</v>
      </c>
      <c r="AD12" s="296">
        <f t="shared" si="8"/>
        <v>9665.3199172614786</v>
      </c>
      <c r="AE12" s="296">
        <f t="shared" si="8"/>
        <v>9997.3575433761689</v>
      </c>
      <c r="AF12" s="297">
        <f t="shared" si="8"/>
        <v>10339.356246338972</v>
      </c>
      <c r="AG12" s="269"/>
      <c r="AH12" s="3"/>
    </row>
    <row r="13" spans="1:34" ht="14.5">
      <c r="A13" s="1141"/>
      <c r="B13" s="624">
        <v>7</v>
      </c>
      <c r="C13" s="625" t="s">
        <v>447</v>
      </c>
      <c r="D13" s="812">
        <f>'Fin. Data'!D14</f>
        <v>-356.4</v>
      </c>
      <c r="E13" s="813">
        <f>'Fin. Data'!C14</f>
        <v>-398.7</v>
      </c>
      <c r="F13" s="814">
        <f>'Fin. Data'!B14</f>
        <v>-435.4</v>
      </c>
      <c r="G13" s="411">
        <f t="shared" ref="G13:J13" si="9">F43*$D$58-F44*$D$57</f>
        <v>-377.26200000000006</v>
      </c>
      <c r="H13" s="412">
        <f t="shared" si="9"/>
        <v>-360.78300000000007</v>
      </c>
      <c r="I13" s="412">
        <f t="shared" si="9"/>
        <v>-339.91800000000006</v>
      </c>
      <c r="J13" s="413">
        <f t="shared" si="9"/>
        <v>-321.96900000000005</v>
      </c>
      <c r="K13" s="411">
        <f>J43*$E$58-J44*$E$57</f>
        <v>-346.32675000000012</v>
      </c>
      <c r="L13" s="412">
        <f t="shared" ref="L13:AF13" si="10">K43*$E$58-K44*$E$57</f>
        <v>-350.1207500000001</v>
      </c>
      <c r="M13" s="412">
        <f t="shared" si="10"/>
        <v>-369.50725000000011</v>
      </c>
      <c r="N13" s="412">
        <f t="shared" si="10"/>
        <v>-384.55725000000012</v>
      </c>
      <c r="O13" s="412">
        <f t="shared" si="10"/>
        <v>-402.38975000000011</v>
      </c>
      <c r="P13" s="412">
        <f t="shared" si="10"/>
        <v>-399.08575000000013</v>
      </c>
      <c r="Q13" s="412">
        <f t="shared" si="10"/>
        <v>-408.16125000000011</v>
      </c>
      <c r="R13" s="412">
        <f t="shared" si="10"/>
        <v>-427.41125000000011</v>
      </c>
      <c r="S13" s="412">
        <f t="shared" si="10"/>
        <v>-425.66125000000011</v>
      </c>
      <c r="T13" s="412">
        <f t="shared" si="10"/>
        <v>-434.41125000000011</v>
      </c>
      <c r="U13" s="412">
        <f t="shared" si="10"/>
        <v>-443.16125000000011</v>
      </c>
      <c r="V13" s="412">
        <f t="shared" si="10"/>
        <v>-443.16125000000011</v>
      </c>
      <c r="W13" s="412">
        <f t="shared" si="10"/>
        <v>-443.16125000000011</v>
      </c>
      <c r="X13" s="412">
        <f t="shared" si="10"/>
        <v>-460.66125000000011</v>
      </c>
      <c r="Y13" s="412">
        <f t="shared" si="10"/>
        <v>-462.41125000000011</v>
      </c>
      <c r="Z13" s="412">
        <f t="shared" si="10"/>
        <v>-444.91125000000011</v>
      </c>
      <c r="AA13" s="412">
        <f t="shared" si="10"/>
        <v>-441.41125000000011</v>
      </c>
      <c r="AB13" s="412">
        <f t="shared" si="10"/>
        <v>-443.16125000000011</v>
      </c>
      <c r="AC13" s="412">
        <f t="shared" si="10"/>
        <v>-434.41125000000011</v>
      </c>
      <c r="AD13" s="412">
        <f t="shared" si="10"/>
        <v>-443.16125000000011</v>
      </c>
      <c r="AE13" s="412">
        <f t="shared" si="10"/>
        <v>-419.11275000000012</v>
      </c>
      <c r="AF13" s="413">
        <f t="shared" si="10"/>
        <v>-410.5797500000001</v>
      </c>
      <c r="AG13" s="418"/>
      <c r="AH13" s="3"/>
    </row>
    <row r="14" spans="1:34" ht="14.5">
      <c r="A14" s="1141"/>
      <c r="B14" s="624">
        <v>8</v>
      </c>
      <c r="C14" s="625" t="s">
        <v>448</v>
      </c>
      <c r="D14" s="815">
        <f>'Fin. Data'!D15</f>
        <v>-1664.9</v>
      </c>
      <c r="E14" s="816">
        <f>'Fin. Data'!C15</f>
        <v>-2060.6</v>
      </c>
      <c r="F14" s="817">
        <f>'Fin. Data'!B15</f>
        <v>-512.5</v>
      </c>
      <c r="G14" s="990">
        <v>-1600</v>
      </c>
      <c r="H14" s="281">
        <f>AVERAGE(F14)*(1+H5)*1.2</f>
        <v>-642.67499999999995</v>
      </c>
      <c r="I14" s="296">
        <f>AVERAGE(F14,H14)*(1+I5)*1.2</f>
        <v>-720.82920000000001</v>
      </c>
      <c r="J14" s="297">
        <f>AVERAGE(F14,H14:I14)*(1+J5)*1.2</f>
        <v>-780.41774720000001</v>
      </c>
      <c r="K14" s="283">
        <f>AVERAGE(H14:J14)*(1+K5)</f>
        <v>-736.07986853866669</v>
      </c>
      <c r="L14" s="281">
        <f t="shared" ref="L14:AF14" si="11">AVERAGE(I14:K14)*(1+L5)</f>
        <v>-768.14887340360883</v>
      </c>
      <c r="M14" s="281">
        <f t="shared" si="11"/>
        <v>-784.39529460551466</v>
      </c>
      <c r="N14" s="281">
        <f t="shared" si="11"/>
        <v>-785.76091921474131</v>
      </c>
      <c r="O14" s="281">
        <f t="shared" si="11"/>
        <v>-802.81807994686017</v>
      </c>
      <c r="P14" s="281">
        <f t="shared" si="11"/>
        <v>-814.72117419337656</v>
      </c>
      <c r="Q14" s="281">
        <f t="shared" si="11"/>
        <v>-825.1330595185425</v>
      </c>
      <c r="R14" s="281">
        <f t="shared" si="11"/>
        <v>-838.65082768951413</v>
      </c>
      <c r="S14" s="281">
        <f t="shared" si="11"/>
        <v>-850.95340441449207</v>
      </c>
      <c r="T14" s="281">
        <f t="shared" si="11"/>
        <v>-863.39313679040845</v>
      </c>
      <c r="U14" s="281">
        <f t="shared" si="11"/>
        <v>-876.52909665374909</v>
      </c>
      <c r="V14" s="281">
        <f t="shared" si="11"/>
        <v>-889.5339689981364</v>
      </c>
      <c r="W14" s="281">
        <f t="shared" si="11"/>
        <v>-902.77996283852087</v>
      </c>
      <c r="X14" s="281">
        <f t="shared" si="11"/>
        <v>-916.30277311503971</v>
      </c>
      <c r="Y14" s="281">
        <f t="shared" si="11"/>
        <v>-929.95840203341606</v>
      </c>
      <c r="Z14" s="281">
        <f t="shared" si="11"/>
        <v>-943.83745737552863</v>
      </c>
      <c r="AA14" s="281">
        <f t="shared" si="11"/>
        <v>-957.93386383323468</v>
      </c>
      <c r="AB14" s="281">
        <f t="shared" si="11"/>
        <v>-972.22720497981481</v>
      </c>
      <c r="AC14" s="281">
        <f t="shared" si="11"/>
        <v>-986.7394939914119</v>
      </c>
      <c r="AD14" s="281">
        <f t="shared" si="11"/>
        <v>-1001.4691932295318</v>
      </c>
      <c r="AE14" s="281">
        <f t="shared" si="11"/>
        <v>-1016.4163229889272</v>
      </c>
      <c r="AF14" s="284">
        <f t="shared" si="11"/>
        <v>-1031.5879201720559</v>
      </c>
      <c r="AG14" s="418"/>
      <c r="AH14" s="3"/>
    </row>
    <row r="15" spans="1:34" ht="14.5">
      <c r="A15" s="1141"/>
      <c r="B15" s="624">
        <v>9</v>
      </c>
      <c r="C15" s="627" t="s">
        <v>449</v>
      </c>
      <c r="D15" s="811">
        <f t="shared" ref="D15:AF15" si="12">D8+D13+D14</f>
        <v>310.39999999999964</v>
      </c>
      <c r="E15" s="296">
        <f t="shared" si="12"/>
        <v>383.60000000000036</v>
      </c>
      <c r="F15" s="805">
        <f t="shared" si="12"/>
        <v>2221.7999999999997</v>
      </c>
      <c r="G15" s="295">
        <f t="shared" si="12"/>
        <v>1474.5016999999998</v>
      </c>
      <c r="H15" s="296">
        <f t="shared" si="12"/>
        <v>2603.6350665</v>
      </c>
      <c r="I15" s="296">
        <f t="shared" si="12"/>
        <v>2690.6295891599989</v>
      </c>
      <c r="J15" s="297">
        <f t="shared" si="12"/>
        <v>2799.0451135263993</v>
      </c>
      <c r="K15" s="295">
        <f t="shared" si="12"/>
        <v>3118.7261442162603</v>
      </c>
      <c r="L15" s="296">
        <f t="shared" si="12"/>
        <v>3208.8971222339655</v>
      </c>
      <c r="M15" s="296">
        <f t="shared" si="12"/>
        <v>3303.0792034011874</v>
      </c>
      <c r="N15" s="296">
        <f t="shared" si="12"/>
        <v>3420.3730312321622</v>
      </c>
      <c r="O15" s="296">
        <f t="shared" si="12"/>
        <v>3523.2041065134499</v>
      </c>
      <c r="P15" s="296">
        <f t="shared" si="12"/>
        <v>3656.4573703607425</v>
      </c>
      <c r="Q15" s="296">
        <f t="shared" si="12"/>
        <v>3783.0779138722</v>
      </c>
      <c r="R15" s="296">
        <f t="shared" si="12"/>
        <v>3900.8013124029517</v>
      </c>
      <c r="S15" s="296">
        <f t="shared" si="12"/>
        <v>4045.2546373807481</v>
      </c>
      <c r="T15" s="296">
        <f t="shared" si="12"/>
        <v>4183.7209837586888</v>
      </c>
      <c r="U15" s="296">
        <f t="shared" si="12"/>
        <v>4326.2807850118206</v>
      </c>
      <c r="V15" s="296">
        <f t="shared" si="12"/>
        <v>4482.6550466174012</v>
      </c>
      <c r="W15" s="296">
        <f t="shared" si="12"/>
        <v>4643.8695607454838</v>
      </c>
      <c r="X15" s="296">
        <f t="shared" si="12"/>
        <v>4792.5410736764861</v>
      </c>
      <c r="Y15" s="296">
        <f t="shared" si="12"/>
        <v>4962.2205976618552</v>
      </c>
      <c r="Z15" s="296">
        <f t="shared" si="12"/>
        <v>5156.4792498105999</v>
      </c>
      <c r="AA15" s="296">
        <f t="shared" si="12"/>
        <v>5342.239682068478</v>
      </c>
      <c r="AB15" s="296">
        <f t="shared" si="12"/>
        <v>5528.4438847989486</v>
      </c>
      <c r="AC15" s="296">
        <f t="shared" si="12"/>
        <v>5730.9965659807149</v>
      </c>
      <c r="AD15" s="296">
        <f t="shared" si="12"/>
        <v>5922.0812860417591</v>
      </c>
      <c r="AE15" s="296">
        <f t="shared" si="12"/>
        <v>6152.1840081605033</v>
      </c>
      <c r="AF15" s="297">
        <f t="shared" si="12"/>
        <v>6373.1768034118577</v>
      </c>
      <c r="AG15" s="418"/>
      <c r="AH15" s="3"/>
    </row>
    <row r="16" spans="1:34" ht="14.5">
      <c r="A16" s="1141"/>
      <c r="B16" s="624">
        <v>10</v>
      </c>
      <c r="C16" s="625" t="s">
        <v>450</v>
      </c>
      <c r="D16" s="818">
        <f>'Fin. Data'!D21</f>
        <v>-309.39999999999998</v>
      </c>
      <c r="E16" s="819">
        <f>'Fin. Data'!C21</f>
        <v>-422.1</v>
      </c>
      <c r="F16" s="820">
        <f>'Fin. Data'!B21</f>
        <v>-456.6</v>
      </c>
      <c r="G16" s="399">
        <f>-11%*G15</f>
        <v>-162.19518699999998</v>
      </c>
      <c r="H16" s="367">
        <f>-$D$56*H15</f>
        <v>-520.72701330000007</v>
      </c>
      <c r="I16" s="367">
        <f t="shared" ref="I16:J16" si="13">-$D$56*I15</f>
        <v>-538.1259178319998</v>
      </c>
      <c r="J16" s="367">
        <f t="shared" si="13"/>
        <v>-559.80902270527986</v>
      </c>
      <c r="K16" s="366">
        <f>-$E$56*K15</f>
        <v>-623.74522884325211</v>
      </c>
      <c r="L16" s="367">
        <f>-$E$56*L15</f>
        <v>-641.7794244467932</v>
      </c>
      <c r="M16" s="367">
        <f t="shared" ref="M16:AE16" si="14">-$E$56*M15</f>
        <v>-660.61584068023751</v>
      </c>
      <c r="N16" s="367">
        <f t="shared" si="14"/>
        <v>-684.0746062464325</v>
      </c>
      <c r="O16" s="367">
        <f t="shared" si="14"/>
        <v>-704.64082130269003</v>
      </c>
      <c r="P16" s="367">
        <f t="shared" si="14"/>
        <v>-731.2914740721485</v>
      </c>
      <c r="Q16" s="367">
        <f t="shared" si="14"/>
        <v>-756.6155827744401</v>
      </c>
      <c r="R16" s="367">
        <f t="shared" si="14"/>
        <v>-780.1602624805904</v>
      </c>
      <c r="S16" s="367">
        <f t="shared" si="14"/>
        <v>-809.0509274761497</v>
      </c>
      <c r="T16" s="367">
        <f t="shared" si="14"/>
        <v>-836.74419675173783</v>
      </c>
      <c r="U16" s="367">
        <f t="shared" si="14"/>
        <v>-865.25615700236415</v>
      </c>
      <c r="V16" s="367">
        <f t="shared" si="14"/>
        <v>-896.53100932348025</v>
      </c>
      <c r="W16" s="367">
        <f t="shared" si="14"/>
        <v>-928.77391214909676</v>
      </c>
      <c r="X16" s="367">
        <f t="shared" si="14"/>
        <v>-958.50821473529732</v>
      </c>
      <c r="Y16" s="367">
        <f t="shared" si="14"/>
        <v>-992.44411953237113</v>
      </c>
      <c r="Z16" s="367">
        <f t="shared" si="14"/>
        <v>-1031.29584996212</v>
      </c>
      <c r="AA16" s="367">
        <f t="shared" si="14"/>
        <v>-1068.4479364136957</v>
      </c>
      <c r="AB16" s="367">
        <f t="shared" si="14"/>
        <v>-1105.6887769597897</v>
      </c>
      <c r="AC16" s="367">
        <f t="shared" si="14"/>
        <v>-1146.1993131961431</v>
      </c>
      <c r="AD16" s="367">
        <f t="shared" si="14"/>
        <v>-1184.4162572083519</v>
      </c>
      <c r="AE16" s="367">
        <f t="shared" si="14"/>
        <v>-1230.4368016321007</v>
      </c>
      <c r="AF16" s="368">
        <f>-$E$56*AF15</f>
        <v>-1274.6353606823716</v>
      </c>
      <c r="AG16" s="418"/>
      <c r="AH16" s="3"/>
    </row>
    <row r="17" spans="1:34" ht="14.5">
      <c r="A17" s="1141"/>
      <c r="B17" s="628">
        <v>11</v>
      </c>
      <c r="C17" s="629" t="s">
        <v>451</v>
      </c>
      <c r="D17" s="821">
        <f>'Fin. Data'!D23</f>
        <v>1</v>
      </c>
      <c r="E17" s="804">
        <f>'Fin. Data'!C23</f>
        <v>-38.5</v>
      </c>
      <c r="F17" s="804">
        <f>'Fin. Data'!B23</f>
        <v>1765.2</v>
      </c>
      <c r="G17" s="286">
        <f t="shared" ref="G17:AF17" si="15">G16+G15</f>
        <v>1312.3065129999998</v>
      </c>
      <c r="H17" s="287">
        <f t="shared" si="15"/>
        <v>2082.9080531999998</v>
      </c>
      <c r="I17" s="287">
        <f t="shared" si="15"/>
        <v>2152.5036713279992</v>
      </c>
      <c r="J17" s="288">
        <f t="shared" si="15"/>
        <v>2239.2360908211194</v>
      </c>
      <c r="K17" s="286">
        <f t="shared" si="15"/>
        <v>2494.9809153730084</v>
      </c>
      <c r="L17" s="287">
        <f t="shared" si="15"/>
        <v>2567.1176977871723</v>
      </c>
      <c r="M17" s="287">
        <f t="shared" si="15"/>
        <v>2642.46336272095</v>
      </c>
      <c r="N17" s="287">
        <f t="shared" si="15"/>
        <v>2736.29842498573</v>
      </c>
      <c r="O17" s="287">
        <f t="shared" si="15"/>
        <v>2818.5632852107601</v>
      </c>
      <c r="P17" s="287">
        <f t="shared" si="15"/>
        <v>2925.165896288594</v>
      </c>
      <c r="Q17" s="287">
        <f t="shared" si="15"/>
        <v>3026.4623310977599</v>
      </c>
      <c r="R17" s="287">
        <f t="shared" si="15"/>
        <v>3120.6410499223612</v>
      </c>
      <c r="S17" s="287">
        <f t="shared" si="15"/>
        <v>3236.2037099045983</v>
      </c>
      <c r="T17" s="287">
        <f t="shared" si="15"/>
        <v>3346.9767870069509</v>
      </c>
      <c r="U17" s="287">
        <f t="shared" si="15"/>
        <v>3461.0246280094566</v>
      </c>
      <c r="V17" s="287">
        <f t="shared" si="15"/>
        <v>3586.124037293921</v>
      </c>
      <c r="W17" s="287">
        <f t="shared" si="15"/>
        <v>3715.095648596387</v>
      </c>
      <c r="X17" s="287">
        <f t="shared" si="15"/>
        <v>3834.0328589411888</v>
      </c>
      <c r="Y17" s="287">
        <f t="shared" si="15"/>
        <v>3969.7764781294841</v>
      </c>
      <c r="Z17" s="287">
        <f t="shared" si="15"/>
        <v>4125.1833998484799</v>
      </c>
      <c r="AA17" s="287">
        <f t="shared" si="15"/>
        <v>4273.7917456547821</v>
      </c>
      <c r="AB17" s="287">
        <f t="shared" si="15"/>
        <v>4422.7551078391589</v>
      </c>
      <c r="AC17" s="287">
        <f t="shared" si="15"/>
        <v>4584.7972527845723</v>
      </c>
      <c r="AD17" s="287">
        <f t="shared" si="15"/>
        <v>4737.6650288334076</v>
      </c>
      <c r="AE17" s="287">
        <f t="shared" si="15"/>
        <v>4921.7472065284028</v>
      </c>
      <c r="AF17" s="288">
        <f t="shared" si="15"/>
        <v>5098.5414427294863</v>
      </c>
      <c r="AG17" s="418"/>
      <c r="AH17" s="3"/>
    </row>
    <row r="18" spans="1:34" ht="15" thickBot="1">
      <c r="A18" s="225"/>
      <c r="B18" s="237"/>
      <c r="C18" s="238" t="s">
        <v>156</v>
      </c>
      <c r="D18" s="242" t="s">
        <v>156</v>
      </c>
      <c r="E18" s="242" t="s">
        <v>156</v>
      </c>
      <c r="F18" s="242" t="s">
        <v>156</v>
      </c>
      <c r="G18" s="239" t="s">
        <v>156</v>
      </c>
      <c r="H18" s="239" t="s">
        <v>156</v>
      </c>
      <c r="I18" s="239" t="s">
        <v>156</v>
      </c>
      <c r="J18" s="239" t="s">
        <v>156</v>
      </c>
      <c r="K18" s="239" t="s">
        <v>156</v>
      </c>
      <c r="L18" s="239" t="s">
        <v>156</v>
      </c>
      <c r="M18" s="239" t="s">
        <v>156</v>
      </c>
      <c r="N18" s="239" t="s">
        <v>156</v>
      </c>
      <c r="O18" s="239" t="s">
        <v>156</v>
      </c>
      <c r="P18" s="239" t="s">
        <v>156</v>
      </c>
      <c r="Q18" s="239" t="s">
        <v>156</v>
      </c>
      <c r="R18" s="239" t="s">
        <v>156</v>
      </c>
      <c r="S18" s="239" t="s">
        <v>156</v>
      </c>
      <c r="T18" s="239" t="s">
        <v>156</v>
      </c>
      <c r="U18" s="239" t="s">
        <v>156</v>
      </c>
      <c r="V18" s="239" t="s">
        <v>156</v>
      </c>
      <c r="W18" s="239" t="s">
        <v>156</v>
      </c>
      <c r="X18" s="239" t="s">
        <v>156</v>
      </c>
      <c r="Y18" s="239" t="s">
        <v>156</v>
      </c>
      <c r="Z18" s="239" t="s">
        <v>156</v>
      </c>
      <c r="AA18" s="239" t="s">
        <v>156</v>
      </c>
      <c r="AB18" s="239" t="s">
        <v>156</v>
      </c>
      <c r="AC18" s="239" t="s">
        <v>156</v>
      </c>
      <c r="AD18" s="239" t="s">
        <v>156</v>
      </c>
      <c r="AE18" s="239" t="s">
        <v>156</v>
      </c>
      <c r="AF18" s="247" t="s">
        <v>156</v>
      </c>
      <c r="AG18" s="418"/>
      <c r="AH18" s="3"/>
    </row>
    <row r="19" spans="1:34" ht="14.5">
      <c r="A19" s="1367" t="s">
        <v>452</v>
      </c>
      <c r="B19" s="215">
        <v>12</v>
      </c>
      <c r="C19" s="377" t="s">
        <v>453</v>
      </c>
      <c r="D19" s="940">
        <f>Inputs!D59-DCF!D20-DCF!D21</f>
        <v>1901.3000000000002</v>
      </c>
      <c r="E19" s="941">
        <f>Inputs!C59-DCF!E20-DCF!E21</f>
        <v>1894.8</v>
      </c>
      <c r="F19" s="942">
        <f>Inputs!B59-DCF!F20-DCF!F21</f>
        <v>2364.9</v>
      </c>
      <c r="G19" s="603">
        <f>G17-G10-G9-G11</f>
        <v>1877.0670829999997</v>
      </c>
      <c r="H19" s="604">
        <f t="shared" ref="H19:AF19" si="16">H17-H10-H9-H11</f>
        <v>2712.3348665249996</v>
      </c>
      <c r="I19" s="604">
        <f t="shared" si="16"/>
        <v>2849.7007952294616</v>
      </c>
      <c r="J19" s="605">
        <f t="shared" si="16"/>
        <v>3006.9143107330774</v>
      </c>
      <c r="K19" s="606">
        <f t="shared" si="16"/>
        <v>3300.5373407180482</v>
      </c>
      <c r="L19" s="604">
        <f t="shared" si="16"/>
        <v>3438.9198234103878</v>
      </c>
      <c r="M19" s="604">
        <f t="shared" si="16"/>
        <v>3582.4985084785003</v>
      </c>
      <c r="N19" s="604">
        <f t="shared" si="16"/>
        <v>3746.6135302885368</v>
      </c>
      <c r="O19" s="604">
        <f t="shared" si="16"/>
        <v>3901.2666976111191</v>
      </c>
      <c r="P19" s="604">
        <f t="shared" si="16"/>
        <v>4082.429213724382</v>
      </c>
      <c r="Q19" s="604">
        <f t="shared" si="16"/>
        <v>4260.5222994039696</v>
      </c>
      <c r="R19" s="604">
        <f t="shared" si="16"/>
        <v>4433.8015172679825</v>
      </c>
      <c r="S19" s="604">
        <f t="shared" si="16"/>
        <v>4630.837639862606</v>
      </c>
      <c r="T19" s="604">
        <f t="shared" si="16"/>
        <v>4825.528332016389</v>
      </c>
      <c r="U19" s="604">
        <f t="shared" si="16"/>
        <v>5026.0112650413903</v>
      </c>
      <c r="V19" s="604">
        <f t="shared" si="16"/>
        <v>5240.1387675873611</v>
      </c>
      <c r="W19" s="604">
        <f t="shared" si="16"/>
        <v>5460.8092633863007</v>
      </c>
      <c r="X19" s="604">
        <f t="shared" si="16"/>
        <v>5674.196273158339</v>
      </c>
      <c r="Y19" s="604">
        <f t="shared" si="16"/>
        <v>5907.2231341112738</v>
      </c>
      <c r="Z19" s="604">
        <f t="shared" si="16"/>
        <v>6162.8317431611185</v>
      </c>
      <c r="AA19" s="604">
        <f t="shared" si="16"/>
        <v>6414.6477751901166</v>
      </c>
      <c r="AB19" s="604">
        <f t="shared" si="16"/>
        <v>6669.9150024144074</v>
      </c>
      <c r="AC19" s="604">
        <f t="shared" si="16"/>
        <v>6941.4500765400553</v>
      </c>
      <c r="AD19" s="604">
        <f t="shared" si="16"/>
        <v>7207.095517792206</v>
      </c>
      <c r="AE19" s="604">
        <f t="shared" si="16"/>
        <v>7507.338638752808</v>
      </c>
      <c r="AF19" s="607">
        <f t="shared" si="16"/>
        <v>7803.7785945821433</v>
      </c>
      <c r="AG19" s="418"/>
      <c r="AH19" s="3"/>
    </row>
    <row r="20" spans="1:34" ht="14.5">
      <c r="A20" s="1368"/>
      <c r="B20" s="215">
        <v>13</v>
      </c>
      <c r="C20" s="235" t="s">
        <v>454</v>
      </c>
      <c r="D20" s="614">
        <v>-44.9</v>
      </c>
      <c r="E20" s="282">
        <v>-63.6</v>
      </c>
      <c r="F20" s="611">
        <v>-68.5</v>
      </c>
      <c r="G20" s="608">
        <f>G11</f>
        <v>-83.679119999999998</v>
      </c>
      <c r="H20" s="416">
        <f t="shared" ref="H20:AF20" si="17">H11</f>
        <v>-87.444680399999982</v>
      </c>
      <c r="I20" s="416">
        <f t="shared" si="17"/>
        <v>-90.942467615999988</v>
      </c>
      <c r="J20" s="417">
        <f t="shared" si="17"/>
        <v>-94.580166320639989</v>
      </c>
      <c r="K20" s="404">
        <f t="shared" si="17"/>
        <v>-97.417571310259191</v>
      </c>
      <c r="L20" s="416">
        <f t="shared" si="17"/>
        <v>-100.34009844956695</v>
      </c>
      <c r="M20" s="416">
        <f t="shared" si="17"/>
        <v>-103.35030140305396</v>
      </c>
      <c r="N20" s="416">
        <f t="shared" si="17"/>
        <v>-106.45081044514559</v>
      </c>
      <c r="O20" s="416">
        <f t="shared" si="17"/>
        <v>-109.64433475849997</v>
      </c>
      <c r="P20" s="416">
        <f t="shared" si="17"/>
        <v>-112.93366480125496</v>
      </c>
      <c r="Q20" s="416">
        <f t="shared" si="17"/>
        <v>-116.32167474529261</v>
      </c>
      <c r="R20" s="416">
        <f t="shared" si="17"/>
        <v>-119.81132498765139</v>
      </c>
      <c r="S20" s="416">
        <f t="shared" si="17"/>
        <v>-123.40566473728094</v>
      </c>
      <c r="T20" s="416">
        <f t="shared" si="17"/>
        <v>-127.10783467939937</v>
      </c>
      <c r="U20" s="416">
        <f t="shared" si="17"/>
        <v>-130.92106971978137</v>
      </c>
      <c r="V20" s="416">
        <f t="shared" si="17"/>
        <v>-134.84870181137481</v>
      </c>
      <c r="W20" s="416">
        <f t="shared" si="17"/>
        <v>-138.89416286571605</v>
      </c>
      <c r="X20" s="416">
        <f t="shared" si="17"/>
        <v>-143.06098775168755</v>
      </c>
      <c r="Y20" s="416">
        <f t="shared" si="17"/>
        <v>-147.35281738423819</v>
      </c>
      <c r="Z20" s="416">
        <f t="shared" si="17"/>
        <v>-151.77340190576533</v>
      </c>
      <c r="AA20" s="416">
        <f t="shared" si="17"/>
        <v>-156.32660396293826</v>
      </c>
      <c r="AB20" s="416">
        <f t="shared" si="17"/>
        <v>-161.01640208182641</v>
      </c>
      <c r="AC20" s="416">
        <f t="shared" si="17"/>
        <v>-165.84689414428124</v>
      </c>
      <c r="AD20" s="416">
        <f t="shared" si="17"/>
        <v>-170.82230096860965</v>
      </c>
      <c r="AE20" s="416">
        <f t="shared" si="17"/>
        <v>-175.94696999766796</v>
      </c>
      <c r="AF20" s="609">
        <f t="shared" si="17"/>
        <v>-181.22537909759802</v>
      </c>
      <c r="AG20" s="418"/>
      <c r="AH20" s="3"/>
    </row>
    <row r="21" spans="1:34" ht="14.5">
      <c r="A21" s="1368"/>
      <c r="B21" s="215">
        <v>14</v>
      </c>
      <c r="C21" s="235" t="s">
        <v>455</v>
      </c>
      <c r="D21" s="943">
        <f>Inputs!D62</f>
        <v>849</v>
      </c>
      <c r="E21" s="251">
        <f>Inputs!C62</f>
        <v>925.7</v>
      </c>
      <c r="F21" s="944">
        <f>Inputs!B62</f>
        <v>483.6</v>
      </c>
      <c r="G21" s="610">
        <f>D60*(G6-F6)</f>
        <v>597.7080000000002</v>
      </c>
      <c r="H21" s="393">
        <f t="shared" ref="H21:J21" si="18">$D$60*(H6-G6)</f>
        <v>564.83405999999809</v>
      </c>
      <c r="I21" s="393">
        <f t="shared" si="18"/>
        <v>524.66808239999955</v>
      </c>
      <c r="J21" s="394">
        <f t="shared" si="18"/>
        <v>545.65480569600038</v>
      </c>
      <c r="K21" s="285">
        <f t="shared" ref="K21:AF21" si="19">$E$60*(K6-J6)</f>
        <v>638.41612266432026</v>
      </c>
      <c r="L21" s="282">
        <f t="shared" si="19"/>
        <v>657.56860634424845</v>
      </c>
      <c r="M21" s="282">
        <f t="shared" si="19"/>
        <v>677.29566453457699</v>
      </c>
      <c r="N21" s="282">
        <f t="shared" si="19"/>
        <v>697.61453447061547</v>
      </c>
      <c r="O21" s="282">
        <f t="shared" si="19"/>
        <v>718.54297050473326</v>
      </c>
      <c r="P21" s="282">
        <f t="shared" si="19"/>
        <v>740.09925961987472</v>
      </c>
      <c r="Q21" s="282">
        <f t="shared" si="19"/>
        <v>762.30223740847146</v>
      </c>
      <c r="R21" s="282">
        <f t="shared" si="19"/>
        <v>785.17130453072571</v>
      </c>
      <c r="S21" s="282">
        <f t="shared" si="19"/>
        <v>808.72644366664906</v>
      </c>
      <c r="T21" s="282">
        <f t="shared" si="19"/>
        <v>832.98823697664704</v>
      </c>
      <c r="U21" s="282">
        <f t="shared" si="19"/>
        <v>857.97788408594715</v>
      </c>
      <c r="V21" s="282">
        <f t="shared" si="19"/>
        <v>883.71722060852596</v>
      </c>
      <c r="W21" s="282">
        <f t="shared" si="19"/>
        <v>910.22873722678275</v>
      </c>
      <c r="X21" s="282">
        <f t="shared" si="19"/>
        <v>937.53559934358634</v>
      </c>
      <c r="Y21" s="282">
        <f t="shared" si="19"/>
        <v>965.66166732389036</v>
      </c>
      <c r="Z21" s="282">
        <f t="shared" si="19"/>
        <v>994.63151734360656</v>
      </c>
      <c r="AA21" s="282">
        <f t="shared" si="19"/>
        <v>1024.4704628639142</v>
      </c>
      <c r="AB21" s="282">
        <f t="shared" si="19"/>
        <v>1055.2045767498312</v>
      </c>
      <c r="AC21" s="282">
        <f t="shared" si="19"/>
        <v>1086.8607140523325</v>
      </c>
      <c r="AD21" s="282">
        <f t="shared" si="19"/>
        <v>1119.4665354738995</v>
      </c>
      <c r="AE21" s="282">
        <f t="shared" si="19"/>
        <v>1153.050531538119</v>
      </c>
      <c r="AF21" s="611">
        <f t="shared" si="19"/>
        <v>1187.6420474842621</v>
      </c>
      <c r="AG21" s="418"/>
      <c r="AH21" s="3"/>
    </row>
    <row r="22" spans="1:34" ht="14.5">
      <c r="A22" s="1368"/>
      <c r="B22" s="215">
        <v>15</v>
      </c>
      <c r="C22" s="240" t="s">
        <v>456</v>
      </c>
      <c r="D22" s="615">
        <f t="shared" ref="D22:AF22" si="20">D19+D20+D21</f>
        <v>2705.4</v>
      </c>
      <c r="E22" s="298">
        <f t="shared" si="20"/>
        <v>2756.9</v>
      </c>
      <c r="F22" s="616">
        <f t="shared" si="20"/>
        <v>2780</v>
      </c>
      <c r="G22" s="612">
        <f>G19+G20+G21</f>
        <v>2391.0959629999998</v>
      </c>
      <c r="H22" s="391">
        <f t="shared" si="20"/>
        <v>3189.724246124998</v>
      </c>
      <c r="I22" s="391">
        <f t="shared" si="20"/>
        <v>3283.426410013461</v>
      </c>
      <c r="J22" s="392">
        <f t="shared" si="20"/>
        <v>3457.9889501084381</v>
      </c>
      <c r="K22" s="390">
        <f t="shared" si="20"/>
        <v>3841.5358920721092</v>
      </c>
      <c r="L22" s="391">
        <f t="shared" si="20"/>
        <v>3996.1483313050694</v>
      </c>
      <c r="M22" s="391">
        <f t="shared" si="20"/>
        <v>4156.4438716100231</v>
      </c>
      <c r="N22" s="391">
        <f t="shared" si="20"/>
        <v>4337.7772543140063</v>
      </c>
      <c r="O22" s="391">
        <f t="shared" si="20"/>
        <v>4510.1653333573522</v>
      </c>
      <c r="P22" s="391">
        <f t="shared" si="20"/>
        <v>4709.5948085430018</v>
      </c>
      <c r="Q22" s="391">
        <f t="shared" si="20"/>
        <v>4906.5028620671483</v>
      </c>
      <c r="R22" s="391">
        <f t="shared" si="20"/>
        <v>5099.1614968110571</v>
      </c>
      <c r="S22" s="391">
        <f t="shared" si="20"/>
        <v>5316.1584187919743</v>
      </c>
      <c r="T22" s="391">
        <f t="shared" si="20"/>
        <v>5531.4087343136371</v>
      </c>
      <c r="U22" s="391">
        <f t="shared" si="20"/>
        <v>5753.0680794075561</v>
      </c>
      <c r="V22" s="391">
        <f t="shared" si="20"/>
        <v>5989.0072863845126</v>
      </c>
      <c r="W22" s="391">
        <f t="shared" si="20"/>
        <v>6232.1438377473678</v>
      </c>
      <c r="X22" s="391">
        <f t="shared" si="20"/>
        <v>6468.6708847502377</v>
      </c>
      <c r="Y22" s="391">
        <f t="shared" si="20"/>
        <v>6725.5319840509264</v>
      </c>
      <c r="Z22" s="391">
        <f t="shared" si="20"/>
        <v>7005.6898585989602</v>
      </c>
      <c r="AA22" s="391">
        <f t="shared" si="20"/>
        <v>7282.7916340910924</v>
      </c>
      <c r="AB22" s="391">
        <f t="shared" si="20"/>
        <v>7564.103177082412</v>
      </c>
      <c r="AC22" s="391">
        <f t="shared" si="20"/>
        <v>7862.4638964481064</v>
      </c>
      <c r="AD22" s="391">
        <f t="shared" si="20"/>
        <v>8155.7397522974952</v>
      </c>
      <c r="AE22" s="391">
        <f t="shared" si="20"/>
        <v>8484.4422002932588</v>
      </c>
      <c r="AF22" s="613">
        <f t="shared" si="20"/>
        <v>8810.1952629688076</v>
      </c>
      <c r="AG22" s="418"/>
      <c r="AH22" s="3"/>
    </row>
    <row r="23" spans="1:34" ht="14.5">
      <c r="A23" s="1368"/>
      <c r="B23" s="215">
        <v>16</v>
      </c>
      <c r="C23" s="235" t="s">
        <v>457</v>
      </c>
      <c r="D23" s="945">
        <f>'Fin. Data'!D32</f>
        <v>-1022.6999999999999</v>
      </c>
      <c r="E23" s="806">
        <f>'Fin. Data'!C32</f>
        <v>-1028.7</v>
      </c>
      <c r="F23" s="946">
        <f>'Fin. Data'!B32</f>
        <v>-1269.0999999999999</v>
      </c>
      <c r="G23" s="991">
        <v>-1450</v>
      </c>
      <c r="H23" s="282">
        <f t="shared" ref="H23" si="21">H6*$D$62</f>
        <v>-1530.2819069999998</v>
      </c>
      <c r="I23" s="282">
        <f>I6*$D$62</f>
        <v>-1591.4931832799998</v>
      </c>
      <c r="J23" s="376">
        <f>J6*$D$62</f>
        <v>-1655.1529106111998</v>
      </c>
      <c r="K23" s="285">
        <f>K6*$E$62</f>
        <v>-1583.0355337917117</v>
      </c>
      <c r="L23" s="282">
        <f>L6*$E$62</f>
        <v>-1630.5265998054631</v>
      </c>
      <c r="M23" s="282">
        <f>M6*$E$62</f>
        <v>-1679.4423977996269</v>
      </c>
      <c r="N23" s="282">
        <f t="shared" ref="N23:AF23" si="22">N6*$E$62</f>
        <v>-1729.8256697336158</v>
      </c>
      <c r="O23" s="282">
        <f t="shared" ref="O23:AE23" si="23">O6*$E$62</f>
        <v>-1781.7204398256245</v>
      </c>
      <c r="P23" s="282">
        <f t="shared" si="23"/>
        <v>-1835.1720530203932</v>
      </c>
      <c r="Q23" s="282">
        <f t="shared" si="23"/>
        <v>-1890.2272146110049</v>
      </c>
      <c r="R23" s="282">
        <f t="shared" si="23"/>
        <v>-1946.9340310493351</v>
      </c>
      <c r="S23" s="282">
        <f t="shared" si="23"/>
        <v>-2005.3420519808153</v>
      </c>
      <c r="T23" s="282">
        <f t="shared" si="23"/>
        <v>-2065.5023135402398</v>
      </c>
      <c r="U23" s="282">
        <f t="shared" si="23"/>
        <v>-2127.4673829464473</v>
      </c>
      <c r="V23" s="282">
        <f t="shared" si="23"/>
        <v>-2191.2914044348408</v>
      </c>
      <c r="W23" s="282">
        <f t="shared" si="23"/>
        <v>-2257.0301465678863</v>
      </c>
      <c r="X23" s="282">
        <f t="shared" si="23"/>
        <v>-2324.741050964923</v>
      </c>
      <c r="Y23" s="282">
        <f t="shared" si="23"/>
        <v>-2394.4832824938703</v>
      </c>
      <c r="Z23" s="282">
        <f t="shared" si="23"/>
        <v>-2466.3177809686867</v>
      </c>
      <c r="AA23" s="282">
        <f t="shared" si="23"/>
        <v>-2540.3073143977472</v>
      </c>
      <c r="AB23" s="282">
        <f t="shared" si="23"/>
        <v>-2616.5165338296792</v>
      </c>
      <c r="AC23" s="282">
        <f t="shared" si="23"/>
        <v>-2695.01202984457</v>
      </c>
      <c r="AD23" s="282">
        <f t="shared" si="23"/>
        <v>-2775.8623907399069</v>
      </c>
      <c r="AE23" s="282">
        <f t="shared" si="23"/>
        <v>-2859.1382624621046</v>
      </c>
      <c r="AF23" s="611">
        <f t="shared" si="22"/>
        <v>-2944.9124103359682</v>
      </c>
      <c r="AG23" s="419">
        <f>SUM(D23:AF23)</f>
        <v>-57888.23629603567</v>
      </c>
      <c r="AH23" s="3"/>
    </row>
    <row r="24" spans="1:34" ht="14.5">
      <c r="A24" s="1368"/>
      <c r="B24" s="215">
        <v>17</v>
      </c>
      <c r="C24" s="235" t="s">
        <v>458</v>
      </c>
      <c r="D24" s="947">
        <f>Inputs!E66</f>
        <v>757.2</v>
      </c>
      <c r="E24" s="807">
        <f>'Fin. Data'!C33</f>
        <v>28.799999999999997</v>
      </c>
      <c r="F24" s="948">
        <f>'Fin. Data'!B33</f>
        <v>47.8</v>
      </c>
      <c r="G24" s="614">
        <f>G6*$D$63</f>
        <v>52.29945</v>
      </c>
      <c r="H24" s="282">
        <f t="shared" ref="H24:J24" si="24">H6*$D$63</f>
        <v>54.652925249999988</v>
      </c>
      <c r="I24" s="282">
        <f t="shared" si="24"/>
        <v>56.839042259999985</v>
      </c>
      <c r="J24" s="376">
        <f t="shared" si="24"/>
        <v>59.112603950399993</v>
      </c>
      <c r="K24" s="285">
        <f t="shared" ref="K24:AF24" si="25">K6*$E$63</f>
        <v>-365.31589241347194</v>
      </c>
      <c r="L24" s="282">
        <f t="shared" si="25"/>
        <v>-376.27536918587606</v>
      </c>
      <c r="M24" s="282">
        <f t="shared" si="25"/>
        <v>-387.56363026145237</v>
      </c>
      <c r="N24" s="282">
        <f t="shared" si="25"/>
        <v>-399.19053916929596</v>
      </c>
      <c r="O24" s="282">
        <f t="shared" si="25"/>
        <v>-411.1662553443748</v>
      </c>
      <c r="P24" s="282">
        <f t="shared" si="25"/>
        <v>-423.50124300470605</v>
      </c>
      <c r="Q24" s="282">
        <f t="shared" si="25"/>
        <v>-436.20628029484726</v>
      </c>
      <c r="R24" s="282">
        <f t="shared" si="25"/>
        <v>-449.29246870369269</v>
      </c>
      <c r="S24" s="282">
        <f t="shared" si="25"/>
        <v>-462.7712427648035</v>
      </c>
      <c r="T24" s="282">
        <f t="shared" si="25"/>
        <v>-476.65438004774762</v>
      </c>
      <c r="U24" s="282">
        <f t="shared" si="25"/>
        <v>-490.95401144918009</v>
      </c>
      <c r="V24" s="282">
        <f t="shared" si="25"/>
        <v>-505.68263179265551</v>
      </c>
      <c r="W24" s="282">
        <f t="shared" si="25"/>
        <v>-520.85311074643516</v>
      </c>
      <c r="X24" s="282">
        <f t="shared" si="25"/>
        <v>-536.47870406882828</v>
      </c>
      <c r="Y24" s="282">
        <f t="shared" si="25"/>
        <v>-552.5730651908932</v>
      </c>
      <c r="Z24" s="282">
        <f t="shared" si="25"/>
        <v>-569.15025714661988</v>
      </c>
      <c r="AA24" s="282">
        <f t="shared" si="25"/>
        <v>-586.22476486101846</v>
      </c>
      <c r="AB24" s="282">
        <f t="shared" si="25"/>
        <v>-603.81150780684902</v>
      </c>
      <c r="AC24" s="282">
        <f t="shared" si="25"/>
        <v>-621.92585304105455</v>
      </c>
      <c r="AD24" s="282">
        <f t="shared" si="25"/>
        <v>-640.58362863228626</v>
      </c>
      <c r="AE24" s="282">
        <f t="shared" si="25"/>
        <v>-659.80113749125485</v>
      </c>
      <c r="AF24" s="611">
        <f t="shared" si="25"/>
        <v>-679.59517161599251</v>
      </c>
      <c r="AG24" s="418"/>
      <c r="AH24" s="420">
        <f>AG9-AG23</f>
        <v>21042.804792396601</v>
      </c>
    </row>
    <row r="25" spans="1:34" ht="14.5">
      <c r="A25" s="1368"/>
      <c r="B25" s="215">
        <v>18</v>
      </c>
      <c r="C25" s="235" t="s">
        <v>459</v>
      </c>
      <c r="D25" s="947">
        <f>Inputs!D67</f>
        <v>-2.0000000000000338</v>
      </c>
      <c r="E25" s="807">
        <f>Inputs!C67</f>
        <v>0.50000000000007105</v>
      </c>
      <c r="F25" s="948">
        <f>Inputs!B67</f>
        <v>-64.600000000000179</v>
      </c>
      <c r="G25" s="614">
        <f>(1+G5)*AVERAGE(D25:F25)</f>
        <v>-23.135000000000048</v>
      </c>
      <c r="H25" s="282">
        <f t="shared" ref="H25:AF25" si="26">(1+H5)*AVERAGE(E25:G25)</f>
        <v>-30.386858333333386</v>
      </c>
      <c r="I25" s="282">
        <f t="shared" si="26"/>
        <v>-40.948910888888989</v>
      </c>
      <c r="J25" s="376">
        <f t="shared" si="26"/>
        <v>-32.749866663703777</v>
      </c>
      <c r="K25" s="285">
        <f t="shared" si="26"/>
        <v>-35.736068320834654</v>
      </c>
      <c r="L25" s="282">
        <f t="shared" si="26"/>
        <v>-37.572630416543412</v>
      </c>
      <c r="M25" s="282">
        <f t="shared" si="26"/>
        <v>-36.413440787704765</v>
      </c>
      <c r="N25" s="282">
        <f t="shared" si="26"/>
        <v>-37.671267903611771</v>
      </c>
      <c r="O25" s="282">
        <f t="shared" si="26"/>
        <v>-38.335686427031916</v>
      </c>
      <c r="P25" s="282">
        <f t="shared" si="26"/>
        <v>-38.597668990632975</v>
      </c>
      <c r="Q25" s="282">
        <f t="shared" si="26"/>
        <v>-39.347587340304983</v>
      </c>
      <c r="R25" s="282">
        <f t="shared" si="26"/>
        <v>-39.92312368023633</v>
      </c>
      <c r="S25" s="282">
        <f t="shared" si="26"/>
        <v>-40.468143803836504</v>
      </c>
      <c r="T25" s="282">
        <f t="shared" si="26"/>
        <v>-41.110340156369723</v>
      </c>
      <c r="U25" s="282">
        <f t="shared" si="26"/>
        <v>-41.715551956551941</v>
      </c>
      <c r="V25" s="282">
        <f t="shared" si="26"/>
        <v>-42.330952331420306</v>
      </c>
      <c r="W25" s="282">
        <f t="shared" si="26"/>
        <v>-42.970516592557409</v>
      </c>
      <c r="X25" s="282">
        <f t="shared" si="26"/>
        <v>-43.609177168981851</v>
      </c>
      <c r="Y25" s="282">
        <f t="shared" si="26"/>
        <v>-44.259321825249458</v>
      </c>
      <c r="Z25" s="282">
        <f t="shared" si="26"/>
        <v>-44.921395351464128</v>
      </c>
      <c r="AA25" s="282">
        <f t="shared" si="26"/>
        <v>-45.59119705868877</v>
      </c>
      <c r="AB25" s="282">
        <f t="shared" si="26"/>
        <v>-46.271690554154809</v>
      </c>
      <c r="AC25" s="282">
        <f t="shared" si="26"/>
        <v>-46.962603817745652</v>
      </c>
      <c r="AD25" s="282">
        <f t="shared" si="26"/>
        <v>-47.663418724502307</v>
      </c>
      <c r="AE25" s="282">
        <f t="shared" si="26"/>
        <v>-48.374881496431613</v>
      </c>
      <c r="AF25" s="611">
        <f t="shared" si="26"/>
        <v>-49.096977053279993</v>
      </c>
      <c r="AG25" s="269"/>
      <c r="AH25" s="3"/>
    </row>
    <row r="26" spans="1:34" ht="14.5">
      <c r="A26" s="1368"/>
      <c r="B26" s="215">
        <v>19</v>
      </c>
      <c r="C26" s="240" t="s">
        <v>460</v>
      </c>
      <c r="D26" s="615">
        <f t="shared" ref="D26:AF26" si="27">D23+D24+D25</f>
        <v>-267.49999999999994</v>
      </c>
      <c r="E26" s="298">
        <f t="shared" si="27"/>
        <v>-999.4</v>
      </c>
      <c r="F26" s="616">
        <f t="shared" si="27"/>
        <v>-1285.9000000000001</v>
      </c>
      <c r="G26" s="615">
        <f>G23+G24+G25</f>
        <v>-1420.83555</v>
      </c>
      <c r="H26" s="298">
        <f t="shared" si="27"/>
        <v>-1506.0158400833332</v>
      </c>
      <c r="I26" s="298">
        <f t="shared" si="27"/>
        <v>-1575.6030519088888</v>
      </c>
      <c r="J26" s="375">
        <f t="shared" si="27"/>
        <v>-1628.7901733245037</v>
      </c>
      <c r="K26" s="299">
        <f t="shared" si="27"/>
        <v>-1984.0874945260182</v>
      </c>
      <c r="L26" s="298">
        <f t="shared" si="27"/>
        <v>-2044.3745994078827</v>
      </c>
      <c r="M26" s="298">
        <f t="shared" si="27"/>
        <v>-2103.4194688487842</v>
      </c>
      <c r="N26" s="298">
        <f t="shared" si="27"/>
        <v>-2166.6874768065236</v>
      </c>
      <c r="O26" s="298">
        <f t="shared" si="27"/>
        <v>-2231.222381597031</v>
      </c>
      <c r="P26" s="298">
        <f t="shared" si="27"/>
        <v>-2297.2709650157321</v>
      </c>
      <c r="Q26" s="298">
        <f t="shared" si="27"/>
        <v>-2365.781082246157</v>
      </c>
      <c r="R26" s="298">
        <f t="shared" si="27"/>
        <v>-2436.149623433264</v>
      </c>
      <c r="S26" s="298">
        <f t="shared" si="27"/>
        <v>-2508.5814385494555</v>
      </c>
      <c r="T26" s="298">
        <f t="shared" si="27"/>
        <v>-2583.2670337443569</v>
      </c>
      <c r="U26" s="298">
        <f t="shared" si="27"/>
        <v>-2660.1369463521792</v>
      </c>
      <c r="V26" s="298">
        <f t="shared" si="27"/>
        <v>-2739.3049885589166</v>
      </c>
      <c r="W26" s="298">
        <f t="shared" si="27"/>
        <v>-2820.8537739068788</v>
      </c>
      <c r="X26" s="298">
        <f t="shared" si="27"/>
        <v>-2904.8289322027331</v>
      </c>
      <c r="Y26" s="298">
        <f t="shared" si="27"/>
        <v>-2991.3156695100133</v>
      </c>
      <c r="Z26" s="298">
        <f t="shared" si="27"/>
        <v>-3080.3894334667707</v>
      </c>
      <c r="AA26" s="298">
        <f t="shared" si="27"/>
        <v>-3172.1232763174544</v>
      </c>
      <c r="AB26" s="298">
        <f t="shared" si="27"/>
        <v>-3266.599732190683</v>
      </c>
      <c r="AC26" s="298">
        <f t="shared" si="27"/>
        <v>-3363.90048670337</v>
      </c>
      <c r="AD26" s="298">
        <f t="shared" si="27"/>
        <v>-3464.1094380966956</v>
      </c>
      <c r="AE26" s="298">
        <f t="shared" si="27"/>
        <v>-3567.314281449791</v>
      </c>
      <c r="AF26" s="616">
        <f t="shared" si="27"/>
        <v>-3673.6045590052408</v>
      </c>
      <c r="AG26" s="418"/>
      <c r="AH26" s="3"/>
    </row>
    <row r="27" spans="1:34" ht="14.5">
      <c r="A27" s="1368"/>
      <c r="B27" s="215">
        <v>20</v>
      </c>
      <c r="C27" s="235" t="s">
        <v>461</v>
      </c>
      <c r="D27" s="943">
        <f>Inputs!D71+Inputs!D72</f>
        <v>-5.9</v>
      </c>
      <c r="E27" s="251">
        <f>Inputs!C71+Inputs!C72</f>
        <v>-8.8000000000000007</v>
      </c>
      <c r="F27" s="949">
        <f>Inputs!B71+Inputs!B72</f>
        <v>-9.6999999999999993</v>
      </c>
      <c r="G27" s="799">
        <f>G6*$D$66</f>
        <v>-10.45989</v>
      </c>
      <c r="H27" s="800">
        <f t="shared" ref="H27:J27" si="28">H6*$D$66</f>
        <v>-10.930585049999998</v>
      </c>
      <c r="I27" s="800">
        <f t="shared" si="28"/>
        <v>-11.367808451999998</v>
      </c>
      <c r="J27" s="801">
        <f t="shared" si="28"/>
        <v>-11.822520790079999</v>
      </c>
      <c r="K27" s="802">
        <f>$E$66*K6</f>
        <v>-12.177196413782399</v>
      </c>
      <c r="L27" s="800">
        <f>$E$66*L6</f>
        <v>-12.542512306195869</v>
      </c>
      <c r="M27" s="800">
        <f t="shared" ref="M27:AE27" si="29">$E$66*M6</f>
        <v>-12.918787675381745</v>
      </c>
      <c r="N27" s="800">
        <f t="shared" si="29"/>
        <v>-13.306351305643199</v>
      </c>
      <c r="O27" s="800">
        <f t="shared" si="29"/>
        <v>-13.705541844812496</v>
      </c>
      <c r="P27" s="800">
        <f t="shared" si="29"/>
        <v>-14.11670810015687</v>
      </c>
      <c r="Q27" s="800">
        <f t="shared" si="29"/>
        <v>-14.540209343161576</v>
      </c>
      <c r="R27" s="800">
        <f t="shared" si="29"/>
        <v>-14.976415623456424</v>
      </c>
      <c r="S27" s="800">
        <f t="shared" si="29"/>
        <v>-15.425708092160118</v>
      </c>
      <c r="T27" s="800">
        <f t="shared" si="29"/>
        <v>-15.888479334924922</v>
      </c>
      <c r="U27" s="800">
        <f t="shared" si="29"/>
        <v>-16.365133714972671</v>
      </c>
      <c r="V27" s="800">
        <f t="shared" si="29"/>
        <v>-16.856087726421851</v>
      </c>
      <c r="W27" s="800">
        <f t="shared" si="29"/>
        <v>-17.361770358214507</v>
      </c>
      <c r="X27" s="800">
        <f t="shared" si="29"/>
        <v>-17.882623468960944</v>
      </c>
      <c r="Y27" s="800">
        <f t="shared" si="29"/>
        <v>-18.419102173029774</v>
      </c>
      <c r="Z27" s="800">
        <f t="shared" si="29"/>
        <v>-18.971675238220666</v>
      </c>
      <c r="AA27" s="800">
        <f t="shared" si="29"/>
        <v>-19.540825495367283</v>
      </c>
      <c r="AB27" s="800">
        <f t="shared" si="29"/>
        <v>-20.127050260228302</v>
      </c>
      <c r="AC27" s="800">
        <f t="shared" si="29"/>
        <v>-20.730861768035155</v>
      </c>
      <c r="AD27" s="800">
        <f t="shared" si="29"/>
        <v>-21.352787621076207</v>
      </c>
      <c r="AE27" s="800">
        <f t="shared" si="29"/>
        <v>-21.993371249708495</v>
      </c>
      <c r="AF27" s="803">
        <f>$E$66*AF6</f>
        <v>-22.653172387199753</v>
      </c>
      <c r="AG27" s="418"/>
      <c r="AH27" s="3"/>
    </row>
    <row r="28" spans="1:34" ht="14.5">
      <c r="A28" s="1368"/>
      <c r="B28" s="215">
        <v>21</v>
      </c>
      <c r="C28" s="235" t="s">
        <v>462</v>
      </c>
      <c r="D28" s="950">
        <f>+SUM(Inputs!D69:D70)</f>
        <v>-727.30000000000007</v>
      </c>
      <c r="E28" s="251">
        <f>+SUM(Inputs!C69:C70)</f>
        <v>306.70000000000027</v>
      </c>
      <c r="F28" s="944">
        <f>+SUM(Inputs!B69:B70)</f>
        <v>-596.89999999999986</v>
      </c>
      <c r="G28" s="614">
        <f>G44-F44</f>
        <v>-549.29999999999927</v>
      </c>
      <c r="H28" s="282">
        <f t="shared" ref="H28:AF28" si="30">H44-G44</f>
        <v>-695.5</v>
      </c>
      <c r="I28" s="282">
        <f t="shared" si="30"/>
        <v>-598.29999999999927</v>
      </c>
      <c r="J28" s="376">
        <f t="shared" si="30"/>
        <v>-837.25</v>
      </c>
      <c r="K28" s="285">
        <f t="shared" si="30"/>
        <v>108.39999999999964</v>
      </c>
      <c r="L28" s="282">
        <f t="shared" si="30"/>
        <v>553.89999999999964</v>
      </c>
      <c r="M28" s="282">
        <f t="shared" si="30"/>
        <v>430</v>
      </c>
      <c r="N28" s="282">
        <f t="shared" si="30"/>
        <v>509.5</v>
      </c>
      <c r="O28" s="282">
        <f t="shared" si="30"/>
        <v>-94.399999999999636</v>
      </c>
      <c r="P28" s="282">
        <f t="shared" si="30"/>
        <v>259.29999999999927</v>
      </c>
      <c r="Q28" s="282">
        <f t="shared" si="30"/>
        <v>550</v>
      </c>
      <c r="R28" s="282">
        <f t="shared" si="30"/>
        <v>-50</v>
      </c>
      <c r="S28" s="282">
        <f t="shared" si="30"/>
        <v>250</v>
      </c>
      <c r="T28" s="282">
        <f t="shared" si="30"/>
        <v>250</v>
      </c>
      <c r="U28" s="282">
        <f t="shared" si="30"/>
        <v>0</v>
      </c>
      <c r="V28" s="282">
        <f t="shared" si="30"/>
        <v>0</v>
      </c>
      <c r="W28" s="282">
        <f t="shared" si="30"/>
        <v>500</v>
      </c>
      <c r="X28" s="282">
        <f t="shared" si="30"/>
        <v>50</v>
      </c>
      <c r="Y28" s="282">
        <f t="shared" si="30"/>
        <v>-500</v>
      </c>
      <c r="Z28" s="282">
        <f t="shared" si="30"/>
        <v>-100</v>
      </c>
      <c r="AA28" s="282">
        <f t="shared" si="30"/>
        <v>50</v>
      </c>
      <c r="AB28" s="282">
        <f t="shared" si="30"/>
        <v>-250</v>
      </c>
      <c r="AC28" s="282">
        <f t="shared" si="30"/>
        <v>250</v>
      </c>
      <c r="AD28" s="282">
        <f t="shared" si="30"/>
        <v>-687.10000000000036</v>
      </c>
      <c r="AE28" s="282">
        <f t="shared" si="30"/>
        <v>-243.79999999999927</v>
      </c>
      <c r="AF28" s="611">
        <f t="shared" si="30"/>
        <v>-350</v>
      </c>
      <c r="AG28" s="418"/>
      <c r="AH28" s="3"/>
    </row>
    <row r="29" spans="1:34" ht="14.5">
      <c r="A29" s="1368"/>
      <c r="B29" s="215">
        <v>22</v>
      </c>
      <c r="C29" s="235" t="s">
        <v>463</v>
      </c>
      <c r="D29" s="950">
        <f>'Fin. Data'!D28</f>
        <v>-1390.5</v>
      </c>
      <c r="E29" s="251">
        <f>'Fin. Data'!C28</f>
        <v>-1700.2</v>
      </c>
      <c r="F29" s="949">
        <f>'Fin. Data'!B28</f>
        <v>-249.7</v>
      </c>
      <c r="G29" s="614">
        <f>-G17*$D$65</f>
        <v>-183.72291181999998</v>
      </c>
      <c r="H29" s="282">
        <f>-H17*$D$65</f>
        <v>-291.60712744800003</v>
      </c>
      <c r="I29" s="282">
        <f>-I17*$D$65</f>
        <v>-301.35051398591992</v>
      </c>
      <c r="J29" s="376">
        <f>-J17*$D$65</f>
        <v>-313.49305271495678</v>
      </c>
      <c r="K29" s="285">
        <f>-K17*$E$65</f>
        <v>-1247.4904576865042</v>
      </c>
      <c r="L29" s="282">
        <f>-L17*$E$65</f>
        <v>-1283.5588488935862</v>
      </c>
      <c r="M29" s="282">
        <f>-M17*$E$65</f>
        <v>-1321.231681360475</v>
      </c>
      <c r="N29" s="282">
        <f>-N17*$E$65</f>
        <v>-1368.149212492865</v>
      </c>
      <c r="O29" s="282">
        <f>-O17*$E$65</f>
        <v>-1409.2816426053801</v>
      </c>
      <c r="P29" s="282">
        <f t="shared" ref="P29:AF29" si="31">-P17*$E$65</f>
        <v>-1462.582948144297</v>
      </c>
      <c r="Q29" s="282">
        <f t="shared" si="31"/>
        <v>-1513.23116554888</v>
      </c>
      <c r="R29" s="282">
        <f t="shared" si="31"/>
        <v>-1560.3205249611806</v>
      </c>
      <c r="S29" s="282">
        <f t="shared" si="31"/>
        <v>-1618.1018549522992</v>
      </c>
      <c r="T29" s="282">
        <f t="shared" si="31"/>
        <v>-1673.4883935034754</v>
      </c>
      <c r="U29" s="282">
        <f t="shared" si="31"/>
        <v>-1730.5123140047283</v>
      </c>
      <c r="V29" s="282">
        <f t="shared" si="31"/>
        <v>-1793.0620186469605</v>
      </c>
      <c r="W29" s="282">
        <f t="shared" si="31"/>
        <v>-1857.5478242981935</v>
      </c>
      <c r="X29" s="282">
        <f t="shared" si="31"/>
        <v>-1917.0164294705944</v>
      </c>
      <c r="Y29" s="282">
        <f>-Y17*$E$65</f>
        <v>-1984.888239064742</v>
      </c>
      <c r="Z29" s="282">
        <f t="shared" si="31"/>
        <v>-2062.5916999242399</v>
      </c>
      <c r="AA29" s="282">
        <f t="shared" si="31"/>
        <v>-2136.895872827391</v>
      </c>
      <c r="AB29" s="282">
        <f t="shared" si="31"/>
        <v>-2211.3775539195794</v>
      </c>
      <c r="AC29" s="282">
        <f t="shared" si="31"/>
        <v>-2292.3986263922861</v>
      </c>
      <c r="AD29" s="282">
        <f t="shared" si="31"/>
        <v>-2368.8325144167038</v>
      </c>
      <c r="AE29" s="282">
        <f t="shared" si="31"/>
        <v>-2460.8736032642014</v>
      </c>
      <c r="AF29" s="611">
        <f t="shared" si="31"/>
        <v>-2549.2707213647432</v>
      </c>
      <c r="AG29" s="418"/>
      <c r="AH29" s="3"/>
    </row>
    <row r="30" spans="1:34" s="3" customFormat="1" ht="14.5">
      <c r="A30" s="1368"/>
      <c r="B30" s="215">
        <v>23</v>
      </c>
      <c r="C30" s="235" t="s">
        <v>464</v>
      </c>
      <c r="D30" s="943">
        <f>'Fin. Data'!D27</f>
        <v>-573</v>
      </c>
      <c r="E30" s="251">
        <f>'Fin. Data'!C27</f>
        <v>-587.70000000000005</v>
      </c>
      <c r="F30" s="944">
        <f>'Fin. Data'!B27</f>
        <v>-653.79999999999995</v>
      </c>
      <c r="G30" s="614">
        <f>$D$64*G17</f>
        <v>-524.92260519999991</v>
      </c>
      <c r="H30" s="282">
        <f t="shared" ref="H30:J30" si="32">$D$64*H17</f>
        <v>-833.16322128000002</v>
      </c>
      <c r="I30" s="282">
        <f t="shared" si="32"/>
        <v>-861.00146853119975</v>
      </c>
      <c r="J30" s="376">
        <f t="shared" si="32"/>
        <v>-895.69443632844786</v>
      </c>
      <c r="K30" s="402">
        <f>$E$64*K17</f>
        <v>-1247.4904576865042</v>
      </c>
      <c r="L30" s="403">
        <f t="shared" ref="L30:AF30" si="33">$E$64*L17</f>
        <v>-1283.5588488935862</v>
      </c>
      <c r="M30" s="403">
        <f t="shared" si="33"/>
        <v>-1321.231681360475</v>
      </c>
      <c r="N30" s="403">
        <f t="shared" si="33"/>
        <v>-1368.149212492865</v>
      </c>
      <c r="O30" s="403">
        <f t="shared" si="33"/>
        <v>-1409.2816426053801</v>
      </c>
      <c r="P30" s="403">
        <f t="shared" si="33"/>
        <v>-1462.582948144297</v>
      </c>
      <c r="Q30" s="403">
        <f t="shared" si="33"/>
        <v>-1513.23116554888</v>
      </c>
      <c r="R30" s="403">
        <f t="shared" si="33"/>
        <v>-1560.3205249611806</v>
      </c>
      <c r="S30" s="403">
        <f t="shared" si="33"/>
        <v>-1618.1018549522992</v>
      </c>
      <c r="T30" s="403">
        <f t="shared" si="33"/>
        <v>-1673.4883935034754</v>
      </c>
      <c r="U30" s="403">
        <f t="shared" si="33"/>
        <v>-1730.5123140047283</v>
      </c>
      <c r="V30" s="403">
        <f t="shared" si="33"/>
        <v>-1793.0620186469605</v>
      </c>
      <c r="W30" s="403">
        <f t="shared" si="33"/>
        <v>-1857.5478242981935</v>
      </c>
      <c r="X30" s="403">
        <f t="shared" si="33"/>
        <v>-1917.0164294705944</v>
      </c>
      <c r="Y30" s="403">
        <f t="shared" si="33"/>
        <v>-1984.888239064742</v>
      </c>
      <c r="Z30" s="403">
        <f t="shared" si="33"/>
        <v>-2062.5916999242399</v>
      </c>
      <c r="AA30" s="403">
        <f t="shared" si="33"/>
        <v>-2136.895872827391</v>
      </c>
      <c r="AB30" s="403">
        <f t="shared" si="33"/>
        <v>-2211.3775539195794</v>
      </c>
      <c r="AC30" s="403">
        <f t="shared" si="33"/>
        <v>-2292.3986263922861</v>
      </c>
      <c r="AD30" s="403">
        <f t="shared" si="33"/>
        <v>-2368.8325144167038</v>
      </c>
      <c r="AE30" s="403">
        <f t="shared" si="33"/>
        <v>-2460.8736032642014</v>
      </c>
      <c r="AF30" s="617">
        <f t="shared" si="33"/>
        <v>-2549.2707213647432</v>
      </c>
      <c r="AG30" s="418"/>
    </row>
    <row r="31" spans="1:34" s="2" customFormat="1" ht="14.5">
      <c r="A31" s="1368"/>
      <c r="B31" s="215">
        <v>24</v>
      </c>
      <c r="C31" s="235" t="s">
        <v>465</v>
      </c>
      <c r="D31" s="951">
        <f>Inputs!D75</f>
        <v>767.20000000000027</v>
      </c>
      <c r="E31" s="321">
        <f>Inputs!C75</f>
        <v>170.09999999999991</v>
      </c>
      <c r="F31" s="952">
        <f>Inputs!B75</f>
        <v>35.499999999999943</v>
      </c>
      <c r="G31" s="614">
        <f>(1+G5)*AVERAGE(D31:F31)</f>
        <v>340.48000000000008</v>
      </c>
      <c r="H31" s="282">
        <f t="shared" ref="H31:AF31" si="34">(1+H5)*AVERAGE(E31:G31)</f>
        <v>190.21786666666662</v>
      </c>
      <c r="I31" s="282">
        <f t="shared" si="34"/>
        <v>196.28192711111109</v>
      </c>
      <c r="J31" s="376">
        <f t="shared" si="34"/>
        <v>252.01966184296299</v>
      </c>
      <c r="K31" s="402">
        <f t="shared" si="34"/>
        <v>219.22501309645432</v>
      </c>
      <c r="L31" s="403">
        <f t="shared" si="34"/>
        <v>229.18413337068142</v>
      </c>
      <c r="M31" s="403">
        <f t="shared" si="34"/>
        <v>240.48055751980056</v>
      </c>
      <c r="N31" s="403">
        <f t="shared" si="34"/>
        <v>236.51879836884814</v>
      </c>
      <c r="O31" s="403">
        <f t="shared" si="34"/>
        <v>242.45633131237003</v>
      </c>
      <c r="P31" s="403">
        <f t="shared" si="34"/>
        <v>247.01311927234977</v>
      </c>
      <c r="Q31" s="403">
        <f t="shared" si="34"/>
        <v>249.25596547405834</v>
      </c>
      <c r="R31" s="403">
        <f t="shared" si="34"/>
        <v>253.62905951351382</v>
      </c>
      <c r="S31" s="403">
        <f t="shared" si="34"/>
        <v>257.46502952923987</v>
      </c>
      <c r="T31" s="403">
        <f t="shared" si="34"/>
        <v>261.05351871743881</v>
      </c>
      <c r="U31" s="403">
        <f t="shared" si="34"/>
        <v>265.10401199766613</v>
      </c>
      <c r="V31" s="403">
        <f t="shared" si="34"/>
        <v>269.0437456838917</v>
      </c>
      <c r="W31" s="403">
        <f t="shared" si="34"/>
        <v>273.01910489698884</v>
      </c>
      <c r="X31" s="403">
        <f t="shared" si="34"/>
        <v>277.12728948530105</v>
      </c>
      <c r="Y31" s="403">
        <f t="shared" si="34"/>
        <v>281.25528142272236</v>
      </c>
      <c r="Z31" s="403">
        <f t="shared" si="34"/>
        <v>285.44790869305422</v>
      </c>
      <c r="AA31" s="403">
        <f t="shared" si="34"/>
        <v>289.71513132970324</v>
      </c>
      <c r="AB31" s="403">
        <f t="shared" si="34"/>
        <v>294.03695702961477</v>
      </c>
      <c r="AC31" s="403">
        <f t="shared" si="34"/>
        <v>298.4253323213145</v>
      </c>
      <c r="AD31" s="403">
        <f t="shared" si="34"/>
        <v>302.88091443368381</v>
      </c>
      <c r="AE31" s="403">
        <f t="shared" si="34"/>
        <v>307.40116663271715</v>
      </c>
      <c r="AF31" s="617">
        <f t="shared" si="34"/>
        <v>311.98954526311559</v>
      </c>
      <c r="AG31" s="418"/>
      <c r="AH31" s="431"/>
    </row>
    <row r="32" spans="1:34" s="3" customFormat="1" ht="16.5" customHeight="1" thickBot="1">
      <c r="A32" s="1368"/>
      <c r="B32" s="216">
        <v>25</v>
      </c>
      <c r="C32" s="241" t="s">
        <v>466</v>
      </c>
      <c r="D32" s="618">
        <f t="shared" ref="D32:AF32" si="35">D27+D28+D29+D30+D31</f>
        <v>-1929.4999999999995</v>
      </c>
      <c r="E32" s="619">
        <f t="shared" si="35"/>
        <v>-1819.8999999999999</v>
      </c>
      <c r="F32" s="622">
        <f t="shared" si="35"/>
        <v>-1474.6</v>
      </c>
      <c r="G32" s="618">
        <f>G27+G28+G29+G30+G31</f>
        <v>-927.92540701999906</v>
      </c>
      <c r="H32" s="619">
        <f t="shared" si="35"/>
        <v>-1640.9830671113334</v>
      </c>
      <c r="I32" s="619">
        <f t="shared" si="35"/>
        <v>-1575.7378638580076</v>
      </c>
      <c r="J32" s="620">
        <f t="shared" si="35"/>
        <v>-1806.2403479905217</v>
      </c>
      <c r="K32" s="621">
        <f t="shared" si="35"/>
        <v>-2179.5330986903368</v>
      </c>
      <c r="L32" s="619">
        <f t="shared" si="35"/>
        <v>-1796.5760767226873</v>
      </c>
      <c r="M32" s="619">
        <f t="shared" si="35"/>
        <v>-1984.9015928765311</v>
      </c>
      <c r="N32" s="619">
        <f t="shared" si="35"/>
        <v>-2003.585977922525</v>
      </c>
      <c r="O32" s="619">
        <f t="shared" si="35"/>
        <v>-2684.2124957432025</v>
      </c>
      <c r="P32" s="619">
        <f t="shared" si="35"/>
        <v>-2432.9694851164018</v>
      </c>
      <c r="Q32" s="619">
        <f t="shared" si="35"/>
        <v>-2241.7465749668631</v>
      </c>
      <c r="R32" s="619">
        <f t="shared" si="35"/>
        <v>-2931.9884060323038</v>
      </c>
      <c r="S32" s="619">
        <f t="shared" si="35"/>
        <v>-2744.1643884675186</v>
      </c>
      <c r="T32" s="619">
        <f t="shared" si="35"/>
        <v>-2851.811747624437</v>
      </c>
      <c r="U32" s="619">
        <f t="shared" si="35"/>
        <v>-3212.2857497267632</v>
      </c>
      <c r="V32" s="619">
        <f t="shared" si="35"/>
        <v>-3333.936379336451</v>
      </c>
      <c r="W32" s="619">
        <f t="shared" si="35"/>
        <v>-2959.4383140576128</v>
      </c>
      <c r="X32" s="619">
        <f t="shared" si="35"/>
        <v>-3524.7881929248488</v>
      </c>
      <c r="Y32" s="619">
        <f t="shared" si="35"/>
        <v>-4206.940298879792</v>
      </c>
      <c r="Z32" s="619">
        <f t="shared" si="35"/>
        <v>-3958.7071663936467</v>
      </c>
      <c r="AA32" s="619">
        <f t="shared" si="35"/>
        <v>-3953.6174398204462</v>
      </c>
      <c r="AB32" s="619">
        <f t="shared" si="35"/>
        <v>-4398.8452010697729</v>
      </c>
      <c r="AC32" s="619">
        <f t="shared" si="35"/>
        <v>-4057.1027822312935</v>
      </c>
      <c r="AD32" s="619">
        <f t="shared" si="35"/>
        <v>-5143.2369020208007</v>
      </c>
      <c r="AE32" s="619">
        <f t="shared" si="35"/>
        <v>-4880.1394111453938</v>
      </c>
      <c r="AF32" s="622">
        <f t="shared" si="35"/>
        <v>-5159.2050698535713</v>
      </c>
      <c r="AG32" s="418"/>
    </row>
    <row r="33" spans="1:33" ht="13" thickBot="1">
      <c r="A33" s="1357"/>
      <c r="B33" s="1358"/>
      <c r="C33" s="1358"/>
      <c r="D33" s="1358"/>
      <c r="E33" s="1358"/>
      <c r="F33" s="1358"/>
      <c r="G33" s="1358"/>
      <c r="H33" s="1358"/>
      <c r="I33" s="1358"/>
      <c r="J33" s="1358"/>
      <c r="K33" s="1358"/>
      <c r="L33" s="1358"/>
      <c r="M33" s="1358"/>
      <c r="N33" s="1358"/>
      <c r="O33" s="1358"/>
      <c r="P33" s="1358"/>
      <c r="Q33" s="1358"/>
      <c r="R33" s="1358"/>
      <c r="S33" s="1358"/>
      <c r="T33" s="1358"/>
      <c r="U33" s="1358"/>
      <c r="V33" s="1358"/>
      <c r="W33" s="1358"/>
      <c r="X33" s="1358"/>
      <c r="Y33" s="1358"/>
      <c r="Z33" s="1358"/>
      <c r="AA33" s="1358"/>
      <c r="AB33" s="1358"/>
      <c r="AC33" s="1358"/>
      <c r="AD33" s="1358"/>
      <c r="AE33" s="1358"/>
      <c r="AF33" s="1359"/>
      <c r="AG33" s="3"/>
    </row>
    <row r="34" spans="1:33" ht="14.5">
      <c r="A34" s="1380" t="s">
        <v>467</v>
      </c>
      <c r="B34" s="215">
        <v>26</v>
      </c>
      <c r="C34" s="219" t="s">
        <v>468</v>
      </c>
      <c r="D34" s="369">
        <f>D22+D26+D27+D28+D31</f>
        <v>2471.9</v>
      </c>
      <c r="E34" s="370">
        <f t="shared" ref="E34:AF34" si="36">E22+E26+E27+E28+E31</f>
        <v>2225.5000000000005</v>
      </c>
      <c r="F34" s="396">
        <f t="shared" si="36"/>
        <v>923</v>
      </c>
      <c r="G34" s="495">
        <f t="shared" si="36"/>
        <v>750.98052300000063</v>
      </c>
      <c r="H34" s="371">
        <f t="shared" si="36"/>
        <v>1167.4956876583315</v>
      </c>
      <c r="I34" s="371">
        <f t="shared" si="36"/>
        <v>1294.4374767636841</v>
      </c>
      <c r="J34" s="372">
        <f t="shared" si="36"/>
        <v>1232.1459178368173</v>
      </c>
      <c r="K34" s="395">
        <f t="shared" si="36"/>
        <v>2172.8962142287623</v>
      </c>
      <c r="L34" s="371">
        <f t="shared" si="36"/>
        <v>2722.315352961672</v>
      </c>
      <c r="M34" s="371">
        <f t="shared" si="36"/>
        <v>2710.5861726056578</v>
      </c>
      <c r="N34" s="371">
        <f t="shared" si="36"/>
        <v>2903.8022245706879</v>
      </c>
      <c r="O34" s="371">
        <f t="shared" si="36"/>
        <v>2413.2937412278789</v>
      </c>
      <c r="P34" s="371">
        <f t="shared" si="36"/>
        <v>2904.5202546994619</v>
      </c>
      <c r="Q34" s="371">
        <f t="shared" si="36"/>
        <v>3325.4375359518881</v>
      </c>
      <c r="R34" s="371">
        <f t="shared" si="36"/>
        <v>2851.6645172678504</v>
      </c>
      <c r="S34" s="371">
        <f t="shared" si="36"/>
        <v>3299.6163016795986</v>
      </c>
      <c r="T34" s="371">
        <f t="shared" si="36"/>
        <v>3443.306739951794</v>
      </c>
      <c r="U34" s="371">
        <f t="shared" si="36"/>
        <v>3341.6700113380703</v>
      </c>
      <c r="V34" s="371">
        <f t="shared" si="36"/>
        <v>3501.8899557830659</v>
      </c>
      <c r="W34" s="371">
        <f t="shared" si="36"/>
        <v>4166.9473983792632</v>
      </c>
      <c r="X34" s="371">
        <f t="shared" si="36"/>
        <v>3873.0866185638447</v>
      </c>
      <c r="Y34" s="371">
        <f t="shared" si="36"/>
        <v>3497.0524937906057</v>
      </c>
      <c r="Z34" s="371">
        <f t="shared" si="36"/>
        <v>4091.7766585870231</v>
      </c>
      <c r="AA34" s="371">
        <f t="shared" si="36"/>
        <v>4430.8426636079748</v>
      </c>
      <c r="AB34" s="371">
        <f t="shared" si="36"/>
        <v>4321.4133516611146</v>
      </c>
      <c r="AC34" s="371">
        <f t="shared" si="36"/>
        <v>5026.2578802980152</v>
      </c>
      <c r="AD34" s="371">
        <f t="shared" si="36"/>
        <v>4286.058441013407</v>
      </c>
      <c r="AE34" s="371">
        <f t="shared" si="36"/>
        <v>4958.7357142264764</v>
      </c>
      <c r="AF34" s="372">
        <f t="shared" si="36"/>
        <v>5075.9270768394827</v>
      </c>
      <c r="AG34" s="418"/>
    </row>
    <row r="35" spans="1:33" s="2" customFormat="1" ht="14.5">
      <c r="A35" s="1380"/>
      <c r="B35" s="215">
        <v>27</v>
      </c>
      <c r="C35" s="219" t="s">
        <v>469</v>
      </c>
      <c r="D35" s="303">
        <f>-1*(D29+D30)</f>
        <v>1963.5</v>
      </c>
      <c r="E35" s="300">
        <f t="shared" ref="E35:AF35" si="37">-1*(E29+E30)</f>
        <v>2287.9</v>
      </c>
      <c r="F35" s="305">
        <f t="shared" si="37"/>
        <v>903.5</v>
      </c>
      <c r="G35" s="313">
        <f t="shared" si="37"/>
        <v>708.64551701999994</v>
      </c>
      <c r="H35" s="267">
        <f t="shared" si="37"/>
        <v>1124.770348728</v>
      </c>
      <c r="I35" s="267">
        <f t="shared" si="37"/>
        <v>1162.3519825171197</v>
      </c>
      <c r="J35" s="314">
        <f t="shared" si="37"/>
        <v>1209.1874890434046</v>
      </c>
      <c r="K35" s="267">
        <f t="shared" si="37"/>
        <v>2494.9809153730084</v>
      </c>
      <c r="L35" s="267">
        <f t="shared" si="37"/>
        <v>2567.1176977871723</v>
      </c>
      <c r="M35" s="267">
        <f t="shared" si="37"/>
        <v>2642.46336272095</v>
      </c>
      <c r="N35" s="267">
        <f t="shared" si="37"/>
        <v>2736.29842498573</v>
      </c>
      <c r="O35" s="267">
        <f t="shared" si="37"/>
        <v>2818.5632852107601</v>
      </c>
      <c r="P35" s="267">
        <f t="shared" si="37"/>
        <v>2925.165896288594</v>
      </c>
      <c r="Q35" s="267">
        <f t="shared" si="37"/>
        <v>3026.4623310977599</v>
      </c>
      <c r="R35" s="267">
        <f t="shared" si="37"/>
        <v>3120.6410499223612</v>
      </c>
      <c r="S35" s="267">
        <f t="shared" si="37"/>
        <v>3236.2037099045983</v>
      </c>
      <c r="T35" s="267">
        <f t="shared" si="37"/>
        <v>3346.9767870069509</v>
      </c>
      <c r="U35" s="267">
        <f t="shared" si="37"/>
        <v>3461.0246280094566</v>
      </c>
      <c r="V35" s="267">
        <f t="shared" si="37"/>
        <v>3586.124037293921</v>
      </c>
      <c r="W35" s="267">
        <f t="shared" si="37"/>
        <v>3715.095648596387</v>
      </c>
      <c r="X35" s="267">
        <f t="shared" si="37"/>
        <v>3834.0328589411888</v>
      </c>
      <c r="Y35" s="267">
        <f t="shared" si="37"/>
        <v>3969.7764781294841</v>
      </c>
      <c r="Z35" s="267">
        <f t="shared" si="37"/>
        <v>4125.1833998484799</v>
      </c>
      <c r="AA35" s="267">
        <f t="shared" si="37"/>
        <v>4273.7917456547821</v>
      </c>
      <c r="AB35" s="267">
        <f t="shared" si="37"/>
        <v>4422.7551078391589</v>
      </c>
      <c r="AC35" s="267">
        <f t="shared" si="37"/>
        <v>4584.7972527845723</v>
      </c>
      <c r="AD35" s="267">
        <f t="shared" si="37"/>
        <v>4737.6650288334076</v>
      </c>
      <c r="AE35" s="267">
        <f t="shared" si="37"/>
        <v>4921.7472065284028</v>
      </c>
      <c r="AF35" s="314">
        <f t="shared" si="37"/>
        <v>5098.5414427294863</v>
      </c>
      <c r="AG35" s="418"/>
    </row>
    <row r="36" spans="1:33" s="3" customFormat="1" ht="15" thickBot="1">
      <c r="A36" s="1380"/>
      <c r="B36" s="216">
        <v>28</v>
      </c>
      <c r="C36" s="214" t="s">
        <v>470</v>
      </c>
      <c r="D36" s="356">
        <f>D34-D35</f>
        <v>508.40000000000009</v>
      </c>
      <c r="E36" s="357">
        <f>E34-E35</f>
        <v>-62.399999999999636</v>
      </c>
      <c r="F36" s="306">
        <f>F34-F35</f>
        <v>19.5</v>
      </c>
      <c r="G36" s="315">
        <f>G34-G35</f>
        <v>42.335005980000687</v>
      </c>
      <c r="H36" s="316">
        <f t="shared" ref="H36:AF36" si="38">H34-H35</f>
        <v>42.725338930331418</v>
      </c>
      <c r="I36" s="316">
        <f t="shared" si="38"/>
        <v>132.08549424656439</v>
      </c>
      <c r="J36" s="317">
        <f t="shared" si="38"/>
        <v>22.958428793412622</v>
      </c>
      <c r="K36" s="316">
        <f t="shared" si="38"/>
        <v>-322.08470114424608</v>
      </c>
      <c r="L36" s="316">
        <f t="shared" si="38"/>
        <v>155.19765517449969</v>
      </c>
      <c r="M36" s="316">
        <f t="shared" si="38"/>
        <v>68.122809884707749</v>
      </c>
      <c r="N36" s="316">
        <f t="shared" si="38"/>
        <v>167.50379958495796</v>
      </c>
      <c r="O36" s="316">
        <f t="shared" si="38"/>
        <v>-405.26954398288126</v>
      </c>
      <c r="P36" s="316">
        <f t="shared" si="38"/>
        <v>-20.645641589132083</v>
      </c>
      <c r="Q36" s="316">
        <f t="shared" si="38"/>
        <v>298.97520485412815</v>
      </c>
      <c r="R36" s="316">
        <f t="shared" si="38"/>
        <v>-268.97653265451072</v>
      </c>
      <c r="S36" s="316">
        <f t="shared" si="38"/>
        <v>63.412591775000237</v>
      </c>
      <c r="T36" s="316">
        <f t="shared" si="38"/>
        <v>96.329952944843171</v>
      </c>
      <c r="U36" s="316">
        <f t="shared" si="38"/>
        <v>-119.35461667138634</v>
      </c>
      <c r="V36" s="316">
        <f t="shared" si="38"/>
        <v>-84.234081510855049</v>
      </c>
      <c r="W36" s="316">
        <f t="shared" si="38"/>
        <v>451.85174978287614</v>
      </c>
      <c r="X36" s="316">
        <f t="shared" si="38"/>
        <v>39.053759622655889</v>
      </c>
      <c r="Y36" s="316">
        <f t="shared" si="38"/>
        <v>-472.72398433887838</v>
      </c>
      <c r="Z36" s="316">
        <f t="shared" si="38"/>
        <v>-33.406741261456773</v>
      </c>
      <c r="AA36" s="316">
        <f t="shared" si="38"/>
        <v>157.05091795319277</v>
      </c>
      <c r="AB36" s="316">
        <f t="shared" si="38"/>
        <v>-101.34175617804431</v>
      </c>
      <c r="AC36" s="316">
        <f t="shared" si="38"/>
        <v>441.46062751344289</v>
      </c>
      <c r="AD36" s="316">
        <f t="shared" si="38"/>
        <v>-451.60658782000064</v>
      </c>
      <c r="AE36" s="316">
        <f t="shared" si="38"/>
        <v>36.98850769807359</v>
      </c>
      <c r="AF36" s="317">
        <f t="shared" si="38"/>
        <v>-22.614365890003683</v>
      </c>
      <c r="AG36" s="418"/>
    </row>
    <row r="37" spans="1:33" ht="15" thickBot="1">
      <c r="A37" s="224"/>
      <c r="B37" s="222"/>
      <c r="C37" s="223"/>
      <c r="D37" s="373"/>
      <c r="E37" s="373"/>
      <c r="F37" s="373"/>
      <c r="G37" s="373"/>
      <c r="H37" s="373"/>
      <c r="I37" s="373"/>
      <c r="J37" s="373"/>
      <c r="K37" s="373"/>
      <c r="L37" s="373"/>
      <c r="M37" s="373"/>
      <c r="N37" s="373"/>
      <c r="O37" s="373"/>
      <c r="P37" s="373"/>
      <c r="Q37" s="373"/>
      <c r="R37" s="373"/>
      <c r="S37" s="373"/>
      <c r="T37" s="373"/>
      <c r="U37" s="373"/>
      <c r="V37" s="373"/>
      <c r="W37" s="373"/>
      <c r="X37" s="373"/>
      <c r="Y37" s="373"/>
      <c r="Z37" s="373"/>
      <c r="AA37" s="373"/>
      <c r="AB37" s="373"/>
      <c r="AC37" s="373"/>
      <c r="AD37" s="373"/>
      <c r="AE37" s="373"/>
      <c r="AF37" s="374"/>
      <c r="AG37" s="418"/>
    </row>
    <row r="38" spans="1:33" ht="14.5">
      <c r="A38" s="1381" t="s">
        <v>471</v>
      </c>
      <c r="B38" s="217">
        <v>29</v>
      </c>
      <c r="C38" s="219" t="s">
        <v>472</v>
      </c>
      <c r="D38" s="301">
        <v>2755.2</v>
      </c>
      <c r="E38" s="302">
        <v>2728.1</v>
      </c>
      <c r="F38" s="304">
        <v>2731.7</v>
      </c>
      <c r="G38" s="308">
        <f>+F38+(-G10)</f>
        <v>2733.06585</v>
      </c>
      <c r="H38" s="309">
        <f t="shared" ref="H38:AF38" si="39">+G38+(-H10)</f>
        <v>2734.4323829249997</v>
      </c>
      <c r="I38" s="309">
        <f t="shared" si="39"/>
        <v>2735.7995991164621</v>
      </c>
      <c r="J38" s="310">
        <f t="shared" si="39"/>
        <v>2737.1674989160201</v>
      </c>
      <c r="K38" s="397">
        <f t="shared" si="39"/>
        <v>2739.357232915153</v>
      </c>
      <c r="L38" s="309">
        <f t="shared" si="39"/>
        <v>2741.5487187014851</v>
      </c>
      <c r="M38" s="309">
        <f t="shared" si="39"/>
        <v>2743.7419576764464</v>
      </c>
      <c r="N38" s="309">
        <f t="shared" si="39"/>
        <v>2745.9369512425874</v>
      </c>
      <c r="O38" s="309">
        <f t="shared" si="39"/>
        <v>2748.1337008035816</v>
      </c>
      <c r="P38" s="309">
        <f t="shared" si="39"/>
        <v>2750.3322077642247</v>
      </c>
      <c r="Q38" s="309">
        <f t="shared" si="39"/>
        <v>2752.5324735304362</v>
      </c>
      <c r="R38" s="309">
        <f t="shared" si="39"/>
        <v>2754.7344995092603</v>
      </c>
      <c r="S38" s="309">
        <f t="shared" si="39"/>
        <v>2756.9382871088678</v>
      </c>
      <c r="T38" s="309">
        <f t="shared" si="39"/>
        <v>2759.1438377385548</v>
      </c>
      <c r="U38" s="309">
        <f t="shared" si="39"/>
        <v>2761.3511528087456</v>
      </c>
      <c r="V38" s="309">
        <f t="shared" si="39"/>
        <v>2763.5602337309924</v>
      </c>
      <c r="W38" s="309">
        <f t="shared" si="39"/>
        <v>2765.7710819179774</v>
      </c>
      <c r="X38" s="309">
        <f t="shared" si="39"/>
        <v>2767.983698783512</v>
      </c>
      <c r="Y38" s="309">
        <f t="shared" si="39"/>
        <v>2770.1980857425388</v>
      </c>
      <c r="Z38" s="309">
        <f t="shared" si="39"/>
        <v>2772.4142442111329</v>
      </c>
      <c r="AA38" s="309">
        <f t="shared" si="39"/>
        <v>2774.6321756065017</v>
      </c>
      <c r="AB38" s="309">
        <f t="shared" si="39"/>
        <v>2776.8518813469868</v>
      </c>
      <c r="AC38" s="309">
        <f t="shared" si="39"/>
        <v>2779.0733628520643</v>
      </c>
      <c r="AD38" s="309">
        <f t="shared" si="39"/>
        <v>2781.2966215423457</v>
      </c>
      <c r="AE38" s="309">
        <f t="shared" si="39"/>
        <v>2783.5216588395797</v>
      </c>
      <c r="AF38" s="310">
        <f t="shared" si="39"/>
        <v>2785.7484761666515</v>
      </c>
      <c r="AG38" s="419">
        <f>SUM(G38:AF38)</f>
        <v>71715.267871497112</v>
      </c>
    </row>
    <row r="39" spans="1:33" ht="14.5">
      <c r="A39" s="1380"/>
      <c r="B39" s="217">
        <v>30</v>
      </c>
      <c r="C39" s="219" t="s">
        <v>473</v>
      </c>
      <c r="D39" s="303">
        <v>86.300000000000182</v>
      </c>
      <c r="E39" s="300">
        <v>88.800000000000182</v>
      </c>
      <c r="F39" s="305">
        <v>89.599999999999909</v>
      </c>
      <c r="G39" s="311">
        <f>F39-G10</f>
        <v>90.965849999999904</v>
      </c>
      <c r="H39" s="307">
        <f t="shared" ref="H39:AF39" si="40">G39-H10</f>
        <v>92.332382924999905</v>
      </c>
      <c r="I39" s="307">
        <f t="shared" si="40"/>
        <v>93.699599116462409</v>
      </c>
      <c r="J39" s="312">
        <f t="shared" si="40"/>
        <v>95.067498916020639</v>
      </c>
      <c r="K39" s="398">
        <f t="shared" si="40"/>
        <v>97.257232915153452</v>
      </c>
      <c r="L39" s="307">
        <f t="shared" si="40"/>
        <v>99.448718701485575</v>
      </c>
      <c r="M39" s="307">
        <f t="shared" si="40"/>
        <v>101.64195767644676</v>
      </c>
      <c r="N39" s="307">
        <f t="shared" si="40"/>
        <v>103.83695124258793</v>
      </c>
      <c r="O39" s="307">
        <f t="shared" si="40"/>
        <v>106.03370080358199</v>
      </c>
      <c r="P39" s="307">
        <f t="shared" si="40"/>
        <v>108.23220776422485</v>
      </c>
      <c r="Q39" s="307">
        <f t="shared" si="40"/>
        <v>110.43247353043623</v>
      </c>
      <c r="R39" s="307">
        <f t="shared" si="40"/>
        <v>112.63449950926058</v>
      </c>
      <c r="S39" s="307">
        <f t="shared" si="40"/>
        <v>114.83828710886799</v>
      </c>
      <c r="T39" s="307">
        <f t="shared" si="40"/>
        <v>117.04383773855508</v>
      </c>
      <c r="U39" s="307">
        <f t="shared" si="40"/>
        <v>119.25115280874593</v>
      </c>
      <c r="V39" s="307">
        <f t="shared" si="40"/>
        <v>121.46023373099293</v>
      </c>
      <c r="W39" s="307">
        <f t="shared" si="40"/>
        <v>123.67108191797772</v>
      </c>
      <c r="X39" s="307">
        <f t="shared" si="40"/>
        <v>125.8836987835121</v>
      </c>
      <c r="Y39" s="307">
        <f t="shared" si="40"/>
        <v>128.0980857425389</v>
      </c>
      <c r="Z39" s="307">
        <f t="shared" si="40"/>
        <v>130.31424421113292</v>
      </c>
      <c r="AA39" s="307">
        <f t="shared" si="40"/>
        <v>132.53217560650182</v>
      </c>
      <c r="AB39" s="307">
        <f t="shared" si="40"/>
        <v>134.75188134698703</v>
      </c>
      <c r="AC39" s="307">
        <f t="shared" si="40"/>
        <v>136.97336285206461</v>
      </c>
      <c r="AD39" s="307">
        <f t="shared" si="40"/>
        <v>139.19662154234626</v>
      </c>
      <c r="AE39" s="307">
        <f t="shared" si="40"/>
        <v>141.42165883958015</v>
      </c>
      <c r="AF39" s="312">
        <f t="shared" si="40"/>
        <v>143.64847616665182</v>
      </c>
      <c r="AG39" s="419">
        <f>SUM(G39:AF39)</f>
        <v>3020.6678714971154</v>
      </c>
    </row>
    <row r="40" spans="1:33" ht="14.5">
      <c r="A40" s="1380"/>
      <c r="B40" s="217">
        <v>31</v>
      </c>
      <c r="C40" s="219" t="s">
        <v>474</v>
      </c>
      <c r="D40" s="303">
        <f>Assumptions!AC19</f>
        <v>8512.6</v>
      </c>
      <c r="E40" s="300">
        <f>Assumptions!AB19</f>
        <v>9726.5</v>
      </c>
      <c r="F40" s="305">
        <f>Assumptions!AA19</f>
        <v>11421.8</v>
      </c>
      <c r="G40" s="311">
        <f>F40+(-G23)</f>
        <v>12871.8</v>
      </c>
      <c r="H40" s="307">
        <f t="shared" ref="H40:AF40" si="41">G40+(-H23)</f>
        <v>14402.081907</v>
      </c>
      <c r="I40" s="307">
        <f t="shared" si="41"/>
        <v>15993.575090279999</v>
      </c>
      <c r="J40" s="312">
        <f t="shared" si="41"/>
        <v>17648.728000891198</v>
      </c>
      <c r="K40" s="398">
        <f t="shared" si="41"/>
        <v>19231.763534682912</v>
      </c>
      <c r="L40" s="307">
        <f t="shared" si="41"/>
        <v>20862.290134488376</v>
      </c>
      <c r="M40" s="307">
        <f t="shared" si="41"/>
        <v>22541.732532288002</v>
      </c>
      <c r="N40" s="307">
        <f t="shared" si="41"/>
        <v>24271.558202021617</v>
      </c>
      <c r="O40" s="307">
        <f t="shared" si="41"/>
        <v>26053.278641847242</v>
      </c>
      <c r="P40" s="307">
        <f t="shared" si="41"/>
        <v>27888.450694867635</v>
      </c>
      <c r="Q40" s="307">
        <f t="shared" si="41"/>
        <v>29778.67790947864</v>
      </c>
      <c r="R40" s="307">
        <f t="shared" si="41"/>
        <v>31725.611940527975</v>
      </c>
      <c r="S40" s="307">
        <f t="shared" si="41"/>
        <v>33730.953992508788</v>
      </c>
      <c r="T40" s="307">
        <f t="shared" si="41"/>
        <v>35796.456306049025</v>
      </c>
      <c r="U40" s="307">
        <f t="shared" si="41"/>
        <v>37923.92368899547</v>
      </c>
      <c r="V40" s="307">
        <f t="shared" si="41"/>
        <v>40115.215093430314</v>
      </c>
      <c r="W40" s="307">
        <f t="shared" si="41"/>
        <v>42372.245239998199</v>
      </c>
      <c r="X40" s="307">
        <f t="shared" si="41"/>
        <v>44696.986290963119</v>
      </c>
      <c r="Y40" s="307">
        <f t="shared" si="41"/>
        <v>47091.46957345699</v>
      </c>
      <c r="Z40" s="307">
        <f t="shared" si="41"/>
        <v>49557.78735442568</v>
      </c>
      <c r="AA40" s="307">
        <f t="shared" si="41"/>
        <v>52098.094668823425</v>
      </c>
      <c r="AB40" s="307">
        <f t="shared" si="41"/>
        <v>54714.611202653105</v>
      </c>
      <c r="AC40" s="307">
        <f t="shared" si="41"/>
        <v>57409.623232497674</v>
      </c>
      <c r="AD40" s="307">
        <f t="shared" si="41"/>
        <v>60185.485623237582</v>
      </c>
      <c r="AE40" s="307">
        <f t="shared" si="41"/>
        <v>63044.623885699686</v>
      </c>
      <c r="AF40" s="312">
        <f t="shared" si="41"/>
        <v>65989.536296035658</v>
      </c>
      <c r="AG40" s="419">
        <f>SUM(G40:AF40)</f>
        <v>947996.56103714835</v>
      </c>
    </row>
    <row r="41" spans="1:33" ht="15" thickBot="1">
      <c r="A41" s="1380"/>
      <c r="B41" s="218">
        <v>32</v>
      </c>
      <c r="C41" s="214" t="s">
        <v>475</v>
      </c>
      <c r="D41" s="496">
        <f>Assumptions!AC16</f>
        <v>1952.3</v>
      </c>
      <c r="E41" s="300">
        <f>Assumptions!AB16</f>
        <v>2391.9</v>
      </c>
      <c r="F41" s="497">
        <f>Assumptions!AA16</f>
        <v>2733.1</v>
      </c>
      <c r="G41" s="498">
        <f>F41-G9</f>
        <v>3212.8155999999999</v>
      </c>
      <c r="H41" s="499">
        <f t="shared" ref="H41:AF41" si="42">G41-H9</f>
        <v>3753.4312</v>
      </c>
      <c r="I41" s="499">
        <f t="shared" si="42"/>
        <v>4358.3186400940003</v>
      </c>
      <c r="J41" s="500">
        <f t="shared" si="42"/>
        <v>5030.0487938857605</v>
      </c>
      <c r="K41" s="501">
        <f t="shared" si="42"/>
        <v>5735.9979139214083</v>
      </c>
      <c r="L41" s="499">
        <f t="shared" si="42"/>
        <v>6505.2684553087247</v>
      </c>
      <c r="M41" s="499">
        <f t="shared" si="42"/>
        <v>7339.7600606882597</v>
      </c>
      <c r="N41" s="499">
        <f t="shared" si="42"/>
        <v>8241.4293619797791</v>
      </c>
      <c r="O41" s="499">
        <f t="shared" si="42"/>
        <v>9212.2916900606433</v>
      </c>
      <c r="P41" s="499">
        <f t="shared" si="42"/>
        <v>10254.422835734533</v>
      </c>
      <c r="Q41" s="499">
        <f t="shared" si="42"/>
        <v>11369.960863529239</v>
      </c>
      <c r="R41" s="499">
        <f t="shared" si="42"/>
        <v>12561.107979908385</v>
      </c>
      <c r="S41" s="499">
        <f t="shared" si="42"/>
        <v>13830.132457529504</v>
      </c>
      <c r="T41" s="499">
        <f t="shared" si="42"/>
        <v>15179.370617229855</v>
      </c>
      <c r="U41" s="499">
        <f t="shared" si="42"/>
        <v>16611.228869471815</v>
      </c>
      <c r="V41" s="499">
        <f t="shared" si="42"/>
        <v>18128.185817031634</v>
      </c>
      <c r="W41" s="499">
        <f t="shared" si="42"/>
        <v>19732.794420768845</v>
      </c>
      <c r="X41" s="499">
        <f t="shared" si="42"/>
        <v>21427.684230368774</v>
      </c>
      <c r="Y41" s="499">
        <f t="shared" si="42"/>
        <v>23215.563682007298</v>
      </c>
      <c r="Z41" s="499">
        <f t="shared" si="42"/>
        <v>25099.222464945578</v>
      </c>
      <c r="AA41" s="499">
        <f t="shared" si="42"/>
        <v>27081.533959122607</v>
      </c>
      <c r="AB41" s="499">
        <f t="shared" si="42"/>
        <v>29165.457745875545</v>
      </c>
      <c r="AC41" s="499">
        <f t="shared" si="42"/>
        <v>31354.04219398167</v>
      </c>
      <c r="AD41" s="499">
        <f t="shared" si="42"/>
        <v>33650.427123281574</v>
      </c>
      <c r="AE41" s="499">
        <f t="shared" si="42"/>
        <v>36057.846548211077</v>
      </c>
      <c r="AF41" s="500">
        <f t="shared" si="42"/>
        <v>38579.631503639066</v>
      </c>
      <c r="AG41" s="419">
        <f>SUM(G41:AF41)</f>
        <v>436687.97502857551</v>
      </c>
    </row>
    <row r="42" spans="1:33" s="3" customFormat="1" ht="15" thickBot="1">
      <c r="A42" s="1374"/>
      <c r="B42" s="1375"/>
      <c r="C42" s="1375"/>
      <c r="D42" s="1375"/>
      <c r="E42" s="1375"/>
      <c r="F42" s="1375"/>
      <c r="G42" s="1375"/>
      <c r="H42" s="1375"/>
      <c r="I42" s="1375"/>
      <c r="J42" s="1375"/>
      <c r="K42" s="1375"/>
      <c r="L42" s="1375"/>
      <c r="M42" s="1375"/>
      <c r="N42" s="1375"/>
      <c r="O42" s="1375"/>
      <c r="P42" s="1375"/>
      <c r="Q42" s="1375"/>
      <c r="R42" s="1375"/>
      <c r="S42" s="1375"/>
      <c r="T42" s="1375"/>
      <c r="U42" s="1375"/>
      <c r="V42" s="1375"/>
      <c r="W42" s="1375"/>
      <c r="X42" s="1375"/>
      <c r="Y42" s="1375"/>
      <c r="Z42" s="1375"/>
      <c r="AA42" s="1375"/>
      <c r="AB42" s="1375"/>
      <c r="AC42" s="1375"/>
      <c r="AD42" s="1375"/>
      <c r="AE42" s="1375"/>
      <c r="AF42" s="1376"/>
      <c r="AG42" s="418"/>
    </row>
    <row r="43" spans="1:33" ht="15" customHeight="1">
      <c r="A43" s="1368" t="s">
        <v>476</v>
      </c>
      <c r="B43" s="215">
        <v>33</v>
      </c>
      <c r="C43" s="219" t="s">
        <v>477</v>
      </c>
      <c r="D43" s="489">
        <f>'Fin. Data'!D39</f>
        <v>199.4</v>
      </c>
      <c r="E43" s="274">
        <f>E36+D43</f>
        <v>137.00000000000037</v>
      </c>
      <c r="F43" s="502">
        <f>F36+E43</f>
        <v>156.50000000000037</v>
      </c>
      <c r="G43" s="503">
        <f>G36+F43</f>
        <v>198.83500598000106</v>
      </c>
      <c r="H43" s="504">
        <f t="shared" ref="H43:AF43" si="43">H36+G43</f>
        <v>241.56034491033247</v>
      </c>
      <c r="I43" s="504">
        <f t="shared" si="43"/>
        <v>373.64583915689684</v>
      </c>
      <c r="J43" s="505">
        <f t="shared" si="43"/>
        <v>396.60426795030946</v>
      </c>
      <c r="K43" s="586">
        <f t="shared" si="43"/>
        <v>74.519566806063381</v>
      </c>
      <c r="L43" s="587">
        <f t="shared" si="43"/>
        <v>229.71722198056307</v>
      </c>
      <c r="M43" s="587">
        <f t="shared" si="43"/>
        <v>297.84003186527082</v>
      </c>
      <c r="N43" s="587">
        <f t="shared" si="43"/>
        <v>465.34383145022878</v>
      </c>
      <c r="O43" s="587">
        <f t="shared" si="43"/>
        <v>60.074287467347517</v>
      </c>
      <c r="P43" s="587">
        <f t="shared" si="43"/>
        <v>39.428645878215434</v>
      </c>
      <c r="Q43" s="587">
        <f t="shared" si="43"/>
        <v>338.40385073234359</v>
      </c>
      <c r="R43" s="587">
        <f t="shared" si="43"/>
        <v>69.427318077832865</v>
      </c>
      <c r="S43" s="587">
        <f t="shared" si="43"/>
        <v>132.8399098528331</v>
      </c>
      <c r="T43" s="587">
        <f t="shared" si="43"/>
        <v>229.16986279767627</v>
      </c>
      <c r="U43" s="587">
        <f t="shared" si="43"/>
        <v>109.81524612628994</v>
      </c>
      <c r="V43" s="587">
        <f t="shared" si="43"/>
        <v>25.581164615434886</v>
      </c>
      <c r="W43" s="587">
        <f t="shared" si="43"/>
        <v>477.43291439831103</v>
      </c>
      <c r="X43" s="587">
        <f t="shared" si="43"/>
        <v>516.48667402096692</v>
      </c>
      <c r="Y43" s="587">
        <f t="shared" si="43"/>
        <v>43.762689682088535</v>
      </c>
      <c r="Z43" s="587">
        <f t="shared" si="43"/>
        <v>10.355948420631762</v>
      </c>
      <c r="AA43" s="587">
        <f t="shared" si="43"/>
        <v>167.40686637382453</v>
      </c>
      <c r="AB43" s="587">
        <f t="shared" si="43"/>
        <v>66.065110195780221</v>
      </c>
      <c r="AC43" s="587">
        <f t="shared" si="43"/>
        <v>507.52573770922311</v>
      </c>
      <c r="AD43" s="587">
        <f t="shared" si="43"/>
        <v>55.919149889222467</v>
      </c>
      <c r="AE43" s="587">
        <f t="shared" si="43"/>
        <v>92.907657587296057</v>
      </c>
      <c r="AF43" s="588">
        <f t="shared" si="43"/>
        <v>70.293291697292375</v>
      </c>
      <c r="AG43" s="418"/>
    </row>
    <row r="44" spans="1:33" ht="14.5">
      <c r="A44" s="1368"/>
      <c r="B44" s="215">
        <v>34</v>
      </c>
      <c r="C44" s="219" t="s">
        <v>324</v>
      </c>
      <c r="D44" s="489">
        <f>'Fin. Data'!D58</f>
        <v>10974.1</v>
      </c>
      <c r="E44" s="273">
        <f>'Fin. Data'!C58</f>
        <v>12996.7</v>
      </c>
      <c r="F44" s="490">
        <f>'Fin. Data'!B58</f>
        <v>12575.400000000001</v>
      </c>
      <c r="G44" s="583">
        <f>Assumptions!C84</f>
        <v>12026.100000000002</v>
      </c>
      <c r="H44" s="584">
        <f>Assumptions!D84</f>
        <v>11330.600000000002</v>
      </c>
      <c r="I44" s="584">
        <f>Assumptions!E84</f>
        <v>10732.300000000003</v>
      </c>
      <c r="J44" s="585">
        <f>Assumptions!F84</f>
        <v>9895.0500000000029</v>
      </c>
      <c r="K44" s="583">
        <f>Assumptions!G84</f>
        <v>10003.450000000003</v>
      </c>
      <c r="L44" s="584">
        <f>Assumptions!H84</f>
        <v>10557.350000000002</v>
      </c>
      <c r="M44" s="584">
        <f>Assumptions!I84</f>
        <v>10987.350000000002</v>
      </c>
      <c r="N44" s="584">
        <f>Assumptions!J84</f>
        <v>11496.850000000002</v>
      </c>
      <c r="O44" s="584">
        <f>Assumptions!K84</f>
        <v>11402.450000000003</v>
      </c>
      <c r="P44" s="584">
        <f>Assumptions!L84</f>
        <v>11661.750000000002</v>
      </c>
      <c r="Q44" s="584">
        <f>Assumptions!M84</f>
        <v>12211.750000000002</v>
      </c>
      <c r="R44" s="584">
        <f>Assumptions!N84</f>
        <v>12161.750000000002</v>
      </c>
      <c r="S44" s="584">
        <f>Assumptions!O84</f>
        <v>12411.750000000002</v>
      </c>
      <c r="T44" s="584">
        <f>Assumptions!P84</f>
        <v>12661.750000000002</v>
      </c>
      <c r="U44" s="584">
        <f>Assumptions!Q84</f>
        <v>12661.750000000002</v>
      </c>
      <c r="V44" s="584">
        <f>Assumptions!R84</f>
        <v>12661.750000000002</v>
      </c>
      <c r="W44" s="584">
        <f>Assumptions!S84</f>
        <v>13161.750000000002</v>
      </c>
      <c r="X44" s="584">
        <f>Assumptions!T84</f>
        <v>13211.750000000002</v>
      </c>
      <c r="Y44" s="584">
        <f>Assumptions!U84</f>
        <v>12711.750000000002</v>
      </c>
      <c r="Z44" s="584">
        <f>Assumptions!V84</f>
        <v>12611.750000000002</v>
      </c>
      <c r="AA44" s="584">
        <f>Assumptions!W84</f>
        <v>12661.750000000002</v>
      </c>
      <c r="AB44" s="584">
        <f>Assumptions!X84</f>
        <v>12411.750000000002</v>
      </c>
      <c r="AC44" s="584">
        <f>Assumptions!Y84</f>
        <v>12661.750000000002</v>
      </c>
      <c r="AD44" s="584">
        <f>Assumptions!Z84</f>
        <v>11974.650000000001</v>
      </c>
      <c r="AE44" s="584">
        <f>Assumptions!AA84</f>
        <v>11730.850000000002</v>
      </c>
      <c r="AF44" s="585">
        <f>Assumptions!AB84</f>
        <v>11380.850000000002</v>
      </c>
      <c r="AG44" s="430"/>
    </row>
    <row r="45" spans="1:33" ht="14.5">
      <c r="A45" s="1368"/>
      <c r="B45" s="215">
        <v>35</v>
      </c>
      <c r="C45" s="219" t="s">
        <v>478</v>
      </c>
      <c r="D45" s="491"/>
      <c r="E45" s="365"/>
      <c r="F45" s="492">
        <f>1/((1+$F$50)^G50)</f>
        <v>1</v>
      </c>
      <c r="G45" s="318">
        <f t="shared" ref="G45:AF45" si="44">1/((1+$F$50)^G49)</f>
        <v>0.91954022988505757</v>
      </c>
      <c r="H45" s="268">
        <f t="shared" si="44"/>
        <v>0.84555423437706456</v>
      </c>
      <c r="I45" s="268">
        <f t="shared" si="44"/>
        <v>0.77752113505936971</v>
      </c>
      <c r="J45" s="319">
        <f t="shared" si="44"/>
        <v>0.71496196327298378</v>
      </c>
      <c r="K45" s="318">
        <f t="shared" si="44"/>
        <v>0.65743628806711163</v>
      </c>
      <c r="L45" s="268">
        <f t="shared" si="44"/>
        <v>0.60453911546401085</v>
      </c>
      <c r="M45" s="268">
        <f t="shared" si="44"/>
        <v>0.55589803720828579</v>
      </c>
      <c r="N45" s="268">
        <f t="shared" si="44"/>
        <v>0.51117060892715949</v>
      </c>
      <c r="O45" s="268">
        <f t="shared" si="44"/>
        <v>0.47004193924336501</v>
      </c>
      <c r="P45" s="268">
        <f t="shared" si="44"/>
        <v>0.43222247286746218</v>
      </c>
      <c r="Q45" s="268">
        <f t="shared" si="44"/>
        <v>0.3974459520620342</v>
      </c>
      <c r="R45" s="268">
        <f t="shared" si="44"/>
        <v>0.36546754212600857</v>
      </c>
      <c r="S45" s="268">
        <f t="shared" si="44"/>
        <v>0.3360621077020769</v>
      </c>
      <c r="T45" s="268">
        <f t="shared" si="44"/>
        <v>0.30902262777202477</v>
      </c>
      <c r="U45" s="268">
        <f t="shared" si="44"/>
        <v>0.28415873818117221</v>
      </c>
      <c r="V45" s="268">
        <f t="shared" si="44"/>
        <v>0.26129539143096298</v>
      </c>
      <c r="W45" s="268">
        <f t="shared" si="44"/>
        <v>0.2402716243043338</v>
      </c>
      <c r="X45" s="268">
        <f t="shared" si="44"/>
        <v>0.22093942464766333</v>
      </c>
      <c r="Y45" s="268">
        <f t="shared" si="44"/>
        <v>0.20316268933118464</v>
      </c>
      <c r="Z45" s="268">
        <f t="shared" si="44"/>
        <v>0.1868162660516641</v>
      </c>
      <c r="AA45" s="268">
        <f t="shared" si="44"/>
        <v>0.17178507223141529</v>
      </c>
      <c r="AB45" s="268">
        <f t="shared" si="44"/>
        <v>0.15796328481049685</v>
      </c>
      <c r="AC45" s="268">
        <f t="shared" si="44"/>
        <v>0.14525359522804307</v>
      </c>
      <c r="AD45" s="268">
        <f t="shared" si="44"/>
        <v>0.13356652434762584</v>
      </c>
      <c r="AE45" s="268">
        <f t="shared" si="44"/>
        <v>0.12281979250356399</v>
      </c>
      <c r="AF45" s="581">
        <f t="shared" si="44"/>
        <v>0.11293774023316232</v>
      </c>
      <c r="AG45" s="430"/>
    </row>
    <row r="46" spans="1:33" ht="14.5">
      <c r="A46" s="1368"/>
      <c r="B46" s="215">
        <v>36</v>
      </c>
      <c r="C46" s="219" t="s">
        <v>479</v>
      </c>
      <c r="D46" s="493"/>
      <c r="E46" s="494" t="s">
        <v>480</v>
      </c>
      <c r="F46" s="319">
        <f>1/((1+$F$50+0.001)^G50)</f>
        <v>1</v>
      </c>
      <c r="G46" s="318">
        <f>1/((1+$F$50+0.001)^G49)</f>
        <v>0.9186954524575105</v>
      </c>
      <c r="H46" s="268">
        <f t="shared" ref="H46:AF46" si="45">1/((1+$F$50+0.001)^H49)</f>
        <v>0.84400133436611002</v>
      </c>
      <c r="I46" s="268">
        <f t="shared" si="45"/>
        <v>0.775380187750216</v>
      </c>
      <c r="J46" s="319">
        <f t="shared" si="45"/>
        <v>0.71233825241177418</v>
      </c>
      <c r="K46" s="318">
        <f t="shared" si="45"/>
        <v>0.65442191310222719</v>
      </c>
      <c r="L46" s="268">
        <f t="shared" si="45"/>
        <v>0.60121443555556031</v>
      </c>
      <c r="M46" s="268">
        <f t="shared" si="45"/>
        <v>0.55233296789670228</v>
      </c>
      <c r="N46" s="268">
        <f t="shared" si="45"/>
        <v>0.50742578584906051</v>
      </c>
      <c r="O46" s="268">
        <f t="shared" si="45"/>
        <v>0.4661697619192105</v>
      </c>
      <c r="P46" s="268">
        <f t="shared" si="45"/>
        <v>0.42826804034837906</v>
      </c>
      <c r="Q46" s="268">
        <f t="shared" si="45"/>
        <v>0.39344790110094541</v>
      </c>
      <c r="R46" s="268">
        <f t="shared" si="45"/>
        <v>0.36145879752039095</v>
      </c>
      <c r="S46" s="268">
        <f t="shared" si="45"/>
        <v>0.33207055353274323</v>
      </c>
      <c r="T46" s="268">
        <f t="shared" si="45"/>
        <v>0.30507170742557954</v>
      </c>
      <c r="U46" s="268">
        <f t="shared" si="45"/>
        <v>0.28026799028532806</v>
      </c>
      <c r="V46" s="268">
        <f t="shared" si="45"/>
        <v>0.2574809281445366</v>
      </c>
      <c r="W46" s="268">
        <f t="shared" si="45"/>
        <v>0.23654655778092482</v>
      </c>
      <c r="X46" s="268">
        <f t="shared" si="45"/>
        <v>0.2173142469278134</v>
      </c>
      <c r="Y46" s="268">
        <f t="shared" si="45"/>
        <v>0.1996456104068107</v>
      </c>
      <c r="Z46" s="268">
        <f t="shared" si="45"/>
        <v>0.18341351438384082</v>
      </c>
      <c r="AA46" s="268">
        <f t="shared" si="45"/>
        <v>0.16850116158368472</v>
      </c>
      <c r="AB46" s="268">
        <f t="shared" si="45"/>
        <v>0.15480125088073934</v>
      </c>
      <c r="AC46" s="268">
        <f t="shared" si="45"/>
        <v>0.14221520521886943</v>
      </c>
      <c r="AD46" s="268">
        <f t="shared" si="45"/>
        <v>0.13065246230488697</v>
      </c>
      <c r="AE46" s="268">
        <f t="shared" si="45"/>
        <v>0.12002982297187596</v>
      </c>
      <c r="AF46" s="319">
        <f t="shared" si="45"/>
        <v>0.11027085252354249</v>
      </c>
      <c r="AG46" s="430"/>
    </row>
    <row r="47" spans="1:33" ht="15" thickBot="1">
      <c r="A47" s="1368"/>
      <c r="B47" s="216">
        <v>37</v>
      </c>
      <c r="C47" s="214" t="s">
        <v>481</v>
      </c>
      <c r="D47" s="493"/>
      <c r="E47" s="494" t="s">
        <v>482</v>
      </c>
      <c r="F47" s="506">
        <f>1/((1+$F$50+0.005)^G50)</f>
        <v>1</v>
      </c>
      <c r="G47" s="507">
        <f t="shared" ref="G47:AF47" si="46">1/((1+$F$50+0.005)^G49)</f>
        <v>0.91533180778032053</v>
      </c>
      <c r="H47" s="508">
        <f t="shared" si="46"/>
        <v>0.83783231833438965</v>
      </c>
      <c r="I47" s="508">
        <f t="shared" si="46"/>
        <v>0.76689457055779375</v>
      </c>
      <c r="J47" s="506">
        <f t="shared" si="46"/>
        <v>0.70196299364557802</v>
      </c>
      <c r="K47" s="589">
        <f t="shared" si="46"/>
        <v>0.64252905596849252</v>
      </c>
      <c r="L47" s="590">
        <f t="shared" si="46"/>
        <v>0.58812728235102296</v>
      </c>
      <c r="M47" s="590">
        <f t="shared" si="46"/>
        <v>0.53833160855928885</v>
      </c>
      <c r="N47" s="590">
        <f t="shared" si="46"/>
        <v>0.4927520444478618</v>
      </c>
      <c r="O47" s="590">
        <f t="shared" si="46"/>
        <v>0.45103161963191024</v>
      </c>
      <c r="P47" s="590">
        <f t="shared" si="46"/>
        <v>0.41284358776376223</v>
      </c>
      <c r="Q47" s="590">
        <f t="shared" si="46"/>
        <v>0.37788886751831785</v>
      </c>
      <c r="R47" s="590">
        <f t="shared" si="46"/>
        <v>0.34589370024559996</v>
      </c>
      <c r="S47" s="590">
        <f t="shared" si="46"/>
        <v>0.31660750594562931</v>
      </c>
      <c r="T47" s="590">
        <f t="shared" si="46"/>
        <v>0.28980092077403147</v>
      </c>
      <c r="U47" s="590">
        <f t="shared" si="46"/>
        <v>0.26526400070849565</v>
      </c>
      <c r="V47" s="590">
        <f t="shared" si="46"/>
        <v>0.24280457730754759</v>
      </c>
      <c r="W47" s="590">
        <f t="shared" si="46"/>
        <v>0.22224675268425409</v>
      </c>
      <c r="X47" s="590">
        <f t="shared" si="46"/>
        <v>0.2034295219077841</v>
      </c>
      <c r="Y47" s="590">
        <f t="shared" si="46"/>
        <v>0.18620551204373834</v>
      </c>
      <c r="Z47" s="590">
        <f t="shared" si="46"/>
        <v>0.17043982795765528</v>
      </c>
      <c r="AA47" s="590">
        <f t="shared" si="46"/>
        <v>0.15600899584224742</v>
      </c>
      <c r="AB47" s="590">
        <f t="shared" si="46"/>
        <v>0.14279999619427683</v>
      </c>
      <c r="AC47" s="590">
        <f t="shared" si="46"/>
        <v>0.1307093786675303</v>
      </c>
      <c r="AD47" s="590">
        <f t="shared" si="46"/>
        <v>0.11964245186959299</v>
      </c>
      <c r="AE47" s="590">
        <f t="shared" si="46"/>
        <v>0.10951254175706454</v>
      </c>
      <c r="AF47" s="591">
        <f t="shared" si="46"/>
        <v>0.10024031282111172</v>
      </c>
      <c r="AG47" s="430"/>
    </row>
    <row r="48" spans="1:33" ht="15" thickBot="1">
      <c r="A48" s="1377" t="s">
        <v>156</v>
      </c>
      <c r="B48" s="1378"/>
      <c r="C48" s="1378"/>
      <c r="D48" s="1378"/>
      <c r="E48" s="1378"/>
      <c r="F48" s="1378"/>
      <c r="G48" s="1378"/>
      <c r="H48" s="1378"/>
      <c r="I48" s="1378"/>
      <c r="J48" s="1378"/>
      <c r="K48" s="1378"/>
      <c r="L48" s="1378"/>
      <c r="M48" s="1378"/>
      <c r="N48" s="1378"/>
      <c r="O48" s="1378"/>
      <c r="P48" s="1378"/>
      <c r="Q48" s="1378"/>
      <c r="R48" s="1378"/>
      <c r="S48" s="1378"/>
      <c r="T48" s="1378"/>
      <c r="U48" s="1378"/>
      <c r="V48" s="1378"/>
      <c r="W48" s="1378"/>
      <c r="X48" s="1378"/>
      <c r="Y48" s="1378"/>
      <c r="Z48" s="1378"/>
      <c r="AA48" s="1378"/>
      <c r="AB48" s="1378"/>
      <c r="AC48" s="1378"/>
      <c r="AD48" s="1378"/>
      <c r="AE48" s="1378"/>
      <c r="AF48" s="1379"/>
      <c r="AG48" s="430"/>
    </row>
    <row r="49" spans="1:59" ht="14.5">
      <c r="A49" s="1382" t="s">
        <v>483</v>
      </c>
      <c r="C49" s="230" t="s">
        <v>484</v>
      </c>
      <c r="D49" s="220" t="s">
        <v>485</v>
      </c>
      <c r="E49" s="221" t="s">
        <v>486</v>
      </c>
      <c r="F49" s="231" t="s">
        <v>487</v>
      </c>
      <c r="G49" s="269">
        <v>1</v>
      </c>
      <c r="H49" s="270">
        <v>2</v>
      </c>
      <c r="I49" s="270">
        <v>3</v>
      </c>
      <c r="J49" s="269">
        <v>4</v>
      </c>
      <c r="K49" s="270">
        <v>5</v>
      </c>
      <c r="L49" s="270">
        <v>6</v>
      </c>
      <c r="M49" s="269">
        <v>7</v>
      </c>
      <c r="N49" s="270">
        <v>8</v>
      </c>
      <c r="O49" s="270">
        <v>9</v>
      </c>
      <c r="P49" s="269">
        <v>10</v>
      </c>
      <c r="Q49" s="270">
        <v>11</v>
      </c>
      <c r="R49" s="270">
        <v>12</v>
      </c>
      <c r="S49" s="269">
        <v>13</v>
      </c>
      <c r="T49" s="270">
        <v>14</v>
      </c>
      <c r="U49" s="270">
        <v>15</v>
      </c>
      <c r="V49" s="269">
        <v>16</v>
      </c>
      <c r="W49" s="270">
        <v>17</v>
      </c>
      <c r="X49" s="270">
        <v>18</v>
      </c>
      <c r="Y49" s="269">
        <v>19</v>
      </c>
      <c r="Z49" s="270">
        <v>20</v>
      </c>
      <c r="AA49" s="270">
        <v>21</v>
      </c>
      <c r="AB49" s="269">
        <v>22</v>
      </c>
      <c r="AC49" s="270">
        <v>23</v>
      </c>
      <c r="AD49" s="270">
        <v>24</v>
      </c>
      <c r="AE49" s="269">
        <v>25</v>
      </c>
      <c r="AF49" s="270">
        <v>26</v>
      </c>
    </row>
    <row r="50" spans="1:59" ht="15" thickBot="1">
      <c r="A50" s="1383"/>
      <c r="C50" s="226">
        <v>0.04</v>
      </c>
      <c r="D50" s="227">
        <v>0.04</v>
      </c>
      <c r="E50" s="228">
        <v>7.4999999999999997E-3</v>
      </c>
      <c r="F50" s="229">
        <f>E50+D50+C50</f>
        <v>8.7499999999999994E-2</v>
      </c>
      <c r="G50" s="269">
        <v>0</v>
      </c>
      <c r="U50" s="213"/>
      <c r="V50" s="213"/>
      <c r="W50" s="213"/>
      <c r="X50" s="213"/>
      <c r="Y50" s="213"/>
      <c r="Z50" s="213"/>
      <c r="AA50" s="213"/>
      <c r="AB50" s="213"/>
      <c r="AC50" s="213"/>
      <c r="AD50" s="213"/>
      <c r="AE50" s="213"/>
      <c r="AF50" s="213"/>
    </row>
    <row r="51" spans="1:59" ht="14.5">
      <c r="A51" s="213"/>
      <c r="C51" s="213"/>
      <c r="D51" s="213"/>
      <c r="E51" s="985"/>
      <c r="G51" s="1017"/>
      <c r="H51" s="1017"/>
      <c r="I51" s="1017"/>
      <c r="J51" s="1017"/>
      <c r="K51" s="1017"/>
      <c r="L51" s="1017"/>
      <c r="M51" s="1017"/>
      <c r="N51" s="1017"/>
      <c r="O51" s="1017"/>
      <c r="P51" s="1017"/>
      <c r="Q51" s="1017"/>
      <c r="R51" s="1017"/>
      <c r="S51" s="1017"/>
      <c r="T51" s="1017"/>
      <c r="U51" s="1017"/>
      <c r="V51" s="1017"/>
      <c r="W51" s="1017"/>
      <c r="X51" s="1017"/>
      <c r="Y51" s="1017"/>
      <c r="Z51" s="1017"/>
      <c r="AA51" s="1017"/>
      <c r="AB51" s="1017"/>
      <c r="AC51" s="1017"/>
      <c r="AD51" s="1017"/>
      <c r="AE51" s="1017"/>
      <c r="AF51" s="1017"/>
    </row>
    <row r="52" spans="1:59" ht="15" customHeight="1">
      <c r="A52" s="1384" t="s">
        <v>488</v>
      </c>
      <c r="C52" s="381" t="s">
        <v>156</v>
      </c>
      <c r="D52" s="382" t="s">
        <v>429</v>
      </c>
      <c r="E52" s="383" t="s">
        <v>430</v>
      </c>
      <c r="F52" s="382" t="s">
        <v>489</v>
      </c>
      <c r="G52" s="992"/>
      <c r="I52" s="213"/>
      <c r="J52" s="213"/>
      <c r="U52" s="213"/>
      <c r="V52" s="213"/>
      <c r="W52" s="213"/>
      <c r="X52" s="213"/>
      <c r="Y52" s="213"/>
      <c r="Z52" s="213"/>
      <c r="AA52" s="213"/>
      <c r="AB52" s="213"/>
      <c r="AC52" s="213"/>
      <c r="AD52" s="213"/>
      <c r="AE52" s="213"/>
      <c r="AF52" s="213"/>
    </row>
    <row r="53" spans="1:59" ht="15" customHeight="1">
      <c r="A53" s="1384"/>
      <c r="C53" s="384" t="s">
        <v>490</v>
      </c>
      <c r="D53" s="354">
        <f>-Assumptions!S17</f>
        <v>-4.2000000000000003E-2</v>
      </c>
      <c r="E53" s="355">
        <f>-Assumptions!T17</f>
        <v>-0.04</v>
      </c>
      <c r="F53" s="385" t="str">
        <f>Assumptions!V17</f>
        <v>% PPE</v>
      </c>
      <c r="G53" s="407"/>
      <c r="I53" s="214"/>
      <c r="J53" s="213"/>
      <c r="K53" s="234"/>
      <c r="L53" s="234"/>
      <c r="M53" s="234"/>
      <c r="N53" s="234"/>
      <c r="O53" s="233"/>
      <c r="R53" s="213"/>
      <c r="S53" s="213"/>
      <c r="T53" s="213"/>
      <c r="U53" s="213"/>
      <c r="W53" s="213"/>
      <c r="X53" s="213"/>
      <c r="Y53" s="213"/>
      <c r="Z53" s="213"/>
      <c r="AA53" s="213"/>
      <c r="AB53" s="213"/>
      <c r="AC53" s="213"/>
      <c r="AD53" s="213"/>
      <c r="AE53" s="213"/>
      <c r="AF53" s="213"/>
    </row>
    <row r="54" spans="1:59" ht="15" customHeight="1">
      <c r="A54" s="1384"/>
      <c r="C54" s="386" t="s">
        <v>491</v>
      </c>
      <c r="D54" s="354">
        <f>-Assumptions!S18</f>
        <v>-5.0000000000000001E-4</v>
      </c>
      <c r="E54" s="355">
        <f>-Assumptions!T18</f>
        <v>-8.0000000000000004E-4</v>
      </c>
      <c r="F54" s="385" t="str">
        <f>Assumptions!V18</f>
        <v>% IA</v>
      </c>
      <c r="G54" s="213"/>
      <c r="I54" s="213"/>
      <c r="J54" s="213"/>
      <c r="K54" s="213"/>
      <c r="L54" s="213"/>
      <c r="M54" s="213"/>
      <c r="N54" s="213"/>
      <c r="O54" s="213"/>
      <c r="P54" s="213"/>
      <c r="Q54" s="213"/>
      <c r="R54" s="213"/>
      <c r="S54" s="213"/>
      <c r="T54" s="213"/>
      <c r="U54" s="213"/>
      <c r="V54" s="213"/>
      <c r="W54" s="213"/>
      <c r="X54" s="213"/>
      <c r="Y54" s="213"/>
      <c r="Z54" s="213"/>
      <c r="AA54" s="213"/>
      <c r="AB54" s="213"/>
      <c r="AC54" s="213"/>
      <c r="AD54" s="213"/>
      <c r="AE54" s="213"/>
      <c r="AF54" s="213"/>
      <c r="AH54" s="213"/>
      <c r="AI54" s="1"/>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c r="BF54" s="213"/>
      <c r="BG54" s="213"/>
    </row>
    <row r="55" spans="1:59" ht="15" customHeight="1">
      <c r="A55" s="1384"/>
      <c r="C55" s="364" t="s">
        <v>492</v>
      </c>
      <c r="D55" s="354">
        <f>-Assumptions!S19</f>
        <v>-8.0000000000000002E-3</v>
      </c>
      <c r="E55" s="355">
        <f>-Assumptions!T19</f>
        <v>-0.01</v>
      </c>
      <c r="F55" s="385" t="str">
        <f>Assumptions!V19</f>
        <v>% Revenue</v>
      </c>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row>
    <row r="56" spans="1:59" ht="15" customHeight="1">
      <c r="A56" s="1384"/>
      <c r="C56" s="386" t="s">
        <v>493</v>
      </c>
      <c r="D56" s="354">
        <f>Assumptions!S20</f>
        <v>0.2</v>
      </c>
      <c r="E56" s="355">
        <f>Assumptions!T20</f>
        <v>0.2</v>
      </c>
      <c r="F56" s="385" t="str">
        <f>Assumptions!V20</f>
        <v>% EBT</v>
      </c>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row>
    <row r="57" spans="1:59" ht="15" customHeight="1">
      <c r="A57" s="1384"/>
      <c r="C57" s="364" t="s">
        <v>494</v>
      </c>
      <c r="D57" s="354">
        <f>Assumptions!S21</f>
        <v>0.03</v>
      </c>
      <c r="E57" s="355">
        <f>Assumptions!T21</f>
        <v>3.5000000000000003E-2</v>
      </c>
      <c r="F57" s="385" t="str">
        <f>Assumptions!V21</f>
        <v>% Debt</v>
      </c>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row>
    <row r="58" spans="1:59" ht="15" customHeight="1">
      <c r="A58" s="1384"/>
      <c r="C58" s="386" t="s">
        <v>495</v>
      </c>
      <c r="D58" s="354">
        <f>Assumptions!S22</f>
        <v>0</v>
      </c>
      <c r="E58" s="355">
        <f>Assumptions!T22</f>
        <v>0</v>
      </c>
      <c r="F58" s="385" t="str">
        <f>Assumptions!V22</f>
        <v xml:space="preserve">% Cash </v>
      </c>
      <c r="G58" s="213"/>
      <c r="H58" s="213"/>
      <c r="I58" s="214"/>
      <c r="J58" s="233"/>
      <c r="K58" s="233"/>
      <c r="L58" s="233"/>
      <c r="M58" s="233"/>
      <c r="N58" s="233"/>
      <c r="O58" s="213"/>
      <c r="P58" s="213"/>
      <c r="Q58" s="213"/>
      <c r="R58" s="213"/>
      <c r="S58" s="213"/>
      <c r="T58" s="213"/>
      <c r="U58" s="213"/>
      <c r="V58" s="213"/>
      <c r="W58" s="213"/>
      <c r="X58" s="213"/>
      <c r="Y58" s="213"/>
      <c r="Z58" s="213"/>
      <c r="AA58" s="213"/>
      <c r="AB58" s="213"/>
      <c r="AC58" s="213"/>
      <c r="AD58" s="213"/>
      <c r="AE58" s="213"/>
      <c r="AF58" s="213"/>
    </row>
    <row r="59" spans="1:59" ht="15" customHeight="1">
      <c r="A59" s="1384"/>
      <c r="C59" s="364" t="s">
        <v>496</v>
      </c>
      <c r="D59" s="354" t="str">
        <f>Assumptions!S23</f>
        <v>- -</v>
      </c>
      <c r="E59" s="355" t="str">
        <f>Assumptions!T23</f>
        <v>- -</v>
      </c>
      <c r="F59" s="385" t="str">
        <f>Assumptions!V23</f>
        <v>Growing with CAPEX</v>
      </c>
      <c r="G59" s="213"/>
      <c r="T59" s="213"/>
      <c r="U59" s="213"/>
      <c r="V59" s="213"/>
      <c r="W59" s="213"/>
      <c r="X59" s="213"/>
      <c r="Y59" s="213"/>
      <c r="Z59" s="213"/>
      <c r="AA59" s="213"/>
      <c r="AB59" s="213"/>
      <c r="AC59" s="213"/>
      <c r="AD59" s="213"/>
      <c r="AE59" s="213"/>
      <c r="AF59" s="213"/>
    </row>
    <row r="60" spans="1:59" ht="15" customHeight="1">
      <c r="A60" s="1384"/>
      <c r="C60" s="381" t="s">
        <v>497</v>
      </c>
      <c r="D60" s="354">
        <f>Assumptions!S24</f>
        <v>1.2</v>
      </c>
      <c r="E60" s="355">
        <f>Assumptions!T24</f>
        <v>1.8</v>
      </c>
      <c r="F60" s="385" t="str">
        <f>Assumptions!V24</f>
        <v xml:space="preserve">% Change in Revenues </v>
      </c>
      <c r="G60" s="213"/>
      <c r="H60" s="213"/>
      <c r="I60" s="213"/>
      <c r="J60" s="233"/>
      <c r="K60" s="233"/>
      <c r="R60" s="213"/>
      <c r="S60" s="213"/>
      <c r="T60" s="213"/>
      <c r="U60" s="213"/>
      <c r="V60" s="213"/>
      <c r="W60" s="213"/>
      <c r="X60" s="213"/>
      <c r="Y60" s="213"/>
      <c r="Z60" s="213"/>
      <c r="AA60" s="213"/>
      <c r="AB60" s="213"/>
      <c r="AC60" s="213"/>
      <c r="AD60" s="213"/>
      <c r="AE60" s="213"/>
      <c r="AF60" s="213"/>
    </row>
    <row r="61" spans="1:59" ht="15" customHeight="1">
      <c r="A61" s="1384"/>
      <c r="C61" s="388" t="s">
        <v>498</v>
      </c>
      <c r="D61" s="354" t="str">
        <f>Assumptions!S25</f>
        <v>- -</v>
      </c>
      <c r="E61" s="355" t="str">
        <f>Assumptions!T25</f>
        <v>- -</v>
      </c>
      <c r="F61" s="385" t="str">
        <f>Assumptions!V25</f>
        <v>Growing with Amortization</v>
      </c>
      <c r="G61" s="213"/>
      <c r="H61" s="213"/>
      <c r="I61" s="213"/>
      <c r="J61" s="213"/>
      <c r="K61" s="213"/>
      <c r="L61" s="213"/>
      <c r="M61" s="213"/>
      <c r="N61" s="213"/>
      <c r="O61" s="213"/>
      <c r="P61" s="213"/>
      <c r="Q61" s="213"/>
      <c r="R61" s="213"/>
      <c r="S61" s="213"/>
      <c r="T61" s="213"/>
      <c r="U61" s="213"/>
      <c r="V61" s="213"/>
      <c r="W61" s="213"/>
      <c r="X61" s="213"/>
      <c r="Y61" s="213"/>
      <c r="Z61" s="213"/>
      <c r="AA61" s="213"/>
      <c r="AB61" s="213"/>
      <c r="AC61" s="213"/>
      <c r="AD61" s="213"/>
      <c r="AE61" s="213"/>
      <c r="AF61" s="213"/>
    </row>
    <row r="62" spans="1:59" ht="15" customHeight="1">
      <c r="A62" s="1384"/>
      <c r="C62" s="388" t="s">
        <v>499</v>
      </c>
      <c r="D62" s="354">
        <f>-Assumptions!S26</f>
        <v>-0.14000000000000001</v>
      </c>
      <c r="E62" s="355">
        <f>-Assumptions!T26</f>
        <v>-0.13</v>
      </c>
      <c r="F62" s="385" t="str">
        <f>Assumptions!V26</f>
        <v>% Revenue</v>
      </c>
      <c r="G62" s="213"/>
      <c r="H62" s="213"/>
      <c r="I62" s="213"/>
      <c r="J62" s="213"/>
      <c r="K62" s="213"/>
      <c r="L62" s="213"/>
      <c r="M62" s="213"/>
      <c r="N62" s="213"/>
      <c r="O62" s="213"/>
      <c r="P62" s="213"/>
      <c r="Q62" s="213"/>
      <c r="R62" s="213"/>
      <c r="S62" s="213"/>
      <c r="T62" s="213"/>
      <c r="U62" s="213"/>
      <c r="V62" s="213"/>
      <c r="W62" s="213"/>
      <c r="X62" s="213"/>
      <c r="Y62" s="213"/>
      <c r="Z62" s="213"/>
      <c r="AA62" s="213"/>
      <c r="AB62" s="213"/>
      <c r="AC62" s="213"/>
      <c r="AD62" s="213"/>
      <c r="AE62" s="213"/>
      <c r="AF62" s="213"/>
    </row>
    <row r="63" spans="1:59" ht="15" customHeight="1">
      <c r="A63" s="1384"/>
      <c r="C63" s="388" t="s">
        <v>500</v>
      </c>
      <c r="D63" s="354">
        <f>Assumptions!S27</f>
        <v>5.0000000000000001E-3</v>
      </c>
      <c r="E63" s="355">
        <f>Assumptions!T27</f>
        <v>-0.03</v>
      </c>
      <c r="F63" s="385" t="str">
        <f>Assumptions!V27</f>
        <v>% Revenue</v>
      </c>
      <c r="G63" s="213"/>
      <c r="H63" s="213"/>
      <c r="I63" s="213"/>
      <c r="J63" s="213"/>
      <c r="K63" s="213"/>
      <c r="L63" s="213"/>
      <c r="M63" s="233"/>
      <c r="N63" s="919"/>
      <c r="O63" s="919"/>
      <c r="P63" s="919"/>
      <c r="Q63" s="919"/>
      <c r="R63" s="213"/>
      <c r="S63" s="213"/>
      <c r="U63" s="213"/>
      <c r="V63" s="213"/>
      <c r="W63" s="213"/>
      <c r="X63" s="213"/>
      <c r="Y63" s="213"/>
      <c r="Z63" s="213"/>
      <c r="AA63" s="213"/>
      <c r="AB63" s="213"/>
      <c r="AC63" s="213"/>
      <c r="AD63" s="213"/>
      <c r="AE63" s="213"/>
      <c r="AF63" s="213"/>
    </row>
    <row r="64" spans="1:59" ht="15" customHeight="1">
      <c r="A64" s="1384"/>
      <c r="C64" s="388" t="s">
        <v>139</v>
      </c>
      <c r="D64" s="354">
        <f>Assumptions!S28</f>
        <v>-0.4</v>
      </c>
      <c r="E64" s="355">
        <f>Assumptions!T28</f>
        <v>-0.5</v>
      </c>
      <c r="F64" s="385" t="str">
        <f>Assumptions!V28</f>
        <v>% Net Income</v>
      </c>
      <c r="G64" s="213"/>
      <c r="I64" s="213"/>
      <c r="J64" s="213"/>
      <c r="K64" s="213"/>
      <c r="L64" s="213"/>
      <c r="M64" s="213"/>
      <c r="N64" s="213"/>
      <c r="O64" s="213"/>
      <c r="P64" s="213"/>
      <c r="Q64" s="213"/>
      <c r="R64" s="213"/>
      <c r="S64" s="213"/>
      <c r="T64" s="213"/>
      <c r="U64" s="213"/>
      <c r="V64" s="213"/>
      <c r="W64" s="213"/>
      <c r="X64" s="213"/>
      <c r="Y64" s="213"/>
      <c r="Z64" s="213"/>
      <c r="AA64" s="213"/>
      <c r="AB64" s="213"/>
      <c r="AC64" s="213"/>
      <c r="AD64" s="213"/>
      <c r="AE64" s="213"/>
      <c r="AF64" s="213"/>
    </row>
    <row r="65" spans="1:32" ht="15" customHeight="1">
      <c r="A65" s="1384"/>
      <c r="C65" s="388" t="s">
        <v>501</v>
      </c>
      <c r="D65" s="354">
        <f>Assumptions!S29</f>
        <v>0.14000000000000001</v>
      </c>
      <c r="E65" s="355">
        <f>Assumptions!T29</f>
        <v>0.5</v>
      </c>
      <c r="F65" s="385" t="str">
        <f>Assumptions!V29</f>
        <v>% Net Income</v>
      </c>
    </row>
    <row r="66" spans="1:32" ht="15" customHeight="1">
      <c r="A66" s="1384"/>
      <c r="C66" s="388" t="s">
        <v>502</v>
      </c>
      <c r="D66" s="354">
        <f>-Assumptions!S30</f>
        <v>-1E-3</v>
      </c>
      <c r="E66" s="355">
        <f>-Assumptions!T30</f>
        <v>-1E-3</v>
      </c>
      <c r="F66" s="385" t="str">
        <f>Assumptions!V30</f>
        <v>% Revenue</v>
      </c>
    </row>
    <row r="67" spans="1:32" ht="15.75" customHeight="1">
      <c r="A67" s="1384"/>
      <c r="C67" s="386" t="s">
        <v>324</v>
      </c>
      <c r="D67" s="953" t="str">
        <f>Assumptions!S31</f>
        <v>-</v>
      </c>
      <c r="E67" s="953" t="str">
        <f>Assumptions!T31</f>
        <v>-</v>
      </c>
      <c r="F67" s="997" t="s">
        <v>503</v>
      </c>
      <c r="N67" s="52"/>
      <c r="O67" s="52"/>
      <c r="P67" s="52"/>
      <c r="Q67" s="52"/>
      <c r="R67" s="52"/>
      <c r="S67" s="52"/>
      <c r="T67" s="52"/>
      <c r="U67" s="52"/>
      <c r="V67" s="52"/>
      <c r="W67" s="52"/>
      <c r="X67" s="52"/>
      <c r="Y67" s="52"/>
      <c r="Z67" s="52"/>
      <c r="AA67" s="52"/>
      <c r="AB67" s="52"/>
      <c r="AC67" s="52"/>
      <c r="AD67" s="52"/>
      <c r="AE67" s="52"/>
      <c r="AF67" s="52"/>
    </row>
    <row r="68" spans="1:32" ht="14.5">
      <c r="A68" s="213"/>
      <c r="C68" s="213"/>
      <c r="D68" s="213"/>
      <c r="E68" s="213"/>
      <c r="F68" s="213"/>
      <c r="N68" s="753"/>
      <c r="O68" s="753"/>
      <c r="P68" s="753"/>
      <c r="Q68" s="753"/>
      <c r="R68" s="753"/>
      <c r="S68" s="753"/>
      <c r="T68" s="753"/>
      <c r="U68" s="753"/>
      <c r="V68" s="753"/>
      <c r="W68" s="753"/>
      <c r="X68" s="753"/>
      <c r="Y68" s="753"/>
      <c r="Z68" s="753"/>
      <c r="AA68" s="753"/>
      <c r="AB68" s="753"/>
      <c r="AC68" s="753"/>
      <c r="AD68" s="753"/>
      <c r="AE68" s="753"/>
      <c r="AF68" s="753"/>
    </row>
    <row r="69" spans="1:32">
      <c r="A69" s="1364" t="s">
        <v>112</v>
      </c>
      <c r="C69" s="271"/>
      <c r="D69" s="358" t="s">
        <v>504</v>
      </c>
      <c r="E69" s="1"/>
      <c r="N69" s="984"/>
      <c r="O69" s="984"/>
      <c r="P69" s="984"/>
      <c r="Q69" s="984"/>
      <c r="R69" s="984"/>
      <c r="S69" s="984"/>
      <c r="T69" s="984"/>
      <c r="U69" s="984"/>
      <c r="V69" s="984"/>
      <c r="W69" s="984"/>
      <c r="X69" s="984"/>
      <c r="Y69" s="984"/>
      <c r="Z69" s="984"/>
      <c r="AA69" s="984"/>
      <c r="AB69" s="984"/>
      <c r="AC69" s="984"/>
      <c r="AD69" s="984"/>
      <c r="AE69" s="984"/>
      <c r="AF69" s="984"/>
    </row>
    <row r="70" spans="1:32">
      <c r="A70" s="1365"/>
      <c r="C70" s="271" t="s">
        <v>505</v>
      </c>
      <c r="D70" s="359">
        <f>SUMPRODUCT(G35:AF35,G45:AF45)+((AF43-AF44)*AF45)</f>
        <v>24357.075146152158</v>
      </c>
      <c r="E70" s="320">
        <f>D70/D72</f>
        <v>0.7095627597676013</v>
      </c>
    </row>
    <row r="71" spans="1:32">
      <c r="A71" s="1365"/>
      <c r="C71" s="271" t="s">
        <v>506</v>
      </c>
      <c r="D71" s="359">
        <f>(AF34/(F50-AF5))*AF45</f>
        <v>9969.8040634186509</v>
      </c>
      <c r="E71" s="320">
        <f>D71/D72</f>
        <v>0.29043724023239875</v>
      </c>
    </row>
    <row r="72" spans="1:32">
      <c r="A72" s="1365"/>
      <c r="C72" s="271" t="s">
        <v>507</v>
      </c>
      <c r="D72" s="359">
        <f>D70+D71</f>
        <v>34326.879209570805</v>
      </c>
      <c r="E72" s="1"/>
    </row>
    <row r="73" spans="1:32" ht="14.5">
      <c r="A73" s="1365"/>
      <c r="C73" s="578" t="s">
        <v>508</v>
      </c>
      <c r="D73" s="579">
        <f ca="1">OP!C20</f>
        <v>248.17</v>
      </c>
      <c r="E73" s="272"/>
    </row>
    <row r="74" spans="1:32" ht="14.5">
      <c r="A74" s="1365"/>
      <c r="C74" s="578" t="s">
        <v>509</v>
      </c>
      <c r="D74" s="360">
        <f ca="1">D75/D73-1</f>
        <v>-0.24080247375770947</v>
      </c>
    </row>
    <row r="75" spans="1:32" ht="14.5">
      <c r="A75" s="1366"/>
      <c r="C75" s="361" t="s">
        <v>510</v>
      </c>
      <c r="D75" s="362">
        <f ca="1">D72*1000000/OP!C21</f>
        <v>188.41005008754922</v>
      </c>
    </row>
    <row r="76" spans="1:32" ht="14.5">
      <c r="A76" s="344"/>
      <c r="C76" s="272"/>
      <c r="D76" s="580"/>
    </row>
    <row r="77" spans="1:32" ht="14.5">
      <c r="A77" s="1360" t="s">
        <v>511</v>
      </c>
      <c r="C77" s="380" t="s">
        <v>512</v>
      </c>
      <c r="D77" s="579">
        <f ca="1">(SUMPRODUCT(G35:AF35,G45:AF45)+((AF43-AF44)*AF45)+(AF34/(F50+0.001-AF5))*AF45)*1000000/OP!C21</f>
        <v>187.47464333576335</v>
      </c>
      <c r="E77" s="363">
        <f ca="1">D77/D75-1</f>
        <v>-4.9647391492715354E-3</v>
      </c>
    </row>
    <row r="78" spans="1:32" ht="14.5">
      <c r="A78" s="1361"/>
      <c r="C78" s="380" t="s">
        <v>513</v>
      </c>
      <c r="D78" s="579">
        <f ca="1">(SUMPRODUCT(G35:AF35,G45:AF45)+((AF43-AF44)*AF45)+(AF34/(F50+0.005-AF5))*AF45)*1000000/OP!C21</f>
        <v>184.03234648919118</v>
      </c>
      <c r="E78" s="363">
        <f ca="1">D78/D75-1</f>
        <v>-2.3234979218591745E-2</v>
      </c>
    </row>
    <row r="79" spans="1:32" ht="14.5">
      <c r="A79" s="378"/>
      <c r="C79" s="379"/>
      <c r="D79" s="580"/>
      <c r="E79" s="363"/>
    </row>
    <row r="80" spans="1:32" ht="14.5">
      <c r="A80" s="623" t="s">
        <v>514</v>
      </c>
      <c r="C80" s="594" t="s">
        <v>515</v>
      </c>
      <c r="D80" s="362">
        <f ca="1">D75/1.15</f>
        <v>163.83482616308629</v>
      </c>
    </row>
    <row r="9852" spans="76:79" ht="13" thickBot="1"/>
    <row r="9853" spans="76:79" ht="13.5" thickBot="1">
      <c r="BX9853" s="911">
        <v>2025</v>
      </c>
      <c r="BY9853" s="911">
        <f>BX9853+1</f>
        <v>2026</v>
      </c>
      <c r="BZ9853" s="911">
        <f t="shared" ref="BZ9853" si="47">BY9853+1</f>
        <v>2027</v>
      </c>
      <c r="CA9853" s="911">
        <f>BZ9853+1</f>
        <v>2028</v>
      </c>
    </row>
    <row r="9854" spans="76:79" ht="13" thickBot="1">
      <c r="BX9854" s="912">
        <f>((2/3)*F14+((D14+E14)/2)*(1/3))*(1+G5)</f>
        <v>-1010.7125</v>
      </c>
      <c r="BY9854" s="912">
        <f>((2/3)*F14+((E14+G14)/2)*(1/3))*(1+H5)</f>
        <v>-994.59616666666648</v>
      </c>
      <c r="BZ9854" s="912">
        <f>((2/3)*F14+((H14+G14)/2)*(1/3))*(1+I5)</f>
        <v>-744.06366666666668</v>
      </c>
      <c r="CA9854" s="912">
        <f>((2/3)*F14+((H14+I14)/2)*(1/3))*(1+J5)</f>
        <v>-591.67406133333327</v>
      </c>
    </row>
  </sheetData>
  <mergeCells count="15">
    <mergeCell ref="A33:AF33"/>
    <mergeCell ref="A77:A78"/>
    <mergeCell ref="A1:AF2"/>
    <mergeCell ref="A69:A75"/>
    <mergeCell ref="A5:A17"/>
    <mergeCell ref="A19:A32"/>
    <mergeCell ref="A43:A47"/>
    <mergeCell ref="G3:J3"/>
    <mergeCell ref="K3:AF3"/>
    <mergeCell ref="A42:AF42"/>
    <mergeCell ref="A48:AF48"/>
    <mergeCell ref="A34:A36"/>
    <mergeCell ref="A38:A41"/>
    <mergeCell ref="A49:A50"/>
    <mergeCell ref="A52:A67"/>
  </mergeCells>
  <phoneticPr fontId="0" type="noConversion"/>
  <conditionalFormatting sqref="D74">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A2:DH1036"/>
  <sheetViews>
    <sheetView showGridLines="0" tabSelected="1" topLeftCell="A73" zoomScale="86" zoomScaleNormal="55" workbookViewId="0">
      <selection activeCell="D81" sqref="D81"/>
    </sheetView>
  </sheetViews>
  <sheetFormatPr defaultColWidth="9.26953125" defaultRowHeight="12.75" customHeight="1"/>
  <cols>
    <col min="1" max="1" width="9.26953125" style="551"/>
    <col min="2" max="2" width="33.7265625" style="551" customWidth="1"/>
    <col min="3" max="3" width="32.54296875" style="551" bestFit="1" customWidth="1"/>
    <col min="4" max="4" width="12.7265625" style="551" customWidth="1"/>
    <col min="5" max="5" width="13.453125" style="551" customWidth="1"/>
    <col min="6" max="6" width="12.7265625" style="551" customWidth="1"/>
    <col min="7" max="13" width="14.26953125" style="551" customWidth="1"/>
    <col min="14" max="14" width="11.453125" style="551" bestFit="1" customWidth="1"/>
    <col min="15" max="17" width="12" style="551" bestFit="1" customWidth="1"/>
    <col min="18" max="18" width="11.453125" style="551" bestFit="1" customWidth="1"/>
    <col min="19" max="19" width="18.54296875" style="551" bestFit="1" customWidth="1"/>
    <col min="20" max="20" width="18.26953125" style="551" bestFit="1" customWidth="1"/>
    <col min="21" max="25" width="12.26953125" style="551" bestFit="1" customWidth="1"/>
    <col min="26" max="26" width="26.453125" style="551" customWidth="1"/>
    <col min="27" max="34" width="12.26953125" style="551" bestFit="1" customWidth="1"/>
    <col min="35" max="16384" width="9.26953125" style="551"/>
  </cols>
  <sheetData>
    <row r="2" spans="2:38" s="550" customFormat="1" ht="15" customHeight="1">
      <c r="B2" s="548" t="s">
        <v>516</v>
      </c>
      <c r="C2" s="549"/>
      <c r="D2" s="547"/>
      <c r="E2" s="547"/>
      <c r="F2" s="547"/>
      <c r="G2" s="547"/>
      <c r="H2" s="547"/>
      <c r="I2" s="547"/>
      <c r="J2" s="547"/>
      <c r="K2" s="547"/>
      <c r="L2" s="547"/>
      <c r="M2" s="547"/>
      <c r="N2" s="547"/>
      <c r="O2" s="547"/>
      <c r="P2" s="547"/>
      <c r="Q2" s="547"/>
      <c r="R2" s="547"/>
      <c r="S2" s="547"/>
      <c r="T2" s="547"/>
      <c r="U2" s="547"/>
      <c r="V2" s="547"/>
    </row>
    <row r="3" spans="2:38" ht="12.65" customHeight="1">
      <c r="C3" s="552"/>
    </row>
    <row r="4" spans="2:38" ht="14.15" customHeight="1">
      <c r="B4" s="551" t="s">
        <v>517</v>
      </c>
      <c r="C4" s="782" t="str">
        <f>HYPERLINK("#Assumptions!DA1035","Guidance")</f>
        <v>Guidance</v>
      </c>
      <c r="F4" s="553"/>
      <c r="G4" s="822"/>
      <c r="H4" s="554"/>
      <c r="I4" s="554"/>
      <c r="J4" s="554"/>
      <c r="K4" s="554"/>
      <c r="L4" s="554"/>
      <c r="M4" s="554"/>
    </row>
    <row r="5" spans="2:38" ht="12.5">
      <c r="B5" s="555"/>
      <c r="G5" s="556"/>
      <c r="H5" s="556"/>
      <c r="I5" s="556"/>
      <c r="J5" s="556"/>
      <c r="K5" s="556"/>
      <c r="L5" s="556"/>
      <c r="M5" s="556"/>
    </row>
    <row r="6" spans="2:38" ht="11.15" customHeight="1">
      <c r="B6" s="551" t="s">
        <v>518</v>
      </c>
      <c r="C6" s="796" t="s">
        <v>519</v>
      </c>
    </row>
    <row r="8" spans="2:38" ht="13">
      <c r="B8" s="554"/>
      <c r="C8" s="569">
        <v>2024</v>
      </c>
      <c r="D8" s="569">
        <f>C8-1</f>
        <v>2023</v>
      </c>
      <c r="E8" s="569">
        <f t="shared" ref="E8:G8" si="0">D8-1</f>
        <v>2022</v>
      </c>
      <c r="F8" s="569">
        <f t="shared" si="0"/>
        <v>2021</v>
      </c>
      <c r="G8" s="569">
        <f t="shared" si="0"/>
        <v>2020</v>
      </c>
      <c r="H8" s="569">
        <f t="shared" ref="H8" si="1">G8-1</f>
        <v>2019</v>
      </c>
      <c r="I8" s="569">
        <f t="shared" ref="I8" si="2">H8-1</f>
        <v>2018</v>
      </c>
      <c r="J8" s="569">
        <f t="shared" ref="J8" si="3">I8-1</f>
        <v>2017</v>
      </c>
      <c r="K8" s="569">
        <f t="shared" ref="K8:M8" si="4">J8-1</f>
        <v>2016</v>
      </c>
      <c r="L8" s="569">
        <f t="shared" si="4"/>
        <v>2015</v>
      </c>
      <c r="M8" s="569">
        <f t="shared" si="4"/>
        <v>2014</v>
      </c>
      <c r="O8" s="569" t="s">
        <v>520</v>
      </c>
      <c r="P8" s="569" t="s">
        <v>521</v>
      </c>
      <c r="Q8" s="569" t="s">
        <v>522</v>
      </c>
      <c r="S8" s="564" t="s">
        <v>523</v>
      </c>
      <c r="T8" s="564" t="s">
        <v>524</v>
      </c>
    </row>
    <row r="9" spans="2:38" ht="13">
      <c r="B9" s="568" t="s">
        <v>525</v>
      </c>
      <c r="C9" s="259">
        <f>(Inputs!C6-Inputs!D6)/Inputs!D6</f>
        <v>7.1638305349915499E-2</v>
      </c>
      <c r="D9" s="259">
        <f>(Inputs!D6-Inputs!E6)/Inputs!E6</f>
        <v>2.3888843747460923E-2</v>
      </c>
      <c r="E9" s="259">
        <f>(Inputs!E6-Inputs!F6)/Inputs!F6</f>
        <v>3.2528315455144681E-2</v>
      </c>
      <c r="F9" s="259">
        <f>(Inputs!F6-Inputs!G6)/Inputs!G6</f>
        <v>2.8031049778215869E-2</v>
      </c>
      <c r="G9" s="259">
        <f>(Inputs!G6-Inputs!H6)/Inputs!H6</f>
        <v>7.0006591957811476E-2</v>
      </c>
      <c r="H9" s="259">
        <f>(Inputs!H6-Inputs!I6)/Inputs!I6</f>
        <v>3.4576826024687993E-2</v>
      </c>
      <c r="I9" s="259">
        <f>(Inputs!I6-Inputs!J6)/Inputs!J6</f>
        <v>0.11958646386903678</v>
      </c>
      <c r="J9" s="259">
        <f>(Inputs!J6-Inputs!K6)/Inputs!K6</f>
        <v>8.6330457863304524E-2</v>
      </c>
      <c r="K9" s="259">
        <f>(Inputs!K6-Inputs!L6)/Inputs!L6</f>
        <v>0.23836719600632747</v>
      </c>
      <c r="L9" s="259">
        <f>(Inputs!L6-Inputs!M6)/Inputs!M6</f>
        <v>0.74088909552591109</v>
      </c>
      <c r="M9" s="259">
        <f>(Inputs!M6-Inputs!N6)/Inputs!N6</f>
        <v>5.342274799382124E-2</v>
      </c>
      <c r="O9" s="556">
        <f>AVERAGE(C9:M9)</f>
        <v>0.13629689941560341</v>
      </c>
      <c r="P9" s="558">
        <f>AVERAGE(C9:G9)</f>
        <v>4.5218621257709687E-2</v>
      </c>
      <c r="Q9" s="558">
        <f>AVERAGE(C9:E9)</f>
        <v>4.2685154850840366E-2</v>
      </c>
      <c r="S9" s="565">
        <v>0.04</v>
      </c>
      <c r="T9" s="565">
        <v>0.03</v>
      </c>
    </row>
    <row r="10" spans="2:38" ht="12.75" customHeight="1">
      <c r="B10" s="568" t="s">
        <v>129</v>
      </c>
      <c r="C10" s="259">
        <f>Inputs!C8/Inputs!C6</f>
        <v>0.30075323191502867</v>
      </c>
      <c r="D10" s="259">
        <f>Inputs!D8/Inputs!D6</f>
        <v>0.26434409967462896</v>
      </c>
      <c r="E10" s="259">
        <f>Inputs!E8/Inputs!E6</f>
        <v>0.32398518845256474</v>
      </c>
      <c r="F10" s="259">
        <f>Inputs!F8/Inputs!F6</f>
        <v>0.25822496554203872</v>
      </c>
      <c r="G10" s="259">
        <f>Inputs!G8/Inputs!G6</f>
        <v>0.29721537703302114</v>
      </c>
      <c r="H10" s="259">
        <f>Inputs!H8/Inputs!H6</f>
        <v>0.30118655240606462</v>
      </c>
      <c r="I10" s="259">
        <f>Inputs!I8/Inputs!I6</f>
        <v>0.32727272727272727</v>
      </c>
      <c r="J10" s="259">
        <f>Inputs!J8/Inputs!J6</f>
        <v>0.26954675951377438</v>
      </c>
      <c r="K10" s="259">
        <f>Inputs!K8/Inputs!K6</f>
        <v>0.24887193098871932</v>
      </c>
      <c r="L10" s="259">
        <f>Inputs!L8/Inputs!L6</f>
        <v>0.16346529161616366</v>
      </c>
      <c r="M10" s="259">
        <f>Inputs!M8/Inputs!M6</f>
        <v>0.18701047888129896</v>
      </c>
      <c r="O10" s="556">
        <f>AVERAGE(C10:M10)</f>
        <v>0.26744332757236644</v>
      </c>
      <c r="P10" s="558">
        <f>AVERAGE(C10:G10)</f>
        <v>0.28890457252345642</v>
      </c>
      <c r="Q10" s="558">
        <f>AVERAGE(C10:E10)</f>
        <v>0.29636084001407415</v>
      </c>
      <c r="S10" s="565">
        <v>0.33</v>
      </c>
      <c r="T10" s="565">
        <v>0.34499999999999997</v>
      </c>
    </row>
    <row r="13" spans="2:38" s="550" customFormat="1" ht="14">
      <c r="B13" s="549" t="s">
        <v>526</v>
      </c>
      <c r="C13" s="549"/>
      <c r="D13" s="547"/>
      <c r="E13" s="547"/>
      <c r="F13" s="547"/>
      <c r="G13" s="547"/>
      <c r="H13" s="547"/>
      <c r="I13" s="547"/>
      <c r="J13" s="547"/>
      <c r="K13" s="547"/>
      <c r="L13" s="547"/>
      <c r="M13" s="547"/>
      <c r="N13" s="547"/>
      <c r="O13" s="547"/>
      <c r="P13" s="547"/>
      <c r="Q13" s="547"/>
      <c r="R13" s="547"/>
      <c r="S13" s="547"/>
      <c r="T13" s="547"/>
      <c r="U13" s="547"/>
      <c r="V13" s="547"/>
    </row>
    <row r="14" spans="2:38" ht="14">
      <c r="B14" s="567"/>
      <c r="C14" s="567"/>
      <c r="D14" s="566"/>
      <c r="E14" s="566"/>
      <c r="F14" s="566"/>
      <c r="G14" s="566"/>
      <c r="H14" s="566"/>
      <c r="I14" s="566"/>
      <c r="J14" s="566"/>
      <c r="K14" s="566"/>
      <c r="L14" s="566"/>
      <c r="M14" s="566"/>
      <c r="N14" s="566"/>
      <c r="O14" s="566"/>
      <c r="P14" s="566"/>
      <c r="Q14" s="566"/>
      <c r="R14" s="566"/>
      <c r="S14" s="566"/>
      <c r="T14" s="566"/>
      <c r="U14" s="566"/>
      <c r="V14" s="566"/>
    </row>
    <row r="15" spans="2:38" ht="14.5">
      <c r="C15" s="1421" t="s">
        <v>527</v>
      </c>
      <c r="D15" s="1421"/>
      <c r="E15" s="1421"/>
      <c r="F15" s="1421"/>
      <c r="G15" s="1421"/>
      <c r="H15" s="1421"/>
      <c r="I15" s="1421"/>
      <c r="J15" s="1421"/>
      <c r="K15" s="1421"/>
      <c r="L15" s="1421"/>
      <c r="M15" s="1421"/>
      <c r="Z15" s="670" t="s">
        <v>528</v>
      </c>
      <c r="AA15" s="671">
        <v>2024</v>
      </c>
      <c r="AB15" s="671">
        <f>AA15-1</f>
        <v>2023</v>
      </c>
      <c r="AC15" s="671">
        <f t="shared" ref="AC15:AI15" si="5">AB15-1</f>
        <v>2022</v>
      </c>
      <c r="AD15" s="671">
        <f t="shared" si="5"/>
        <v>2021</v>
      </c>
      <c r="AE15" s="671">
        <f t="shared" si="5"/>
        <v>2020</v>
      </c>
      <c r="AF15" s="671">
        <f t="shared" si="5"/>
        <v>2019</v>
      </c>
      <c r="AG15" s="671">
        <f t="shared" si="5"/>
        <v>2018</v>
      </c>
      <c r="AH15" s="671">
        <f t="shared" si="5"/>
        <v>2017</v>
      </c>
      <c r="AI15" s="671">
        <f t="shared" si="5"/>
        <v>2016</v>
      </c>
      <c r="AJ15" s="671">
        <f t="shared" ref="AJ15" si="6">AI15-1</f>
        <v>2015</v>
      </c>
      <c r="AK15" s="671">
        <f t="shared" ref="AK15" si="7">AJ15-1</f>
        <v>2014</v>
      </c>
      <c r="AL15" s="826">
        <v>2013</v>
      </c>
    </row>
    <row r="16" spans="2:38" ht="14.5">
      <c r="B16" s="557"/>
      <c r="C16" s="563">
        <f>C8</f>
        <v>2024</v>
      </c>
      <c r="D16" s="563">
        <f>D8</f>
        <v>2023</v>
      </c>
      <c r="E16" s="563">
        <f>E8</f>
        <v>2022</v>
      </c>
      <c r="F16" s="563">
        <f>F8</f>
        <v>2021</v>
      </c>
      <c r="G16" s="563">
        <f>G8</f>
        <v>2020</v>
      </c>
      <c r="H16" s="563">
        <f t="shared" ref="H16:Q16" si="8">H8</f>
        <v>2019</v>
      </c>
      <c r="I16" s="563">
        <f t="shared" si="8"/>
        <v>2018</v>
      </c>
      <c r="J16" s="563">
        <f t="shared" si="8"/>
        <v>2017</v>
      </c>
      <c r="K16" s="563">
        <f t="shared" si="8"/>
        <v>2016</v>
      </c>
      <c r="L16" s="563">
        <f t="shared" si="8"/>
        <v>2015</v>
      </c>
      <c r="M16" s="563">
        <f t="shared" si="8"/>
        <v>2014</v>
      </c>
      <c r="N16" s="563"/>
      <c r="O16" s="563" t="str">
        <f t="shared" si="8"/>
        <v xml:space="preserve">10Y Average </v>
      </c>
      <c r="P16" s="563" t="str">
        <f t="shared" si="8"/>
        <v xml:space="preserve">5Y Average </v>
      </c>
      <c r="Q16" s="563" t="str">
        <f t="shared" si="8"/>
        <v xml:space="preserve">3Y Average </v>
      </c>
      <c r="S16" s="564" t="s">
        <v>523</v>
      </c>
      <c r="T16" s="564" t="s">
        <v>524</v>
      </c>
      <c r="V16" s="593" t="s">
        <v>529</v>
      </c>
      <c r="Z16" s="672" t="s">
        <v>530</v>
      </c>
      <c r="AA16" s="748">
        <v>2733.1</v>
      </c>
      <c r="AB16" s="749">
        <v>2391.9</v>
      </c>
      <c r="AC16" s="749">
        <v>1952.3</v>
      </c>
      <c r="AD16" s="749">
        <v>1734.2</v>
      </c>
      <c r="AE16" s="749">
        <v>1458.2</v>
      </c>
      <c r="AF16" s="749">
        <v>1705.2</v>
      </c>
      <c r="AG16" s="749">
        <v>1484</v>
      </c>
      <c r="AH16" s="749">
        <v>1277</v>
      </c>
      <c r="AI16" s="749">
        <v>1179.3</v>
      </c>
      <c r="AJ16" s="749">
        <v>1050.2</v>
      </c>
      <c r="AK16" s="750">
        <v>924.7</v>
      </c>
    </row>
    <row r="17" spans="1:43" ht="14.5">
      <c r="B17" s="665" t="s">
        <v>490</v>
      </c>
      <c r="C17" s="954">
        <f>AA29/AA24</f>
        <v>3.9663338987606947E-2</v>
      </c>
      <c r="D17" s="954">
        <f t="shared" ref="D17:M17" si="9">AB29/AB24</f>
        <v>4.1460068487971395E-2</v>
      </c>
      <c r="E17" s="954">
        <f t="shared" si="9"/>
        <v>4.2099876433804709E-2</v>
      </c>
      <c r="F17" s="954">
        <f t="shared" si="9"/>
        <v>3.8884036104714262E-2</v>
      </c>
      <c r="G17" s="954">
        <f t="shared" si="9"/>
        <v>4.807692307692308E-2</v>
      </c>
      <c r="H17" s="954">
        <f t="shared" si="9"/>
        <v>4.7773395482251707E-2</v>
      </c>
      <c r="I17" s="954">
        <f t="shared" si="9"/>
        <v>4.683041905095877E-2</v>
      </c>
      <c r="J17" s="954">
        <f t="shared" si="9"/>
        <v>4.5587162654996349E-2</v>
      </c>
      <c r="K17" s="954">
        <f t="shared" si="9"/>
        <v>3.9953907860039446E-2</v>
      </c>
      <c r="L17" s="954">
        <f t="shared" si="9"/>
        <v>4.3410686531968487E-2</v>
      </c>
      <c r="M17" s="954">
        <f t="shared" si="9"/>
        <v>4.7567199727798576E-2</v>
      </c>
      <c r="N17" s="685"/>
      <c r="O17" s="968">
        <f>AVERAGE(C17:M17)</f>
        <v>4.3755183127184877E-2</v>
      </c>
      <c r="P17" s="969">
        <f>AVERAGE(C17:G17)</f>
        <v>4.2036848618204073E-2</v>
      </c>
      <c r="Q17" s="968">
        <f>AVERAGE(C17:E17)</f>
        <v>4.1074427969794346E-2</v>
      </c>
      <c r="S17" s="973">
        <v>4.2000000000000003E-2</v>
      </c>
      <c r="T17" s="973">
        <v>0.04</v>
      </c>
      <c r="V17" s="592" t="s">
        <v>531</v>
      </c>
      <c r="Z17" s="673" t="s">
        <v>532</v>
      </c>
      <c r="AA17" s="677">
        <f>AA18-AA26</f>
        <v>89.599999999999909</v>
      </c>
      <c r="AB17" s="678">
        <f t="shared" ref="AB17:AK17" si="10">AB18-AB26</f>
        <v>88.800000000000182</v>
      </c>
      <c r="AC17" s="678">
        <f t="shared" si="10"/>
        <v>86.300000000000182</v>
      </c>
      <c r="AD17" s="678">
        <f t="shared" si="10"/>
        <v>81.800000000000182</v>
      </c>
      <c r="AE17" s="678">
        <f t="shared" si="10"/>
        <v>75.5</v>
      </c>
      <c r="AF17" s="678">
        <f t="shared" si="10"/>
        <v>70.400000000000091</v>
      </c>
      <c r="AG17" s="678">
        <f t="shared" si="10"/>
        <v>64.499999999999545</v>
      </c>
      <c r="AH17" s="678">
        <f t="shared" si="10"/>
        <v>58.700000000000273</v>
      </c>
      <c r="AI17" s="678">
        <f t="shared" si="10"/>
        <v>127.19999999999982</v>
      </c>
      <c r="AJ17" s="678">
        <f t="shared" si="10"/>
        <v>87.5</v>
      </c>
      <c r="AK17" s="680">
        <f t="shared" si="10"/>
        <v>186.59999999999991</v>
      </c>
    </row>
    <row r="18" spans="1:43" ht="14.5">
      <c r="B18" s="666" t="s">
        <v>491</v>
      </c>
      <c r="C18" s="955">
        <f t="shared" ref="C18:M18" si="11">AA30/AA18</f>
        <v>4.6078049126289304E-4</v>
      </c>
      <c r="D18" s="955">
        <f t="shared" si="11"/>
        <v>1.136000568000284E-3</v>
      </c>
      <c r="E18" s="955">
        <f t="shared" si="11"/>
        <v>1.7948266760513811E-3</v>
      </c>
      <c r="F18" s="955">
        <f t="shared" si="11"/>
        <v>1.8835068765769927E-3</v>
      </c>
      <c r="G18" s="955">
        <f t="shared" si="11"/>
        <v>2.0397938734612081E-3</v>
      </c>
      <c r="H18" s="955">
        <f t="shared" si="11"/>
        <v>1.8357044515832951E-3</v>
      </c>
      <c r="I18" s="955">
        <f t="shared" si="11"/>
        <v>1.7511055708900958E-3</v>
      </c>
      <c r="J18" s="955">
        <f t="shared" si="11"/>
        <v>3.0264230008148064E-3</v>
      </c>
      <c r="K18" s="955">
        <f t="shared" si="11"/>
        <v>1.1526479750778815E-2</v>
      </c>
      <c r="L18" s="955">
        <f t="shared" si="11"/>
        <v>1.2238029677221967E-2</v>
      </c>
      <c r="M18" s="955">
        <f t="shared" si="11"/>
        <v>4.5352137402346606E-3</v>
      </c>
      <c r="N18" s="685"/>
      <c r="O18" s="967">
        <f>AVERAGE(C18:M18)</f>
        <v>3.838896788806946E-3</v>
      </c>
      <c r="P18" s="970">
        <f t="shared" ref="P18:P31" si="12">AVERAGE(C18:G18)</f>
        <v>1.4629816970705516E-3</v>
      </c>
      <c r="Q18" s="967">
        <f t="shared" ref="Q18:Q31" si="13">AVERAGE(C18:E18)</f>
        <v>1.1305359117715194E-3</v>
      </c>
      <c r="S18" s="973">
        <v>5.0000000000000001E-4</v>
      </c>
      <c r="T18" s="973">
        <v>8.0000000000000004E-4</v>
      </c>
      <c r="V18" s="592" t="s">
        <v>533</v>
      </c>
      <c r="Z18" s="674" t="s">
        <v>534</v>
      </c>
      <c r="AA18" s="764">
        <f>2715.2+106.1</f>
        <v>2821.2999999999997</v>
      </c>
      <c r="AB18" s="679">
        <f>2710.4+106.5</f>
        <v>2816.9</v>
      </c>
      <c r="AC18" s="679">
        <f>108+2733.5</f>
        <v>2841.5</v>
      </c>
      <c r="AD18" s="679">
        <f>108.3+2705.6</f>
        <v>2813.9</v>
      </c>
      <c r="AE18" s="679">
        <f>107.6+2686.8</f>
        <v>2794.4</v>
      </c>
      <c r="AF18" s="679">
        <f>110.4+3158.1</f>
        <v>3268.5</v>
      </c>
      <c r="AG18" s="679">
        <f>110.1+3259.2</f>
        <v>3369.2999999999997</v>
      </c>
      <c r="AH18" s="679">
        <f>109+3327.4</f>
        <v>3436.4</v>
      </c>
      <c r="AI18" s="679">
        <f>193.1+3337.9</f>
        <v>3531</v>
      </c>
      <c r="AJ18" s="679">
        <f>190.2+3078.3</f>
        <v>3268.5</v>
      </c>
      <c r="AK18" s="763">
        <f>186.6+3231.1</f>
        <v>3417.7</v>
      </c>
    </row>
    <row r="19" spans="1:43" ht="14.5">
      <c r="B19" s="665" t="s">
        <v>492</v>
      </c>
      <c r="C19" s="954">
        <f>AA20/Inputs!B6</f>
        <v>6.3843883635487566E-3</v>
      </c>
      <c r="D19" s="954">
        <f>AB20/Inputs!C6</f>
        <v>7.2466834521718888E-3</v>
      </c>
      <c r="E19" s="954">
        <f>AC20/Inputs!D6</f>
        <v>5.0902989558651805E-3</v>
      </c>
      <c r="F19" s="954">
        <f>AD20/Inputs!E6</f>
        <v>7.3129113512635088E-3</v>
      </c>
      <c r="G19" s="954">
        <f>AE20/Inputs!F6</f>
        <v>7.2391682147779704E-3</v>
      </c>
      <c r="H19" s="954">
        <f>AF20/Inputs!G6</f>
        <v>7.8979793001478556E-3</v>
      </c>
      <c r="I19" s="954">
        <f>AG20/Inputs!H6</f>
        <v>8.029004614370467E-3</v>
      </c>
      <c r="J19" s="954">
        <f>AH20/Inputs!I6</f>
        <v>7.6519129782445612E-3</v>
      </c>
      <c r="K19" s="954">
        <f>AI20/Inputs!J6</f>
        <v>8.2462891698735566E-3</v>
      </c>
      <c r="L19" s="954">
        <f>AJ20/Inputs!K6</f>
        <v>9.1240875912408752E-3</v>
      </c>
      <c r="M19" s="954">
        <f>AK20/Inputs!L6</f>
        <v>1.0251248022680116E-2</v>
      </c>
      <c r="N19" s="685"/>
      <c r="O19" s="968">
        <f t="shared" ref="O19:O31" si="14">AVERAGE(C19:M19)</f>
        <v>7.6794520012895212E-3</v>
      </c>
      <c r="P19" s="969">
        <f t="shared" si="12"/>
        <v>6.6546900675254605E-3</v>
      </c>
      <c r="Q19" s="968">
        <f t="shared" si="13"/>
        <v>6.2404569238619411E-3</v>
      </c>
      <c r="S19" s="973">
        <v>8.0000000000000002E-3</v>
      </c>
      <c r="T19" s="973">
        <v>0.01</v>
      </c>
      <c r="V19" s="592" t="s">
        <v>535</v>
      </c>
      <c r="Z19" s="675" t="s">
        <v>496</v>
      </c>
      <c r="AA19" s="677">
        <f t="shared" ref="AA19:AK19" si="15">AA24+AA25</f>
        <v>11421.8</v>
      </c>
      <c r="AB19" s="679">
        <f t="shared" si="15"/>
        <v>9726.5</v>
      </c>
      <c r="AC19" s="679">
        <f t="shared" si="15"/>
        <v>8512.6</v>
      </c>
      <c r="AD19" s="679">
        <f t="shared" si="15"/>
        <v>8050.7</v>
      </c>
      <c r="AE19" s="679">
        <f t="shared" si="15"/>
        <v>7299.2</v>
      </c>
      <c r="AF19" s="679">
        <f t="shared" si="15"/>
        <v>6972.5</v>
      </c>
      <c r="AG19" s="679">
        <f t="shared" si="15"/>
        <v>6273.7</v>
      </c>
      <c r="AH19" s="679">
        <f t="shared" si="15"/>
        <v>5209.8</v>
      </c>
      <c r="AI19" s="679">
        <f t="shared" si="15"/>
        <v>4512.7</v>
      </c>
      <c r="AJ19" s="679">
        <f t="shared" si="15"/>
        <v>3731.8</v>
      </c>
      <c r="AK19" s="763">
        <f t="shared" si="15"/>
        <v>2939</v>
      </c>
    </row>
    <row r="20" spans="1:43" ht="12.65" customHeight="1">
      <c r="B20" s="666" t="s">
        <v>493</v>
      </c>
      <c r="C20" s="955">
        <f>'Fin. Data'!B21/('Fin. Data'!B21-'Fin. Data'!B23)</f>
        <v>0.20550904671887657</v>
      </c>
      <c r="D20" s="955">
        <f>'Fin. Data'!C21/('Fin. Data'!C21-'Fin. Data'!C23)</f>
        <v>1.1003649635036497</v>
      </c>
      <c r="E20" s="955">
        <f>'Fin. Data'!D21/('Fin. Data'!D21-'Fin. Data'!D23)</f>
        <v>0.99677835051546393</v>
      </c>
      <c r="F20" s="955">
        <f>'Fin. Data'!E21/('Fin. Data'!E21-'Fin. Data'!E23)</f>
        <v>0.20099099453379998</v>
      </c>
      <c r="G20" s="955">
        <f>'Fin. Data'!F21/('Fin. Data'!F21-'Fin. Data'!F23)</f>
        <v>1.0226407109606432</v>
      </c>
      <c r="H20" s="955">
        <f>'Fin. Data'!G21/('Fin. Data'!G21-'Fin. Data'!G23)</f>
        <v>0.16547647768395657</v>
      </c>
      <c r="I20" s="955">
        <f>'Fin. Data'!H21/('Fin. Data'!H21-'Fin. Data'!H23)</f>
        <v>5.0796089981645105E-3</v>
      </c>
      <c r="J20" s="955">
        <f>'Fin. Data'!I21/('Fin. Data'!I21-'Fin. Data'!I23)</f>
        <v>0.26473679182191651</v>
      </c>
      <c r="K20" s="955">
        <f>'Fin. Data'!J21/('Fin. Data'!J21-'Fin. Data'!J23)</f>
        <v>0.29349853450572883</v>
      </c>
      <c r="L20" s="955">
        <f>'Fin. Data'!K21/('Fin. Data'!K21-'Fin. Data'!K23)</f>
        <v>0.29111563241776872</v>
      </c>
      <c r="M20" s="955">
        <f>'Fin. Data'!L21/('Fin. Data'!L21-'Fin. Data'!L23)</f>
        <v>0.1176951369023294</v>
      </c>
      <c r="N20" s="685"/>
      <c r="O20" s="967">
        <f>AVERAGE(C20:M20)</f>
        <v>0.42398965896020885</v>
      </c>
      <c r="P20" s="970">
        <f t="shared" si="12"/>
        <v>0.7052568132464867</v>
      </c>
      <c r="Q20" s="967">
        <f t="shared" si="13"/>
        <v>0.76755078691266332</v>
      </c>
      <c r="S20" s="973">
        <v>0.2</v>
      </c>
      <c r="T20" s="973">
        <v>0.2</v>
      </c>
      <c r="V20" s="592" t="s">
        <v>536</v>
      </c>
      <c r="Z20" s="672" t="s">
        <v>537</v>
      </c>
      <c r="AA20" s="677">
        <v>63.6</v>
      </c>
      <c r="AB20" s="678">
        <v>68.5</v>
      </c>
      <c r="AC20" s="678">
        <v>44.9</v>
      </c>
      <c r="AD20" s="678">
        <v>63</v>
      </c>
      <c r="AE20" s="678">
        <v>60.4</v>
      </c>
      <c r="AF20" s="678">
        <v>64.099999999999994</v>
      </c>
      <c r="AG20" s="678">
        <v>60.9</v>
      </c>
      <c r="AH20" s="678">
        <v>56.1</v>
      </c>
      <c r="AI20" s="678">
        <v>54</v>
      </c>
      <c r="AJ20" s="678">
        <v>55</v>
      </c>
      <c r="AK20" s="680">
        <v>49.9</v>
      </c>
    </row>
    <row r="21" spans="1:43" ht="14.5">
      <c r="B21" s="665" t="s">
        <v>494</v>
      </c>
      <c r="C21" s="667">
        <f>AA21/AA23</f>
        <v>3.4623153140257955E-2</v>
      </c>
      <c r="D21" s="667">
        <f t="shared" ref="D21:M21" si="16">AB21/AB23</f>
        <v>3.0677018012264648E-2</v>
      </c>
      <c r="E21" s="667">
        <f t="shared" si="16"/>
        <v>3.2476467318504475E-2</v>
      </c>
      <c r="F21" s="667">
        <f t="shared" si="16"/>
        <v>3.5070969384507669E-2</v>
      </c>
      <c r="G21" s="667">
        <f t="shared" si="16"/>
        <v>3.3572183719017976E-2</v>
      </c>
      <c r="H21" s="667">
        <f t="shared" si="16"/>
        <v>2.784122204678148E-2</v>
      </c>
      <c r="I21" s="667">
        <f t="shared" si="16"/>
        <v>3.2817300990507225E-2</v>
      </c>
      <c r="J21" s="667">
        <f t="shared" si="16"/>
        <v>3.6273692642426476E-2</v>
      </c>
      <c r="K21" s="667">
        <f t="shared" si="16"/>
        <v>3.8942236301539375E-2</v>
      </c>
      <c r="L21" s="667">
        <f t="shared" si="16"/>
        <v>4.6474337010895636E-2</v>
      </c>
      <c r="M21" s="667">
        <f t="shared" si="16"/>
        <v>4.7520572142518626E-2</v>
      </c>
      <c r="N21" s="685"/>
      <c r="O21" s="968">
        <f t="shared" si="14"/>
        <v>3.602628660992923E-2</v>
      </c>
      <c r="P21" s="969">
        <f t="shared" si="12"/>
        <v>3.3283958314910544E-2</v>
      </c>
      <c r="Q21" s="968">
        <f t="shared" si="13"/>
        <v>3.2592212823675693E-2</v>
      </c>
      <c r="S21" s="973">
        <v>0.03</v>
      </c>
      <c r="T21" s="973">
        <v>3.5000000000000003E-2</v>
      </c>
      <c r="V21" s="592" t="s">
        <v>538</v>
      </c>
      <c r="Z21" s="672" t="s">
        <v>539</v>
      </c>
      <c r="AA21" s="677">
        <v>435.4</v>
      </c>
      <c r="AB21" s="678">
        <v>398.7</v>
      </c>
      <c r="AC21" s="678">
        <v>356.4</v>
      </c>
      <c r="AD21" s="678">
        <v>385.7</v>
      </c>
      <c r="AE21" s="678">
        <v>428.7</v>
      </c>
      <c r="AF21" s="678">
        <v>379.1</v>
      </c>
      <c r="AG21" s="678">
        <v>334.3</v>
      </c>
      <c r="AH21" s="678">
        <v>335.1</v>
      </c>
      <c r="AI21" s="678">
        <v>314.7</v>
      </c>
      <c r="AJ21" s="678">
        <v>339.1</v>
      </c>
      <c r="AK21" s="680">
        <v>330.9</v>
      </c>
    </row>
    <row r="22" spans="1:43" ht="14.5">
      <c r="B22" s="666" t="s">
        <v>495</v>
      </c>
      <c r="C22" s="956">
        <f>AA22/Inputs!B28</f>
        <v>0</v>
      </c>
      <c r="D22" s="956">
        <f>AB22/Inputs!C28</f>
        <v>0</v>
      </c>
      <c r="E22" s="956">
        <f>AC22/Inputs!D28</f>
        <v>0</v>
      </c>
      <c r="F22" s="956">
        <f>AD22/Inputs!E28</f>
        <v>0</v>
      </c>
      <c r="G22" s="956">
        <f>AE22/Inputs!F28</f>
        <v>0</v>
      </c>
      <c r="H22" s="956">
        <f>AF22/Inputs!G28</f>
        <v>0.12820512820512822</v>
      </c>
      <c r="I22" s="956">
        <f>AG22/Inputs!H28</f>
        <v>2.5470653377630121E-2</v>
      </c>
      <c r="J22" s="956">
        <f>AH22/Inputs!I28</f>
        <v>1.0146561443066516E-2</v>
      </c>
      <c r="K22" s="956">
        <f>AI22/Inputs!J28</f>
        <v>9.6269554753309269E-3</v>
      </c>
      <c r="L22" s="956">
        <f>AJ22/Inputs!K28</f>
        <v>1.2715712988192553E-2</v>
      </c>
      <c r="M22" s="956">
        <f>AK22/Inputs!L28</f>
        <v>0.12050078247261346</v>
      </c>
      <c r="N22" s="685"/>
      <c r="O22" s="967">
        <f t="shared" si="14"/>
        <v>2.787870854199653E-2</v>
      </c>
      <c r="P22" s="970">
        <f t="shared" si="12"/>
        <v>0</v>
      </c>
      <c r="Q22" s="967">
        <f t="shared" si="13"/>
        <v>0</v>
      </c>
      <c r="S22" s="973">
        <v>0</v>
      </c>
      <c r="T22" s="973">
        <v>0</v>
      </c>
      <c r="V22" s="592" t="s">
        <v>540</v>
      </c>
      <c r="Z22" s="672" t="s">
        <v>541</v>
      </c>
      <c r="AA22" s="676">
        <v>0</v>
      </c>
      <c r="AB22" s="751">
        <v>0</v>
      </c>
      <c r="AC22" s="751">
        <v>0</v>
      </c>
      <c r="AD22" s="751">
        <v>0</v>
      </c>
      <c r="AE22" s="751">
        <v>0</v>
      </c>
      <c r="AF22" s="751">
        <v>12</v>
      </c>
      <c r="AG22" s="751">
        <v>2.2999999999999998</v>
      </c>
      <c r="AH22" s="751">
        <v>1.8</v>
      </c>
      <c r="AI22" s="751">
        <v>0.8</v>
      </c>
      <c r="AJ22" s="751">
        <v>1.4</v>
      </c>
      <c r="AK22" s="752">
        <v>7.7</v>
      </c>
    </row>
    <row r="23" spans="1:43" ht="14.5">
      <c r="B23" s="665" t="s">
        <v>496</v>
      </c>
      <c r="C23" s="667">
        <f>Inputs!B33/Inputs!C33-1</f>
        <v>0.17333799452310195</v>
      </c>
      <c r="D23" s="667">
        <f>Inputs!C33/Inputs!D33-1</f>
        <v>0.13294606904746176</v>
      </c>
      <c r="E23" s="667">
        <f>Inputs!D33/Inputs!E33-1</f>
        <v>4.0882231688882831E-2</v>
      </c>
      <c r="F23" s="667">
        <f>Inputs!E33/Inputs!F33-1</f>
        <v>9.161822613913384E-2</v>
      </c>
      <c r="G23" s="667">
        <f>Inputs!F33/Inputs!G33-1</f>
        <v>1.2473183604503113E-2</v>
      </c>
      <c r="H23" s="667">
        <f>Inputs!G33/Inputs!H33-1</f>
        <v>9.971396955968026E-2</v>
      </c>
      <c r="I23" s="667">
        <f>Inputs!H33/Inputs!I33-1</f>
        <v>0.21788547599674524</v>
      </c>
      <c r="J23" s="667">
        <f>Inputs!I33/Inputs!J33-1</f>
        <v>0.17981640367192653</v>
      </c>
      <c r="K23" s="667">
        <f>Inputs!J33/Inputs!K33-1</f>
        <v>0.24306384248210033</v>
      </c>
      <c r="L23" s="667">
        <f>Inputs!K33/Inputs!L33-1</f>
        <v>0.33128133843022378</v>
      </c>
      <c r="M23" s="667">
        <f>Inputs!L33/Inputs!M33-1</f>
        <v>0.6389747762408462</v>
      </c>
      <c r="N23" s="685"/>
      <c r="O23" s="968">
        <f t="shared" si="14"/>
        <v>0.19654486467132778</v>
      </c>
      <c r="P23" s="969">
        <f t="shared" si="12"/>
        <v>9.0251541000616692E-2</v>
      </c>
      <c r="Q23" s="968">
        <f t="shared" si="13"/>
        <v>0.11572209841981551</v>
      </c>
      <c r="S23" s="973" t="s">
        <v>542</v>
      </c>
      <c r="T23" s="973" t="s">
        <v>542</v>
      </c>
      <c r="V23" s="592" t="s">
        <v>543</v>
      </c>
      <c r="Z23" s="672" t="s">
        <v>324</v>
      </c>
      <c r="AA23" s="677">
        <f>'Fin. Data'!B58</f>
        <v>12575.400000000001</v>
      </c>
      <c r="AB23" s="678">
        <f>'Fin. Data'!C58</f>
        <v>12996.7</v>
      </c>
      <c r="AC23" s="678">
        <f>'Fin. Data'!D58</f>
        <v>10974.1</v>
      </c>
      <c r="AD23" s="678">
        <f>'Fin. Data'!E58</f>
        <v>10997.7</v>
      </c>
      <c r="AE23" s="678">
        <f>'Fin. Data'!F58</f>
        <v>12769.499999999998</v>
      </c>
      <c r="AF23" s="678">
        <f>'Fin. Data'!G58</f>
        <v>13616.5</v>
      </c>
      <c r="AG23" s="678">
        <f>'Fin. Data'!H58</f>
        <v>10186.700000000001</v>
      </c>
      <c r="AH23" s="678">
        <f>'Fin. Data'!I58</f>
        <v>9238.1</v>
      </c>
      <c r="AI23" s="678">
        <f>'Fin. Data'!J58</f>
        <v>8081.2</v>
      </c>
      <c r="AJ23" s="678">
        <f>'Fin. Data'!K58</f>
        <v>7296.5</v>
      </c>
      <c r="AK23" s="680">
        <f>'Fin. Data'!L58</f>
        <v>6963.3</v>
      </c>
    </row>
    <row r="24" spans="1:43" ht="14.5">
      <c r="B24" s="666" t="s">
        <v>497</v>
      </c>
      <c r="C24" s="955">
        <f>Inputs!B62/(Inputs!B6-Inputs!C6)</f>
        <v>0.94972505891594872</v>
      </c>
      <c r="D24" s="955">
        <f>Inputs!C62/(Inputs!C6-Inputs!D6)</f>
        <v>1.4649469852824824</v>
      </c>
      <c r="E24" s="955">
        <f>Inputs!D62/(Inputs!D6-Inputs!E6)</f>
        <v>4.1253644314868589</v>
      </c>
      <c r="F24" s="955">
        <f>Inputs!E62/(Inputs!E6-Inputs!F6)</f>
        <v>1.804347826086959</v>
      </c>
      <c r="G24" s="955">
        <f>Inputs!F62/(Inputs!F6-Inputs!G6)</f>
        <v>0.59296703296703301</v>
      </c>
      <c r="H24" s="955">
        <f>Inputs!G62/(Inputs!G6-Inputs!H6)</f>
        <v>0.5278719397363465</v>
      </c>
      <c r="I24" s="955">
        <f>Inputs!H62/(Inputs!H6-Inputs!I6)</f>
        <v>1.3956607495069033</v>
      </c>
      <c r="J24" s="955">
        <f>Inputs!I62/(Inputs!I6-Inputs!J6)</f>
        <v>0.65138551909079268</v>
      </c>
      <c r="K24" s="955">
        <f>Inputs!J62/(Inputs!J6-Inputs!K6)</f>
        <v>0.61913912375096125</v>
      </c>
      <c r="L24" s="955">
        <f>Inputs!K62/(Inputs!K6-Inputs!L6)</f>
        <v>0.23002671722830298</v>
      </c>
      <c r="M24" s="955">
        <f>Inputs!L62/(Inputs!L6-Inputs!M6)</f>
        <v>-8.6889360880478721E-4</v>
      </c>
      <c r="N24" s="685"/>
      <c r="O24" s="967">
        <f t="shared" si="14"/>
        <v>1.1236878627676168</v>
      </c>
      <c r="P24" s="970">
        <f t="shared" si="12"/>
        <v>1.7874702669478566</v>
      </c>
      <c r="Q24" s="967">
        <f t="shared" si="13"/>
        <v>2.1800121585617633</v>
      </c>
      <c r="S24" s="973">
        <v>1.2</v>
      </c>
      <c r="T24" s="973">
        <v>1.8</v>
      </c>
      <c r="V24" s="592" t="s">
        <v>544</v>
      </c>
      <c r="Z24" s="672" t="s">
        <v>545</v>
      </c>
      <c r="AA24" s="677">
        <v>10788.3</v>
      </c>
      <c r="AB24" s="678">
        <v>9257.1</v>
      </c>
      <c r="AC24" s="678">
        <v>8011.9</v>
      </c>
      <c r="AD24" s="678">
        <v>7555.8</v>
      </c>
      <c r="AE24" s="678">
        <v>6791.2</v>
      </c>
      <c r="AF24" s="678">
        <v>6972.5</v>
      </c>
      <c r="AG24" s="678">
        <v>6273.7</v>
      </c>
      <c r="AH24" s="678">
        <v>5209.8</v>
      </c>
      <c r="AI24" s="678">
        <v>4512.7</v>
      </c>
      <c r="AJ24" s="678">
        <v>3731.8</v>
      </c>
      <c r="AK24" s="680">
        <v>2939</v>
      </c>
    </row>
    <row r="25" spans="1:43" ht="14.5">
      <c r="B25" s="665" t="s">
        <v>498</v>
      </c>
      <c r="C25" s="954">
        <f>AA26/AB26-1</f>
        <v>1.319599721417708E-3</v>
      </c>
      <c r="D25" s="954">
        <f t="shared" ref="D25:M25" si="17">AB26/AC26-1</f>
        <v>-9.8359465737514196E-3</v>
      </c>
      <c r="E25" s="954">
        <f t="shared" si="17"/>
        <v>8.4550345887777212E-3</v>
      </c>
      <c r="F25" s="954">
        <f t="shared" si="17"/>
        <v>4.8549045569898919E-3</v>
      </c>
      <c r="G25" s="954">
        <f t="shared" si="17"/>
        <v>-0.14983896688658882</v>
      </c>
      <c r="H25" s="954">
        <f t="shared" si="17"/>
        <v>-3.228637133865897E-2</v>
      </c>
      <c r="I25" s="954">
        <f t="shared" si="17"/>
        <v>-2.1582733812949506E-2</v>
      </c>
      <c r="J25" s="954">
        <f t="shared" si="17"/>
        <v>-7.6679005817028578E-3</v>
      </c>
      <c r="K25" s="954">
        <f t="shared" si="17"/>
        <v>7.0040867651681937E-2</v>
      </c>
      <c r="L25" s="954">
        <f t="shared" si="17"/>
        <v>-1.5505555383615421E-2</v>
      </c>
      <c r="M25" s="954">
        <f t="shared" si="17"/>
        <v>2.7079412439752124</v>
      </c>
      <c r="N25" s="685"/>
      <c r="O25" s="967">
        <f t="shared" si="14"/>
        <v>0.23235401599243752</v>
      </c>
      <c r="P25" s="970">
        <f t="shared" si="12"/>
        <v>-2.9009074918630983E-2</v>
      </c>
      <c r="Q25" s="967">
        <f t="shared" si="13"/>
        <v>-2.0437421185330134E-5</v>
      </c>
      <c r="S25" s="974" t="s">
        <v>542</v>
      </c>
      <c r="T25" s="974" t="s">
        <v>542</v>
      </c>
      <c r="V25" s="592" t="s">
        <v>546</v>
      </c>
      <c r="Z25" s="672" t="s">
        <v>547</v>
      </c>
      <c r="AA25" s="677">
        <v>633.5</v>
      </c>
      <c r="AB25" s="678">
        <v>469.4</v>
      </c>
      <c r="AC25" s="678">
        <v>500.7</v>
      </c>
      <c r="AD25" s="678">
        <v>494.9</v>
      </c>
      <c r="AE25" s="678">
        <v>508</v>
      </c>
      <c r="AF25" s="678">
        <v>0</v>
      </c>
      <c r="AG25" s="678">
        <v>0</v>
      </c>
      <c r="AH25" s="678">
        <v>0</v>
      </c>
      <c r="AI25" s="678">
        <v>0</v>
      </c>
      <c r="AJ25" s="678">
        <v>0</v>
      </c>
      <c r="AK25" s="680">
        <v>0</v>
      </c>
    </row>
    <row r="26" spans="1:43" ht="12.65" customHeight="1">
      <c r="B26" s="666" t="s">
        <v>548</v>
      </c>
      <c r="C26" s="955">
        <f>Inputs!C65/Inputs!C6</f>
        <v>-0.10882720098174048</v>
      </c>
      <c r="D26" s="955">
        <f>Inputs!D65/Inputs!D6</f>
        <v>-0.11594317911276882</v>
      </c>
      <c r="E26" s="955">
        <f>Inputs!E65/Inputs!E6</f>
        <v>-9.8167129043865875E-2</v>
      </c>
      <c r="F26" s="955">
        <f>Inputs!F65/Inputs!F6</f>
        <v>-8.607898363995925E-2</v>
      </c>
      <c r="G26" s="955">
        <f>Inputs!G65/Inputs!G6</f>
        <v>-0.10029571217348447</v>
      </c>
      <c r="H26" s="955">
        <f>Inputs!H65/Inputs!H6</f>
        <v>-0.13870797626895187</v>
      </c>
      <c r="I26" s="955">
        <f>Inputs!I65/Inputs!I6</f>
        <v>-0.12376730546272932</v>
      </c>
      <c r="J26" s="955">
        <f>Inputs!J65/Inputs!J6</f>
        <v>-0.13610958402052409</v>
      </c>
      <c r="K26" s="955">
        <f>Inputs!K65/Inputs!K6</f>
        <v>-0.11934306569343066</v>
      </c>
      <c r="L26" s="955">
        <f>Inputs!L65/Inputs!L6</f>
        <v>-4.5914908478336791E-2</v>
      </c>
      <c r="M26" s="955">
        <f>Inputs!M65/Inputs!M6</f>
        <v>-2.2209506097779049E-2</v>
      </c>
      <c r="N26" s="685"/>
      <c r="O26" s="967">
        <f t="shared" si="14"/>
        <v>-9.9578595543051845E-2</v>
      </c>
      <c r="P26" s="970">
        <f t="shared" si="12"/>
        <v>-0.10186244099036376</v>
      </c>
      <c r="Q26" s="967">
        <f t="shared" si="13"/>
        <v>-0.10764583637945839</v>
      </c>
      <c r="S26" s="973">
        <v>0.14000000000000001</v>
      </c>
      <c r="T26" s="973">
        <v>0.13</v>
      </c>
      <c r="V26" s="592" t="s">
        <v>535</v>
      </c>
      <c r="Z26" s="672" t="s">
        <v>549</v>
      </c>
      <c r="AA26" s="827">
        <v>2731.7</v>
      </c>
      <c r="AB26" s="823">
        <v>2728.1</v>
      </c>
      <c r="AC26" s="823">
        <v>2755.2</v>
      </c>
      <c r="AD26" s="823">
        <v>2732.1</v>
      </c>
      <c r="AE26" s="823">
        <v>2718.9</v>
      </c>
      <c r="AF26" s="823">
        <v>3198.1</v>
      </c>
      <c r="AG26" s="823">
        <v>3304.8</v>
      </c>
      <c r="AH26" s="823">
        <v>3377.7</v>
      </c>
      <c r="AI26" s="823">
        <v>3403.8</v>
      </c>
      <c r="AJ26" s="823">
        <v>3181</v>
      </c>
      <c r="AK26" s="823">
        <v>3231.1</v>
      </c>
      <c r="AL26" s="798">
        <v>871.4</v>
      </c>
    </row>
    <row r="27" spans="1:43" ht="14.5">
      <c r="B27" s="665" t="s">
        <v>500</v>
      </c>
      <c r="C27" s="954">
        <f>Inputs!B66/Inputs!B6</f>
        <v>4.7983296191451341E-3</v>
      </c>
      <c r="D27" s="954">
        <f>Inputs!C66/Inputs!C6</f>
        <v>3.0467807798912464E-3</v>
      </c>
      <c r="E27" s="954">
        <f>Inputs!D66/Inputs!D6</f>
        <v>-1.2584035280646646E-3</v>
      </c>
      <c r="F27" s="954">
        <f>Inputs!E66/Inputs!E6</f>
        <v>8.7894229764709994E-2</v>
      </c>
      <c r="G27" s="954">
        <f>Inputs!F66/Inputs!F6</f>
        <v>2.2388685803319951E-2</v>
      </c>
      <c r="H27" s="954">
        <f>Inputs!G66/Inputs!G6</f>
        <v>-0.49493592902907846</v>
      </c>
      <c r="I27" s="954">
        <f>Inputs!H66/Inputs!H6</f>
        <v>-4.7593935398813444E-2</v>
      </c>
      <c r="J27" s="954">
        <f>Inputs!I66/Inputs!I6</f>
        <v>-7.3068267066766696E-2</v>
      </c>
      <c r="K27" s="954">
        <f>Inputs!J66/Inputs!J6</f>
        <v>-0.20102620487447317</v>
      </c>
      <c r="L27" s="954">
        <f>Inputs!K66/Inputs!K6</f>
        <v>-5.1476443264764436E-2</v>
      </c>
      <c r="M27" s="954">
        <f>Inputs!L66/Inputs!L6</f>
        <v>-0.96170676089323504</v>
      </c>
      <c r="N27" s="685"/>
      <c r="O27" s="968">
        <f t="shared" si="14"/>
        <v>-0.1557216289171027</v>
      </c>
      <c r="P27" s="969">
        <f t="shared" si="12"/>
        <v>2.3373924487800336E-2</v>
      </c>
      <c r="Q27" s="968">
        <f t="shared" si="13"/>
        <v>2.195568956990572E-3</v>
      </c>
      <c r="S27" s="973">
        <v>5.0000000000000001E-3</v>
      </c>
      <c r="T27" s="973">
        <v>-0.03</v>
      </c>
      <c r="V27" s="592" t="s">
        <v>535</v>
      </c>
      <c r="Z27" s="1424" t="s">
        <v>550</v>
      </c>
      <c r="AA27" s="1426">
        <v>429.2</v>
      </c>
      <c r="AB27" s="1385">
        <v>387</v>
      </c>
      <c r="AC27" s="1385">
        <v>342.4</v>
      </c>
      <c r="AD27" s="1385">
        <v>299.10000000000002</v>
      </c>
      <c r="AE27" s="1385">
        <v>332.2</v>
      </c>
      <c r="AF27" s="1385">
        <v>339.1</v>
      </c>
      <c r="AG27" s="1385">
        <v>299.7</v>
      </c>
      <c r="AH27" s="1385">
        <v>247.9</v>
      </c>
      <c r="AI27" s="1385">
        <v>221</v>
      </c>
      <c r="AJ27" s="1385">
        <v>202</v>
      </c>
      <c r="AK27" s="1387">
        <v>155.30000000000001</v>
      </c>
    </row>
    <row r="28" spans="1:43" s="762" customFormat="1" ht="14.5">
      <c r="A28" s="551"/>
      <c r="B28" s="666" t="s">
        <v>139</v>
      </c>
      <c r="C28" s="955">
        <f>Inputs!B73/Inputs!B12</f>
        <v>-0.37038295943802396</v>
      </c>
      <c r="D28" s="957">
        <f>Inputs!C73/Inputs!C12</f>
        <v>15.264935064935067</v>
      </c>
      <c r="E28" s="957">
        <f>Inputs!D73/Inputs!D12</f>
        <v>-573</v>
      </c>
      <c r="F28" s="955">
        <f>Inputs!E73/Inputs!E12</f>
        <v>-0.28300029530465598</v>
      </c>
      <c r="G28" s="957">
        <f>Inputs!F73/Inputs!F12</f>
        <v>-26.598130841121499</v>
      </c>
      <c r="H28" s="955">
        <f>Inputs!G73/Inputs!G12</f>
        <v>-0.16122690873348561</v>
      </c>
      <c r="I28" s="955">
        <f>Inputs!H73/Inputs!H12</f>
        <v>-0.17165779989703106</v>
      </c>
      <c r="J28" s="955">
        <f>Inputs!I73/Inputs!I12</f>
        <v>-0.20471673596673598</v>
      </c>
      <c r="K28" s="955">
        <f>Inputs!J73/Inputs!J12</f>
        <v>-0.22779558740335659</v>
      </c>
      <c r="L28" s="955">
        <f>Inputs!K73/Inputs!K12</f>
        <v>0</v>
      </c>
      <c r="M28" s="955">
        <f>Inputs!L73/Inputs!L12</f>
        <v>0</v>
      </c>
      <c r="N28" s="685"/>
      <c r="O28" s="967">
        <f>AVERAGE(C28,F28,H28:K28)</f>
        <v>-0.23646338112388152</v>
      </c>
      <c r="P28" s="970">
        <f>AVERAGE(C28,F28)</f>
        <v>-0.32669162737133994</v>
      </c>
      <c r="Q28" s="967" t="s">
        <v>70</v>
      </c>
      <c r="R28" s="551"/>
      <c r="S28" s="973">
        <v>-0.4</v>
      </c>
      <c r="T28" s="973">
        <v>-0.5</v>
      </c>
      <c r="U28" s="551"/>
      <c r="V28" s="592" t="s">
        <v>551</v>
      </c>
      <c r="W28" s="551"/>
      <c r="X28" s="551"/>
      <c r="Y28" s="551"/>
      <c r="Z28" s="1425"/>
      <c r="AA28" s="1427"/>
      <c r="AB28" s="1386"/>
      <c r="AC28" s="1386"/>
      <c r="AD28" s="1386"/>
      <c r="AE28" s="1386"/>
      <c r="AF28" s="1386"/>
      <c r="AG28" s="1386"/>
      <c r="AH28" s="1386"/>
      <c r="AI28" s="1386"/>
      <c r="AJ28" s="1386"/>
      <c r="AK28" s="1388"/>
      <c r="AL28" s="551"/>
      <c r="AM28" s="551"/>
      <c r="AN28" s="551"/>
      <c r="AO28" s="551"/>
      <c r="AP28" s="551"/>
      <c r="AQ28" s="551"/>
    </row>
    <row r="29" spans="1:43" s="762" customFormat="1" ht="14.5">
      <c r="A29" s="551"/>
      <c r="B29" s="665" t="s">
        <v>501</v>
      </c>
      <c r="C29" s="954">
        <f>Inputs!B74/Inputs!B12</f>
        <v>-0.14145705869023339</v>
      </c>
      <c r="D29" s="966">
        <f>Inputs!C74/Inputs!C12</f>
        <v>44.161038961038962</v>
      </c>
      <c r="E29" s="966">
        <f>Inputs!D74/Inputs!D12</f>
        <v>-1390.5</v>
      </c>
      <c r="F29" s="954">
        <f>Inputs!E74/Inputs!E12</f>
        <v>-0.51476523279850384</v>
      </c>
      <c r="G29" s="966">
        <f>Inputs!F74/Inputs!F12</f>
        <v>-48.873831775700943</v>
      </c>
      <c r="H29" s="954">
        <f>Inputs!G74/Inputs!G12</f>
        <v>-0.28790725911364229</v>
      </c>
      <c r="I29" s="954">
        <f>Inputs!H74/Inputs!H12</f>
        <v>-0.22001029689377033</v>
      </c>
      <c r="J29" s="954">
        <f>Inputs!I74/Inputs!I12</f>
        <v>-0.29437370062370061</v>
      </c>
      <c r="K29" s="954">
        <f>Inputs!J74/Inputs!J12</f>
        <v>-0.31161606637752221</v>
      </c>
      <c r="L29" s="954">
        <f>Inputs!K74/Inputs!K12</f>
        <v>-0.95276249701028459</v>
      </c>
      <c r="M29" s="954">
        <f>Inputs!L74/Inputs!L12</f>
        <v>0</v>
      </c>
      <c r="N29" s="685"/>
      <c r="O29" s="968">
        <f>AVERAGE(C29,F29,H29:L29)</f>
        <v>-0.38898458735823677</v>
      </c>
      <c r="P29" s="969">
        <f>AVERAGE(C29,F29)</f>
        <v>-0.32811114574436862</v>
      </c>
      <c r="Q29" s="967" t="s">
        <v>70</v>
      </c>
      <c r="R29" s="551"/>
      <c r="S29" s="973">
        <v>0.14000000000000001</v>
      </c>
      <c r="T29" s="973">
        <v>0.5</v>
      </c>
      <c r="U29" s="551"/>
      <c r="V29" s="592" t="s">
        <v>551</v>
      </c>
      <c r="W29" s="551"/>
      <c r="X29" s="551"/>
      <c r="Y29" s="551"/>
      <c r="Z29" s="672" t="s">
        <v>552</v>
      </c>
      <c r="AA29" s="828">
        <f>AA27-AA30</f>
        <v>427.9</v>
      </c>
      <c r="AB29" s="824">
        <f>AB27-AB30</f>
        <v>383.8</v>
      </c>
      <c r="AC29" s="824">
        <f t="shared" ref="AC29:AJ29" si="18">AC27-AC30</f>
        <v>337.29999999999995</v>
      </c>
      <c r="AD29" s="824">
        <f t="shared" si="18"/>
        <v>293.8</v>
      </c>
      <c r="AE29" s="824">
        <f t="shared" si="18"/>
        <v>326.5</v>
      </c>
      <c r="AF29" s="824">
        <f t="shared" si="18"/>
        <v>333.1</v>
      </c>
      <c r="AG29" s="824">
        <f t="shared" si="18"/>
        <v>293.8</v>
      </c>
      <c r="AH29" s="824">
        <f t="shared" si="18"/>
        <v>237.5</v>
      </c>
      <c r="AI29" s="824">
        <f t="shared" si="18"/>
        <v>180.3</v>
      </c>
      <c r="AJ29" s="824">
        <f t="shared" si="18"/>
        <v>162</v>
      </c>
      <c r="AK29" s="825">
        <f>AK27-AK30</f>
        <v>139.80000000000001</v>
      </c>
    </row>
    <row r="30" spans="1:43" s="762" customFormat="1" ht="14.5">
      <c r="A30" s="551"/>
      <c r="B30" s="666" t="s">
        <v>502</v>
      </c>
      <c r="C30" s="955">
        <f>Inputs!B72/Inputs!B6</f>
        <v>-9.7371960890602104E-4</v>
      </c>
      <c r="D30" s="955">
        <f>Inputs!C72/Inputs!C6</f>
        <v>-9.3096079385565883E-4</v>
      </c>
      <c r="E30" s="955">
        <f>Inputs!D72/Inputs!D6</f>
        <v>-6.6888115455689459E-4</v>
      </c>
      <c r="F30" s="955">
        <f>Inputs!E72/Inputs!E6</f>
        <v>-1.2188185585439181E-3</v>
      </c>
      <c r="G30" s="955">
        <f>Inputs!F72/Inputs!F6</f>
        <v>-1.6539821417870199E-3</v>
      </c>
      <c r="H30" s="955">
        <f>Inputs!G72/Inputs!G6</f>
        <v>0</v>
      </c>
      <c r="I30" s="955">
        <f>Inputs!H72/Inputs!H6</f>
        <v>0</v>
      </c>
      <c r="J30" s="955">
        <f>Inputs!I72/Inputs!I6</f>
        <v>0</v>
      </c>
      <c r="K30" s="955">
        <f>Inputs!J72/Inputs!J6</f>
        <v>0</v>
      </c>
      <c r="L30" s="955">
        <f>Inputs!K72/Inputs!K6</f>
        <v>0</v>
      </c>
      <c r="M30" s="955">
        <f>Inputs!L72/Inputs!L6</f>
        <v>0</v>
      </c>
      <c r="N30" s="685"/>
      <c r="O30" s="967">
        <f t="shared" si="14"/>
        <v>-4.9512384160450113E-4</v>
      </c>
      <c r="P30" s="970">
        <f t="shared" si="12"/>
        <v>-1.0892724515299025E-3</v>
      </c>
      <c r="Q30" s="967">
        <f t="shared" si="13"/>
        <v>-8.5785385243952478E-4</v>
      </c>
      <c r="R30" s="551"/>
      <c r="S30" s="973">
        <v>1E-3</v>
      </c>
      <c r="T30" s="973">
        <v>1E-3</v>
      </c>
      <c r="U30" s="551"/>
      <c r="V30" s="592" t="s">
        <v>535</v>
      </c>
      <c r="W30" s="551"/>
      <c r="X30" s="551"/>
      <c r="Y30" s="551"/>
      <c r="Z30" s="672" t="s">
        <v>553</v>
      </c>
      <c r="AA30" s="775">
        <v>1.3</v>
      </c>
      <c r="AB30" s="776">
        <v>3.2</v>
      </c>
      <c r="AC30" s="776">
        <v>5.0999999999999996</v>
      </c>
      <c r="AD30" s="776">
        <v>5.3</v>
      </c>
      <c r="AE30" s="776">
        <v>5.7</v>
      </c>
      <c r="AF30" s="776">
        <v>6</v>
      </c>
      <c r="AG30" s="776">
        <v>5.8999999999999995</v>
      </c>
      <c r="AH30" s="776">
        <v>10.4</v>
      </c>
      <c r="AI30" s="776">
        <v>40.699999999999996</v>
      </c>
      <c r="AJ30" s="776">
        <v>40</v>
      </c>
      <c r="AK30" s="777">
        <v>15.5</v>
      </c>
    </row>
    <row r="31" spans="1:43" s="762" customFormat="1" ht="14.5">
      <c r="A31" s="551"/>
      <c r="B31" s="665" t="s">
        <v>324</v>
      </c>
      <c r="C31" s="668">
        <f>'Fin. Data'!B58/'Fin. Data'!B19</f>
        <v>3.0586661477842103</v>
      </c>
      <c r="D31" s="668">
        <f>'Fin. Data'!C58/'Fin. Data'!C19</f>
        <v>2.4505892335250308</v>
      </c>
      <c r="E31" s="668">
        <f>'Fin. Data'!D58/'Fin. Data'!D19</f>
        <v>2.5291772297764461</v>
      </c>
      <c r="F31" s="668">
        <f>'Fin. Data'!E58/'Fin. Data'!E19</f>
        <v>3.7170716868895126</v>
      </c>
      <c r="G31" s="668">
        <f>'Fin. Data'!F58/'Fin. Data'!F19</f>
        <v>2.4716915393995698</v>
      </c>
      <c r="H31" s="668">
        <f>'Fin. Data'!G58/'Fin. Data'!G19</f>
        <v>17.930603107716625</v>
      </c>
      <c r="I31" s="669">
        <f>'Fin. Data'!H58/'Fin. Data'!H19</f>
        <v>4.6646670940562318</v>
      </c>
      <c r="J31" s="669">
        <f>'Fin. Data'!I58/'Fin. Data'!I19</f>
        <v>3.465153788447112</v>
      </c>
      <c r="K31" s="669">
        <f>'Fin. Data'!J58/'Fin. Data'!J19</f>
        <v>4.1763307493540047</v>
      </c>
      <c r="L31" s="669">
        <f>'Fin. Data'!K58/'Fin. Data'!K19</f>
        <v>4.3413458677931809</v>
      </c>
      <c r="M31" s="669">
        <f>'Fin. Data'!L58/'Fin. Data'!L19</f>
        <v>-9.076251303441083</v>
      </c>
      <c r="N31" s="685"/>
      <c r="O31" s="971">
        <f t="shared" si="14"/>
        <v>3.6117313764818948</v>
      </c>
      <c r="P31" s="972">
        <f t="shared" si="12"/>
        <v>2.8454391674749542</v>
      </c>
      <c r="Q31" s="971">
        <f t="shared" si="13"/>
        <v>2.6794775370285624</v>
      </c>
      <c r="R31" s="551"/>
      <c r="S31" s="975" t="s">
        <v>70</v>
      </c>
      <c r="T31" s="975" t="s">
        <v>70</v>
      </c>
      <c r="U31" s="551"/>
      <c r="V31" s="998" t="s">
        <v>503</v>
      </c>
      <c r="W31" s="551"/>
      <c r="X31" s="551"/>
      <c r="Y31" s="551"/>
    </row>
    <row r="32" spans="1:43" ht="12.75" customHeight="1">
      <c r="B32" s="593"/>
      <c r="C32" s="787"/>
      <c r="D32" s="787"/>
      <c r="E32" s="787"/>
      <c r="F32" s="787"/>
      <c r="G32" s="787"/>
      <c r="H32" s="787"/>
      <c r="I32" s="787"/>
      <c r="J32" s="787"/>
      <c r="K32" s="787"/>
      <c r="L32" s="787"/>
      <c r="M32" s="787"/>
      <c r="S32" s="593"/>
      <c r="T32" s="593"/>
    </row>
    <row r="33" spans="2:30" ht="12.75" customHeight="1">
      <c r="C33" s="783"/>
      <c r="D33" s="593"/>
    </row>
    <row r="34" spans="2:30" s="550" customFormat="1" ht="14">
      <c r="B34" s="559" t="s">
        <v>554</v>
      </c>
    </row>
    <row r="36" spans="2:30" ht="12.75" customHeight="1" thickBot="1">
      <c r="D36" s="1465" t="s">
        <v>555</v>
      </c>
      <c r="E36" s="1466"/>
      <c r="F36" s="1466"/>
      <c r="G36" s="1467"/>
      <c r="H36" s="1468" t="s">
        <v>556</v>
      </c>
      <c r="I36" s="1469"/>
      <c r="J36" s="1469"/>
      <c r="K36" s="1469"/>
      <c r="L36" s="1469"/>
      <c r="M36" s="1469"/>
      <c r="N36" s="1469"/>
      <c r="O36" s="1469"/>
      <c r="P36" s="1469"/>
      <c r="Q36" s="1469"/>
      <c r="R36" s="1469"/>
      <c r="S36" s="1469"/>
      <c r="T36" s="1469"/>
      <c r="U36" s="1469"/>
      <c r="V36" s="1469"/>
      <c r="W36" s="1469"/>
      <c r="X36" s="1469"/>
      <c r="Y36" s="1469"/>
      <c r="Z36" s="1469"/>
      <c r="AA36" s="1469"/>
      <c r="AB36" s="1469"/>
      <c r="AC36" s="1469"/>
      <c r="AD36" s="1470"/>
    </row>
    <row r="37" spans="2:30" ht="12.75" customHeight="1">
      <c r="B37" s="1432" t="s">
        <v>557</v>
      </c>
      <c r="C37" s="789" t="s">
        <v>558</v>
      </c>
      <c r="D37" s="790">
        <v>2025</v>
      </c>
      <c r="E37" s="790">
        <f>D37+1</f>
        <v>2026</v>
      </c>
      <c r="F37" s="790">
        <f t="shared" ref="F37:AB37" si="19">E37+1</f>
        <v>2027</v>
      </c>
      <c r="G37" s="791">
        <f t="shared" si="19"/>
        <v>2028</v>
      </c>
      <c r="H37" s="794">
        <f t="shared" si="19"/>
        <v>2029</v>
      </c>
      <c r="I37" s="794">
        <f t="shared" si="19"/>
        <v>2030</v>
      </c>
      <c r="J37" s="795">
        <f t="shared" si="19"/>
        <v>2031</v>
      </c>
      <c r="K37" s="795">
        <f t="shared" si="19"/>
        <v>2032</v>
      </c>
      <c r="L37" s="795">
        <f t="shared" si="19"/>
        <v>2033</v>
      </c>
      <c r="M37" s="795">
        <f t="shared" si="19"/>
        <v>2034</v>
      </c>
      <c r="N37" s="795">
        <f t="shared" si="19"/>
        <v>2035</v>
      </c>
      <c r="O37" s="795">
        <f t="shared" si="19"/>
        <v>2036</v>
      </c>
      <c r="P37" s="795">
        <f t="shared" si="19"/>
        <v>2037</v>
      </c>
      <c r="Q37" s="795">
        <f t="shared" si="19"/>
        <v>2038</v>
      </c>
      <c r="R37" s="795">
        <f t="shared" si="19"/>
        <v>2039</v>
      </c>
      <c r="S37" s="795">
        <f t="shared" si="19"/>
        <v>2040</v>
      </c>
      <c r="T37" s="795">
        <f t="shared" si="19"/>
        <v>2041</v>
      </c>
      <c r="U37" s="795">
        <f t="shared" si="19"/>
        <v>2042</v>
      </c>
      <c r="V37" s="795">
        <f t="shared" si="19"/>
        <v>2043</v>
      </c>
      <c r="W37" s="795">
        <f t="shared" si="19"/>
        <v>2044</v>
      </c>
      <c r="X37" s="795">
        <f t="shared" si="19"/>
        <v>2045</v>
      </c>
      <c r="Y37" s="795">
        <f t="shared" si="19"/>
        <v>2046</v>
      </c>
      <c r="Z37" s="795">
        <f t="shared" si="19"/>
        <v>2047</v>
      </c>
      <c r="AA37" s="795">
        <f t="shared" si="19"/>
        <v>2048</v>
      </c>
      <c r="AB37" s="795">
        <f t="shared" si="19"/>
        <v>2049</v>
      </c>
      <c r="AC37" s="795">
        <f>AB37+1</f>
        <v>2050</v>
      </c>
      <c r="AD37" s="795">
        <f>AC37+1</f>
        <v>2051</v>
      </c>
    </row>
    <row r="38" spans="2:30" ht="12.75" customHeight="1">
      <c r="B38" s="1433"/>
      <c r="C38" s="766" t="s">
        <v>559</v>
      </c>
      <c r="D38" s="788">
        <f>Inputs!B6*(1+Assumptions!D39)</f>
        <v>10459.89</v>
      </c>
      <c r="E38" s="788">
        <f>D38*(1+E39)</f>
        <v>10930.585049999998</v>
      </c>
      <c r="F38" s="788">
        <f t="shared" ref="F38:I38" si="20">E38*(1+F39)</f>
        <v>11367.808451999997</v>
      </c>
      <c r="G38" s="792">
        <f t="shared" si="20"/>
        <v>11822.520790079998</v>
      </c>
      <c r="H38" s="976">
        <f t="shared" si="20"/>
        <v>12177.196413782398</v>
      </c>
      <c r="I38" s="793">
        <f t="shared" si="20"/>
        <v>12542.512306195869</v>
      </c>
      <c r="J38" s="788">
        <f>I38*(1+J39)</f>
        <v>12918.787675381745</v>
      </c>
      <c r="K38" s="788">
        <f t="shared" ref="K38:AC38" si="21">J38*(1+K39)</f>
        <v>13306.351305643198</v>
      </c>
      <c r="L38" s="788">
        <f t="shared" si="21"/>
        <v>13705.541844812495</v>
      </c>
      <c r="M38" s="788">
        <f t="shared" si="21"/>
        <v>14116.708100156869</v>
      </c>
      <c r="N38" s="788">
        <f t="shared" si="21"/>
        <v>14540.209343161576</v>
      </c>
      <c r="O38" s="788">
        <f t="shared" si="21"/>
        <v>14976.415623456423</v>
      </c>
      <c r="P38" s="788">
        <f t="shared" si="21"/>
        <v>15425.708092160117</v>
      </c>
      <c r="Q38" s="788">
        <f t="shared" si="21"/>
        <v>15888.479334924921</v>
      </c>
      <c r="R38" s="788">
        <f t="shared" si="21"/>
        <v>16365.13371497267</v>
      </c>
      <c r="S38" s="788">
        <f t="shared" si="21"/>
        <v>16856.087726421851</v>
      </c>
      <c r="T38" s="788">
        <f t="shared" si="21"/>
        <v>17361.770358214508</v>
      </c>
      <c r="U38" s="788">
        <f t="shared" si="21"/>
        <v>17882.623468960945</v>
      </c>
      <c r="V38" s="788">
        <f t="shared" si="21"/>
        <v>18419.102173029773</v>
      </c>
      <c r="W38" s="788">
        <f t="shared" si="21"/>
        <v>18971.675238220665</v>
      </c>
      <c r="X38" s="788">
        <f t="shared" si="21"/>
        <v>19540.825495367284</v>
      </c>
      <c r="Y38" s="788">
        <f t="shared" si="21"/>
        <v>20127.050260228301</v>
      </c>
      <c r="Z38" s="788">
        <f t="shared" si="21"/>
        <v>20730.861768035153</v>
      </c>
      <c r="AA38" s="788">
        <f t="shared" si="21"/>
        <v>21352.787621076208</v>
      </c>
      <c r="AB38" s="788">
        <f t="shared" si="21"/>
        <v>21993.371249708496</v>
      </c>
      <c r="AC38" s="788">
        <f t="shared" si="21"/>
        <v>22653.172387199753</v>
      </c>
      <c r="AD38" s="788">
        <f>AC38*(1+AD39)</f>
        <v>23332.767558815747</v>
      </c>
    </row>
    <row r="39" spans="2:30" ht="12.75" customHeight="1">
      <c r="B39" s="1433"/>
      <c r="C39" s="767" t="s">
        <v>560</v>
      </c>
      <c r="D39" s="768">
        <v>0.05</v>
      </c>
      <c r="E39" s="768">
        <v>4.4999999999999998E-2</v>
      </c>
      <c r="F39" s="768">
        <f t="shared" ref="F39:G39" si="22">$S$9</f>
        <v>0.04</v>
      </c>
      <c r="G39" s="779">
        <f t="shared" si="22"/>
        <v>0.04</v>
      </c>
      <c r="H39" s="977">
        <f>T9</f>
        <v>0.03</v>
      </c>
      <c r="I39" s="778">
        <f>T9</f>
        <v>0.03</v>
      </c>
      <c r="J39" s="768">
        <f>$T$9</f>
        <v>0.03</v>
      </c>
      <c r="K39" s="768">
        <f t="shared" ref="K39:AC39" si="23">$T$9</f>
        <v>0.03</v>
      </c>
      <c r="L39" s="768">
        <f t="shared" si="23"/>
        <v>0.03</v>
      </c>
      <c r="M39" s="768">
        <f t="shared" si="23"/>
        <v>0.03</v>
      </c>
      <c r="N39" s="768">
        <f t="shared" si="23"/>
        <v>0.03</v>
      </c>
      <c r="O39" s="768">
        <f t="shared" si="23"/>
        <v>0.03</v>
      </c>
      <c r="P39" s="768">
        <f t="shared" si="23"/>
        <v>0.03</v>
      </c>
      <c r="Q39" s="768">
        <f t="shared" si="23"/>
        <v>0.03</v>
      </c>
      <c r="R39" s="768">
        <f t="shared" si="23"/>
        <v>0.03</v>
      </c>
      <c r="S39" s="768">
        <f t="shared" si="23"/>
        <v>0.03</v>
      </c>
      <c r="T39" s="768">
        <f t="shared" si="23"/>
        <v>0.03</v>
      </c>
      <c r="U39" s="768">
        <f t="shared" si="23"/>
        <v>0.03</v>
      </c>
      <c r="V39" s="768">
        <f t="shared" si="23"/>
        <v>0.03</v>
      </c>
      <c r="W39" s="768">
        <f t="shared" si="23"/>
        <v>0.03</v>
      </c>
      <c r="X39" s="768">
        <f t="shared" si="23"/>
        <v>0.03</v>
      </c>
      <c r="Y39" s="768">
        <f t="shared" si="23"/>
        <v>0.03</v>
      </c>
      <c r="Z39" s="768">
        <f t="shared" si="23"/>
        <v>0.03</v>
      </c>
      <c r="AA39" s="768">
        <f t="shared" si="23"/>
        <v>0.03</v>
      </c>
      <c r="AB39" s="768">
        <f t="shared" si="23"/>
        <v>0.03</v>
      </c>
      <c r="AC39" s="768">
        <f t="shared" si="23"/>
        <v>0.03</v>
      </c>
      <c r="AD39" s="768">
        <f>T9</f>
        <v>0.03</v>
      </c>
    </row>
    <row r="40" spans="2:30" ht="12.75" customHeight="1" thickBot="1">
      <c r="B40" s="1434"/>
      <c r="C40" s="769" t="s">
        <v>129</v>
      </c>
      <c r="D40" s="770">
        <f>S10</f>
        <v>0.33</v>
      </c>
      <c r="E40" s="770">
        <f>S10</f>
        <v>0.33</v>
      </c>
      <c r="F40" s="770">
        <f>S10</f>
        <v>0.33</v>
      </c>
      <c r="G40" s="780">
        <f>S10</f>
        <v>0.33</v>
      </c>
      <c r="H40" s="977">
        <f>T10</f>
        <v>0.34499999999999997</v>
      </c>
      <c r="I40" s="778">
        <f>T10</f>
        <v>0.34499999999999997</v>
      </c>
      <c r="J40" s="768">
        <f>$T$10</f>
        <v>0.34499999999999997</v>
      </c>
      <c r="K40" s="768">
        <f t="shared" ref="K40:AC40" si="24">$T$10</f>
        <v>0.34499999999999997</v>
      </c>
      <c r="L40" s="768">
        <f t="shared" si="24"/>
        <v>0.34499999999999997</v>
      </c>
      <c r="M40" s="768">
        <f t="shared" si="24"/>
        <v>0.34499999999999997</v>
      </c>
      <c r="N40" s="768">
        <f t="shared" si="24"/>
        <v>0.34499999999999997</v>
      </c>
      <c r="O40" s="768">
        <f t="shared" si="24"/>
        <v>0.34499999999999997</v>
      </c>
      <c r="P40" s="768">
        <f t="shared" si="24"/>
        <v>0.34499999999999997</v>
      </c>
      <c r="Q40" s="768">
        <f t="shared" si="24"/>
        <v>0.34499999999999997</v>
      </c>
      <c r="R40" s="768">
        <f t="shared" si="24"/>
        <v>0.34499999999999997</v>
      </c>
      <c r="S40" s="768">
        <f t="shared" si="24"/>
        <v>0.34499999999999997</v>
      </c>
      <c r="T40" s="768">
        <f t="shared" si="24"/>
        <v>0.34499999999999997</v>
      </c>
      <c r="U40" s="768">
        <f t="shared" si="24"/>
        <v>0.34499999999999997</v>
      </c>
      <c r="V40" s="768">
        <f t="shared" si="24"/>
        <v>0.34499999999999997</v>
      </c>
      <c r="W40" s="768">
        <f t="shared" si="24"/>
        <v>0.34499999999999997</v>
      </c>
      <c r="X40" s="768">
        <f t="shared" si="24"/>
        <v>0.34499999999999997</v>
      </c>
      <c r="Y40" s="768">
        <f t="shared" si="24"/>
        <v>0.34499999999999997</v>
      </c>
      <c r="Z40" s="768">
        <f t="shared" si="24"/>
        <v>0.34499999999999997</v>
      </c>
      <c r="AA40" s="768">
        <f t="shared" si="24"/>
        <v>0.34499999999999997</v>
      </c>
      <c r="AB40" s="768">
        <f t="shared" si="24"/>
        <v>0.34499999999999997</v>
      </c>
      <c r="AC40" s="768">
        <f t="shared" si="24"/>
        <v>0.34499999999999997</v>
      </c>
      <c r="AD40" s="768">
        <f>T10</f>
        <v>0.34499999999999997</v>
      </c>
    </row>
    <row r="41" spans="2:30" ht="12.75" customHeight="1" thickBot="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row>
    <row r="42" spans="2:30" ht="12.75" customHeight="1">
      <c r="B42" s="1435" t="s">
        <v>561</v>
      </c>
      <c r="C42" s="771" t="s">
        <v>558</v>
      </c>
      <c r="D42" s="790">
        <v>2025</v>
      </c>
      <c r="E42" s="790">
        <f>D42+1</f>
        <v>2026</v>
      </c>
      <c r="F42" s="790">
        <f t="shared" ref="F42:AB42" si="25">E42+1</f>
        <v>2027</v>
      </c>
      <c r="G42" s="791">
        <f t="shared" si="25"/>
        <v>2028</v>
      </c>
      <c r="H42" s="978">
        <f t="shared" si="25"/>
        <v>2029</v>
      </c>
      <c r="I42" s="979">
        <f t="shared" si="25"/>
        <v>2030</v>
      </c>
      <c r="J42" s="980">
        <f t="shared" si="25"/>
        <v>2031</v>
      </c>
      <c r="K42" s="980">
        <f t="shared" si="25"/>
        <v>2032</v>
      </c>
      <c r="L42" s="980">
        <f t="shared" si="25"/>
        <v>2033</v>
      </c>
      <c r="M42" s="980">
        <f t="shared" si="25"/>
        <v>2034</v>
      </c>
      <c r="N42" s="980">
        <f t="shared" si="25"/>
        <v>2035</v>
      </c>
      <c r="O42" s="980">
        <f t="shared" si="25"/>
        <v>2036</v>
      </c>
      <c r="P42" s="980">
        <f t="shared" si="25"/>
        <v>2037</v>
      </c>
      <c r="Q42" s="980">
        <f t="shared" si="25"/>
        <v>2038</v>
      </c>
      <c r="R42" s="980">
        <f t="shared" si="25"/>
        <v>2039</v>
      </c>
      <c r="S42" s="980">
        <f t="shared" si="25"/>
        <v>2040</v>
      </c>
      <c r="T42" s="980">
        <f t="shared" si="25"/>
        <v>2041</v>
      </c>
      <c r="U42" s="980">
        <f t="shared" si="25"/>
        <v>2042</v>
      </c>
      <c r="V42" s="980">
        <f t="shared" si="25"/>
        <v>2043</v>
      </c>
      <c r="W42" s="980">
        <f t="shared" si="25"/>
        <v>2044</v>
      </c>
      <c r="X42" s="980">
        <f t="shared" si="25"/>
        <v>2045</v>
      </c>
      <c r="Y42" s="980">
        <f t="shared" si="25"/>
        <v>2046</v>
      </c>
      <c r="Z42" s="980">
        <f t="shared" si="25"/>
        <v>2047</v>
      </c>
      <c r="AA42" s="980">
        <f t="shared" si="25"/>
        <v>2048</v>
      </c>
      <c r="AB42" s="980">
        <f t="shared" si="25"/>
        <v>2049</v>
      </c>
      <c r="AC42" s="980">
        <f>AB42+1</f>
        <v>2050</v>
      </c>
      <c r="AD42" s="980">
        <f>AC42+1</f>
        <v>2051</v>
      </c>
    </row>
    <row r="43" spans="2:30" ht="12.75" customHeight="1">
      <c r="B43" s="1436"/>
      <c r="C43" s="772" t="s">
        <v>559</v>
      </c>
      <c r="D43" s="788">
        <f>Inputs!B6*(1+Assumptions!D44)</f>
        <v>10559.508</v>
      </c>
      <c r="E43" s="788">
        <f>D43*(1+E44)</f>
        <v>11140.280939999999</v>
      </c>
      <c r="F43" s="788">
        <f t="shared" ref="F43" si="26">E43*(1+F44)</f>
        <v>11697.294986999999</v>
      </c>
      <c r="G43" s="792">
        <f t="shared" ref="G43" si="27">F43*(1+G44)</f>
        <v>12223.673261414999</v>
      </c>
      <c r="H43" s="976">
        <f t="shared" ref="H43" si="28">G43*(1+H44)</f>
        <v>12590.383459257449</v>
      </c>
      <c r="I43" s="793">
        <f t="shared" ref="I43" si="29">H43*(1+I44)</f>
        <v>12968.094963035173</v>
      </c>
      <c r="J43" s="788">
        <f>I43*(1+J44)</f>
        <v>13357.137811926228</v>
      </c>
      <c r="K43" s="788">
        <f t="shared" ref="K43" si="30">J43*(1+K44)</f>
        <v>13757.851946284016</v>
      </c>
      <c r="L43" s="788">
        <f t="shared" ref="L43" si="31">K43*(1+L44)</f>
        <v>14170.587504672536</v>
      </c>
      <c r="M43" s="788">
        <f t="shared" ref="M43" si="32">L43*(1+M44)</f>
        <v>14595.705129812712</v>
      </c>
      <c r="N43" s="788">
        <f t="shared" ref="N43" si="33">M43*(1+N44)</f>
        <v>15033.576283707094</v>
      </c>
      <c r="O43" s="788">
        <f t="shared" ref="O43" si="34">N43*(1+O44)</f>
        <v>15484.583572218307</v>
      </c>
      <c r="P43" s="788">
        <f t="shared" ref="P43" si="35">O43*(1+P44)</f>
        <v>15949.121079384857</v>
      </c>
      <c r="Q43" s="788">
        <f t="shared" ref="Q43" si="36">P43*(1+Q44)</f>
        <v>16427.594711766404</v>
      </c>
      <c r="R43" s="788">
        <f t="shared" ref="R43" si="37">Q43*(1+R44)</f>
        <v>16920.422553119395</v>
      </c>
      <c r="S43" s="788">
        <f t="shared" ref="S43" si="38">R43*(1+S44)</f>
        <v>17428.035229712976</v>
      </c>
      <c r="T43" s="788">
        <f t="shared" ref="T43" si="39">S43*(1+T44)</f>
        <v>17950.876286604365</v>
      </c>
      <c r="U43" s="788">
        <f t="shared" ref="U43" si="40">T43*(1+U44)</f>
        <v>18489.402575202497</v>
      </c>
      <c r="V43" s="788">
        <f t="shared" ref="V43" si="41">U43*(1+V44)</f>
        <v>19044.084652458572</v>
      </c>
      <c r="W43" s="788">
        <f t="shared" ref="W43" si="42">V43*(1+W44)</f>
        <v>19615.407192032329</v>
      </c>
      <c r="X43" s="788">
        <f t="shared" ref="X43" si="43">W43*(1+X44)</f>
        <v>20203.8694077933</v>
      </c>
      <c r="Y43" s="788">
        <f t="shared" ref="Y43" si="44">X43*(1+Y44)</f>
        <v>20809.985490027098</v>
      </c>
      <c r="Z43" s="788">
        <f t="shared" ref="Z43" si="45">Y43*(1+Z44)</f>
        <v>21434.285054727912</v>
      </c>
      <c r="AA43" s="788">
        <f t="shared" ref="AA43" si="46">Z43*(1+AA44)</f>
        <v>22077.313606369749</v>
      </c>
      <c r="AB43" s="788">
        <f t="shared" ref="AB43" si="47">AA43*(1+AB44)</f>
        <v>22739.633014560841</v>
      </c>
      <c r="AC43" s="788">
        <f t="shared" ref="AC43" si="48">AB43*(1+AC44)</f>
        <v>23421.822004997666</v>
      </c>
      <c r="AD43" s="788">
        <f>AC43*(1+AD44)</f>
        <v>24124.476665147598</v>
      </c>
    </row>
    <row r="44" spans="2:30" ht="12.75" customHeight="1">
      <c r="B44" s="1436"/>
      <c r="C44" s="767" t="s">
        <v>560</v>
      </c>
      <c r="D44" s="768">
        <v>0.06</v>
      </c>
      <c r="E44" s="768">
        <v>5.5E-2</v>
      </c>
      <c r="F44" s="768">
        <v>0.05</v>
      </c>
      <c r="G44" s="779">
        <v>4.4999999999999998E-2</v>
      </c>
      <c r="H44" s="977">
        <v>0.03</v>
      </c>
      <c r="I44" s="778">
        <v>0.03</v>
      </c>
      <c r="J44" s="768">
        <v>0.03</v>
      </c>
      <c r="K44" s="768">
        <v>0.03</v>
      </c>
      <c r="L44" s="768">
        <v>0.03</v>
      </c>
      <c r="M44" s="768">
        <v>0.03</v>
      </c>
      <c r="N44" s="768">
        <v>0.03</v>
      </c>
      <c r="O44" s="768">
        <v>0.03</v>
      </c>
      <c r="P44" s="768">
        <v>0.03</v>
      </c>
      <c r="Q44" s="768">
        <v>0.03</v>
      </c>
      <c r="R44" s="768">
        <v>0.03</v>
      </c>
      <c r="S44" s="768">
        <v>0.03</v>
      </c>
      <c r="T44" s="768">
        <v>0.03</v>
      </c>
      <c r="U44" s="768">
        <v>0.03</v>
      </c>
      <c r="V44" s="768">
        <v>0.03</v>
      </c>
      <c r="W44" s="768">
        <v>0.03</v>
      </c>
      <c r="X44" s="768">
        <v>0.03</v>
      </c>
      <c r="Y44" s="768">
        <v>0.03</v>
      </c>
      <c r="Z44" s="768">
        <v>0.03</v>
      </c>
      <c r="AA44" s="768">
        <v>0.03</v>
      </c>
      <c r="AB44" s="768">
        <v>0.03</v>
      </c>
      <c r="AC44" s="768">
        <v>0.03</v>
      </c>
      <c r="AD44" s="768">
        <v>0.03</v>
      </c>
    </row>
    <row r="45" spans="2:30" ht="12.75" customHeight="1" thickBot="1">
      <c r="B45" s="1437"/>
      <c r="C45" s="773" t="s">
        <v>129</v>
      </c>
      <c r="D45" s="770">
        <v>0.32500000000000001</v>
      </c>
      <c r="E45" s="770">
        <v>0.34</v>
      </c>
      <c r="F45" s="770">
        <v>0.34</v>
      </c>
      <c r="G45" s="780">
        <v>0.34</v>
      </c>
      <c r="H45" s="977">
        <v>0.35</v>
      </c>
      <c r="I45" s="778">
        <v>0.35</v>
      </c>
      <c r="J45" s="768">
        <v>0.35</v>
      </c>
      <c r="K45" s="768">
        <v>0.35</v>
      </c>
      <c r="L45" s="768">
        <v>0.35</v>
      </c>
      <c r="M45" s="768">
        <v>0.35</v>
      </c>
      <c r="N45" s="768">
        <v>0.35</v>
      </c>
      <c r="O45" s="768">
        <v>0.35</v>
      </c>
      <c r="P45" s="768">
        <v>0.35</v>
      </c>
      <c r="Q45" s="768">
        <v>0.35</v>
      </c>
      <c r="R45" s="768">
        <v>0.35</v>
      </c>
      <c r="S45" s="768">
        <v>0.35</v>
      </c>
      <c r="T45" s="768">
        <v>0.35</v>
      </c>
      <c r="U45" s="768">
        <v>0.35</v>
      </c>
      <c r="V45" s="768">
        <v>0.35</v>
      </c>
      <c r="W45" s="768">
        <v>0.35</v>
      </c>
      <c r="X45" s="768">
        <v>0.35</v>
      </c>
      <c r="Y45" s="768">
        <v>0.35</v>
      </c>
      <c r="Z45" s="768">
        <v>0.35</v>
      </c>
      <c r="AA45" s="768">
        <v>0.35</v>
      </c>
      <c r="AB45" s="768">
        <v>0.35</v>
      </c>
      <c r="AC45" s="768">
        <v>0.35</v>
      </c>
      <c r="AD45" s="768">
        <v>0.35</v>
      </c>
    </row>
    <row r="46" spans="2:30" ht="12.75" customHeight="1" thickBot="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row>
    <row r="47" spans="2:30" ht="12.75" customHeight="1">
      <c r="B47" s="1438" t="s">
        <v>562</v>
      </c>
      <c r="C47" s="765" t="s">
        <v>558</v>
      </c>
      <c r="D47" s="790">
        <v>2025</v>
      </c>
      <c r="E47" s="790">
        <f>D47+1</f>
        <v>2026</v>
      </c>
      <c r="F47" s="790">
        <f t="shared" ref="F47:AB47" si="49">E47+1</f>
        <v>2027</v>
      </c>
      <c r="G47" s="791">
        <f t="shared" si="49"/>
        <v>2028</v>
      </c>
      <c r="H47" s="978">
        <f t="shared" si="49"/>
        <v>2029</v>
      </c>
      <c r="I47" s="979">
        <f t="shared" si="49"/>
        <v>2030</v>
      </c>
      <c r="J47" s="979">
        <f t="shared" si="49"/>
        <v>2031</v>
      </c>
      <c r="K47" s="979">
        <f t="shared" si="49"/>
        <v>2032</v>
      </c>
      <c r="L47" s="979">
        <f t="shared" si="49"/>
        <v>2033</v>
      </c>
      <c r="M47" s="979">
        <f t="shared" si="49"/>
        <v>2034</v>
      </c>
      <c r="N47" s="979">
        <f t="shared" si="49"/>
        <v>2035</v>
      </c>
      <c r="O47" s="979">
        <f t="shared" si="49"/>
        <v>2036</v>
      </c>
      <c r="P47" s="979">
        <f t="shared" si="49"/>
        <v>2037</v>
      </c>
      <c r="Q47" s="979">
        <f t="shared" si="49"/>
        <v>2038</v>
      </c>
      <c r="R47" s="979">
        <f t="shared" si="49"/>
        <v>2039</v>
      </c>
      <c r="S47" s="979">
        <f t="shared" si="49"/>
        <v>2040</v>
      </c>
      <c r="T47" s="979">
        <f t="shared" si="49"/>
        <v>2041</v>
      </c>
      <c r="U47" s="979">
        <f t="shared" si="49"/>
        <v>2042</v>
      </c>
      <c r="V47" s="979">
        <f t="shared" si="49"/>
        <v>2043</v>
      </c>
      <c r="W47" s="979">
        <f t="shared" si="49"/>
        <v>2044</v>
      </c>
      <c r="X47" s="979">
        <f t="shared" si="49"/>
        <v>2045</v>
      </c>
      <c r="Y47" s="979">
        <f t="shared" si="49"/>
        <v>2046</v>
      </c>
      <c r="Z47" s="979">
        <f t="shared" si="49"/>
        <v>2047</v>
      </c>
      <c r="AA47" s="979">
        <f t="shared" si="49"/>
        <v>2048</v>
      </c>
      <c r="AB47" s="979">
        <f t="shared" si="49"/>
        <v>2049</v>
      </c>
      <c r="AC47" s="979">
        <f>AB47+1</f>
        <v>2050</v>
      </c>
      <c r="AD47" s="979">
        <f>AC47+1</f>
        <v>2051</v>
      </c>
    </row>
    <row r="48" spans="2:30" ht="12.75" customHeight="1">
      <c r="B48" s="1439"/>
      <c r="C48" s="766" t="s">
        <v>559</v>
      </c>
      <c r="D48" s="788">
        <f>Inputs!B6*(1+Assumptions!D49)</f>
        <v>10335.3675</v>
      </c>
      <c r="E48" s="788">
        <f>D48*(1+E49)</f>
        <v>10722.943781250002</v>
      </c>
      <c r="F48" s="788">
        <f t="shared" ref="F48" si="50">E48*(1+F49)</f>
        <v>11098.246813593751</v>
      </c>
      <c r="G48" s="792">
        <f t="shared" ref="G48" si="51">F48*(1+G49)</f>
        <v>11431.194218001563</v>
      </c>
      <c r="H48" s="976">
        <f t="shared" ref="H48" si="52">G48*(1+H49)</f>
        <v>11659.818102361594</v>
      </c>
      <c r="I48" s="793">
        <f t="shared" ref="I48" si="53">H48*(1+I49)</f>
        <v>11893.014464408827</v>
      </c>
      <c r="J48" s="788">
        <f>I48*(1+J49)</f>
        <v>12130.874753697004</v>
      </c>
      <c r="K48" s="788">
        <f t="shared" ref="K48" si="54">J48*(1+K49)</f>
        <v>12373.492248770945</v>
      </c>
      <c r="L48" s="788">
        <f t="shared" ref="L48" si="55">K48*(1+L49)</f>
        <v>12620.962093746364</v>
      </c>
      <c r="M48" s="788">
        <f t="shared" ref="M48" si="56">L48*(1+M49)</f>
        <v>12873.381335621292</v>
      </c>
      <c r="N48" s="788">
        <f t="shared" ref="N48" si="57">M48*(1+N49)</f>
        <v>13130.848962333719</v>
      </c>
      <c r="O48" s="788">
        <f t="shared" ref="O48" si="58">N48*(1+O49)</f>
        <v>13393.465941580394</v>
      </c>
      <c r="P48" s="788">
        <f t="shared" ref="P48" si="59">O48*(1+P49)</f>
        <v>13661.335260412003</v>
      </c>
      <c r="Q48" s="788">
        <f t="shared" ref="Q48" si="60">P48*(1+Q49)</f>
        <v>13934.561965620243</v>
      </c>
      <c r="R48" s="788">
        <f t="shared" ref="R48" si="61">Q48*(1+R49)</f>
        <v>14213.253204932649</v>
      </c>
      <c r="S48" s="788">
        <f t="shared" ref="S48" si="62">R48*(1+S49)</f>
        <v>14497.518269031303</v>
      </c>
      <c r="T48" s="788">
        <f t="shared" ref="T48" si="63">S48*(1+T49)</f>
        <v>14787.468634411929</v>
      </c>
      <c r="U48" s="788">
        <f t="shared" ref="U48" si="64">T48*(1+U49)</f>
        <v>15083.218007100168</v>
      </c>
      <c r="V48" s="788">
        <f t="shared" ref="V48" si="65">U48*(1+V49)</f>
        <v>15384.882367242171</v>
      </c>
      <c r="W48" s="788">
        <f t="shared" ref="W48" si="66">V48*(1+W49)</f>
        <v>15692.580014587014</v>
      </c>
      <c r="X48" s="788">
        <f t="shared" ref="X48" si="67">W48*(1+X49)</f>
        <v>16006.431614878755</v>
      </c>
      <c r="Y48" s="788">
        <f t="shared" ref="Y48" si="68">X48*(1+Y49)</f>
        <v>16326.56024717633</v>
      </c>
      <c r="Z48" s="788">
        <f t="shared" ref="Z48" si="69">Y48*(1+Z49)</f>
        <v>16653.091452119857</v>
      </c>
      <c r="AA48" s="788">
        <f t="shared" ref="AA48" si="70">Z48*(1+AA49)</f>
        <v>16986.153281162256</v>
      </c>
      <c r="AB48" s="788">
        <f t="shared" ref="AB48" si="71">AA48*(1+AB49)</f>
        <v>17325.876346785502</v>
      </c>
      <c r="AC48" s="788">
        <f t="shared" ref="AC48" si="72">AB48*(1+AC49)</f>
        <v>17672.393873721212</v>
      </c>
      <c r="AD48" s="788">
        <f>AC48*(1+AD49)</f>
        <v>18025.841751195636</v>
      </c>
    </row>
    <row r="49" spans="2:30" ht="12.75" customHeight="1">
      <c r="B49" s="1439"/>
      <c r="C49" s="767" t="s">
        <v>560</v>
      </c>
      <c r="D49" s="768">
        <v>3.7499999999999999E-2</v>
      </c>
      <c r="E49" s="768">
        <v>3.7499999999999999E-2</v>
      </c>
      <c r="F49" s="768">
        <v>3.5000000000000003E-2</v>
      </c>
      <c r="G49" s="779">
        <v>0.03</v>
      </c>
      <c r="H49" s="977">
        <v>0.02</v>
      </c>
      <c r="I49" s="778">
        <v>0.02</v>
      </c>
      <c r="J49" s="768">
        <v>0.02</v>
      </c>
      <c r="K49" s="768">
        <v>0.02</v>
      </c>
      <c r="L49" s="768">
        <v>0.02</v>
      </c>
      <c r="M49" s="768">
        <v>0.02</v>
      </c>
      <c r="N49" s="768">
        <v>0.02</v>
      </c>
      <c r="O49" s="768">
        <v>0.02</v>
      </c>
      <c r="P49" s="768">
        <v>0.02</v>
      </c>
      <c r="Q49" s="768">
        <v>0.02</v>
      </c>
      <c r="R49" s="768">
        <v>0.02</v>
      </c>
      <c r="S49" s="768">
        <v>0.02</v>
      </c>
      <c r="T49" s="768">
        <v>0.02</v>
      </c>
      <c r="U49" s="768">
        <v>0.02</v>
      </c>
      <c r="V49" s="768">
        <v>0.02</v>
      </c>
      <c r="W49" s="768">
        <v>0.02</v>
      </c>
      <c r="X49" s="768">
        <v>0.02</v>
      </c>
      <c r="Y49" s="768">
        <v>0.02</v>
      </c>
      <c r="Z49" s="768">
        <v>0.02</v>
      </c>
      <c r="AA49" s="768">
        <v>0.02</v>
      </c>
      <c r="AB49" s="768">
        <v>0.02</v>
      </c>
      <c r="AC49" s="768">
        <v>0.02</v>
      </c>
      <c r="AD49" s="768">
        <v>0.02</v>
      </c>
    </row>
    <row r="50" spans="2:30" ht="12.75" customHeight="1" thickBot="1">
      <c r="B50" s="1440"/>
      <c r="C50" s="769" t="s">
        <v>129</v>
      </c>
      <c r="D50" s="770">
        <v>0.28999999999999998</v>
      </c>
      <c r="E50" s="770">
        <v>0.28000000000000003</v>
      </c>
      <c r="F50" s="770">
        <v>0.27500000000000002</v>
      </c>
      <c r="G50" s="780">
        <v>0.27500000000000002</v>
      </c>
      <c r="H50" s="977">
        <v>0.26500000000000001</v>
      </c>
      <c r="I50" s="778">
        <v>0.26500000000000001</v>
      </c>
      <c r="J50" s="768">
        <v>0.26500000000000001</v>
      </c>
      <c r="K50" s="768">
        <v>0.26500000000000001</v>
      </c>
      <c r="L50" s="768">
        <v>0.26500000000000001</v>
      </c>
      <c r="M50" s="768">
        <v>0.26500000000000001</v>
      </c>
      <c r="N50" s="768">
        <v>0.26500000000000001</v>
      </c>
      <c r="O50" s="768">
        <v>0.26500000000000001</v>
      </c>
      <c r="P50" s="768">
        <v>0.26500000000000001</v>
      </c>
      <c r="Q50" s="768">
        <v>0.26500000000000001</v>
      </c>
      <c r="R50" s="768">
        <v>0.26500000000000001</v>
      </c>
      <c r="S50" s="768">
        <v>0.26500000000000001</v>
      </c>
      <c r="T50" s="768">
        <v>0.26500000000000001</v>
      </c>
      <c r="U50" s="768">
        <v>0.26500000000000001</v>
      </c>
      <c r="V50" s="768">
        <v>0.26500000000000001</v>
      </c>
      <c r="W50" s="768">
        <v>0.26500000000000001</v>
      </c>
      <c r="X50" s="768">
        <v>0.26500000000000001</v>
      </c>
      <c r="Y50" s="768">
        <v>0.26500000000000001</v>
      </c>
      <c r="Z50" s="768">
        <v>0.26500000000000001</v>
      </c>
      <c r="AA50" s="768">
        <v>0.26500000000000001</v>
      </c>
      <c r="AB50" s="768">
        <v>0.26500000000000001</v>
      </c>
      <c r="AC50" s="768">
        <v>0.26500000000000001</v>
      </c>
      <c r="AD50" s="768">
        <v>0.26500000000000001</v>
      </c>
    </row>
    <row r="53" spans="2:30" s="550" customFormat="1" ht="14">
      <c r="B53" s="559" t="s">
        <v>563</v>
      </c>
    </row>
    <row r="56" spans="2:30" ht="12.75" customHeight="1">
      <c r="G56" s="1455" t="s">
        <v>564</v>
      </c>
      <c r="H56" s="1456"/>
      <c r="I56" s="1456"/>
      <c r="J56" s="1456"/>
      <c r="K56" s="1456"/>
      <c r="L56" s="1456"/>
      <c r="M56" s="1456"/>
      <c r="N56" s="1456"/>
      <c r="O56" s="1456"/>
      <c r="P56" s="1456"/>
      <c r="Q56" s="1456"/>
      <c r="R56" s="1456"/>
      <c r="S56" s="1456"/>
      <c r="T56" s="1456"/>
      <c r="U56" s="1457"/>
      <c r="W56" s="1463" t="s">
        <v>565</v>
      </c>
      <c r="X56" s="1463"/>
      <c r="Y56" s="1463"/>
      <c r="Z56" s="1463"/>
      <c r="AA56" s="1463"/>
      <c r="AB56" s="1463"/>
      <c r="AC56" s="1463"/>
    </row>
    <row r="57" spans="2:30" ht="12.75" customHeight="1">
      <c r="G57" s="924" t="s">
        <v>566</v>
      </c>
      <c r="H57" s="924" t="s">
        <v>567</v>
      </c>
      <c r="I57" s="1447" t="s">
        <v>568</v>
      </c>
      <c r="J57" s="1447"/>
      <c r="K57" s="1447" t="s">
        <v>569</v>
      </c>
      <c r="L57" s="1447"/>
      <c r="M57" s="1447"/>
      <c r="N57" s="1448" t="s">
        <v>570</v>
      </c>
      <c r="O57" s="1448"/>
      <c r="P57" s="1449" t="s">
        <v>571</v>
      </c>
      <c r="Q57" s="1450"/>
      <c r="R57" s="1453" t="s">
        <v>572</v>
      </c>
      <c r="S57" s="1447"/>
      <c r="T57" s="1453" t="s">
        <v>573</v>
      </c>
      <c r="U57" s="1454"/>
      <c r="W57" s="1412" t="s">
        <v>574</v>
      </c>
      <c r="X57" s="1412"/>
      <c r="Y57" s="832" t="s">
        <v>575</v>
      </c>
      <c r="Z57" s="832" t="s">
        <v>576</v>
      </c>
      <c r="AA57" s="832" t="s">
        <v>577</v>
      </c>
      <c r="AB57" s="1473" t="s">
        <v>572</v>
      </c>
      <c r="AC57" s="1474"/>
    </row>
    <row r="58" spans="2:30" ht="12.75" customHeight="1">
      <c r="G58" s="925" t="s">
        <v>578</v>
      </c>
      <c r="H58" s="925" t="s">
        <v>579</v>
      </c>
      <c r="I58" s="1392">
        <v>399.5</v>
      </c>
      <c r="J58" s="1392"/>
      <c r="K58" s="1392">
        <v>400</v>
      </c>
      <c r="L58" s="1392"/>
      <c r="M58" s="1392"/>
      <c r="N58" s="1428">
        <v>4.7500000000000001E-2</v>
      </c>
      <c r="O58" s="1428"/>
      <c r="P58" s="1392">
        <f>K58*N58</f>
        <v>19</v>
      </c>
      <c r="Q58" s="1392"/>
      <c r="R58" s="1446">
        <v>2025</v>
      </c>
      <c r="S58" s="1446"/>
      <c r="T58" s="1446" t="s">
        <v>580</v>
      </c>
      <c r="U58" s="1462"/>
      <c r="W58" s="1477" t="s">
        <v>581</v>
      </c>
      <c r="X58" s="1477"/>
      <c r="Y58" s="995" t="s">
        <v>582</v>
      </c>
      <c r="Z58" s="996">
        <v>20</v>
      </c>
      <c r="AA58" s="995" t="s">
        <v>583</v>
      </c>
      <c r="AB58" s="1475">
        <v>2031</v>
      </c>
      <c r="AC58" s="1476"/>
    </row>
    <row r="59" spans="2:30" ht="12.75" customHeight="1">
      <c r="G59" s="925" t="s">
        <v>584</v>
      </c>
      <c r="H59" s="925" t="s">
        <v>585</v>
      </c>
      <c r="I59" s="1392">
        <v>398.8</v>
      </c>
      <c r="J59" s="1392"/>
      <c r="K59" s="1392">
        <v>400</v>
      </c>
      <c r="L59" s="1392"/>
      <c r="M59" s="1392"/>
      <c r="N59" s="1428">
        <v>4.7500000000000001E-2</v>
      </c>
      <c r="O59" s="1428"/>
      <c r="P59" s="1392">
        <f t="shared" ref="P59:P77" si="73">K59*N59</f>
        <v>19</v>
      </c>
      <c r="Q59" s="1392"/>
      <c r="R59" s="1446">
        <v>2026</v>
      </c>
      <c r="S59" s="1446"/>
      <c r="T59" s="1446" t="s">
        <v>586</v>
      </c>
      <c r="U59" s="1462"/>
      <c r="W59" s="1478" t="s">
        <v>587</v>
      </c>
      <c r="X59" s="1478"/>
      <c r="Y59" s="993" t="s">
        <v>588</v>
      </c>
      <c r="Z59" s="994">
        <v>750</v>
      </c>
      <c r="AA59" s="993" t="s">
        <v>589</v>
      </c>
      <c r="AB59" s="1471">
        <v>2027</v>
      </c>
      <c r="AC59" s="1472"/>
    </row>
    <row r="60" spans="2:30" ht="12.75" customHeight="1">
      <c r="G60" s="925" t="s">
        <v>590</v>
      </c>
      <c r="H60" s="925" t="s">
        <v>591</v>
      </c>
      <c r="I60" s="1392">
        <v>598.29999999999995</v>
      </c>
      <c r="J60" s="1392"/>
      <c r="K60" s="1392">
        <v>600</v>
      </c>
      <c r="L60" s="1392"/>
      <c r="M60" s="1392"/>
      <c r="N60" s="1428">
        <v>3.6999999999999998E-2</v>
      </c>
      <c r="O60" s="1428"/>
      <c r="P60" s="1392">
        <f t="shared" si="73"/>
        <v>22.2</v>
      </c>
      <c r="Q60" s="1392"/>
      <c r="R60" s="1446">
        <v>2027</v>
      </c>
      <c r="S60" s="1446"/>
      <c r="T60" s="1446" t="s">
        <v>586</v>
      </c>
      <c r="U60" s="1462"/>
      <c r="W60" s="1478" t="s">
        <v>592</v>
      </c>
      <c r="X60" s="1478"/>
      <c r="Y60" s="993" t="s">
        <v>593</v>
      </c>
      <c r="Z60" s="994">
        <v>2250</v>
      </c>
      <c r="AA60" s="993" t="s">
        <v>594</v>
      </c>
      <c r="AB60" s="1471">
        <v>2028</v>
      </c>
      <c r="AC60" s="1472"/>
    </row>
    <row r="61" spans="2:30" ht="12.75" customHeight="1">
      <c r="G61" s="925" t="s">
        <v>595</v>
      </c>
      <c r="H61" s="925" t="s">
        <v>596</v>
      </c>
      <c r="I61" s="1392">
        <v>498.2</v>
      </c>
      <c r="J61" s="1392"/>
      <c r="K61" s="1392">
        <v>500</v>
      </c>
      <c r="L61" s="1392"/>
      <c r="M61" s="1392"/>
      <c r="N61" s="1428">
        <v>3.5000000000000003E-2</v>
      </c>
      <c r="O61" s="1428"/>
      <c r="P61" s="1392">
        <f t="shared" si="73"/>
        <v>17.5</v>
      </c>
      <c r="Q61" s="1392"/>
      <c r="R61" s="1446">
        <v>2028</v>
      </c>
      <c r="S61" s="1446"/>
      <c r="T61" s="1446" t="s">
        <v>580</v>
      </c>
      <c r="U61" s="1462"/>
      <c r="W61" s="1478" t="s">
        <v>597</v>
      </c>
      <c r="X61" s="1478"/>
      <c r="Y61" s="993" t="s">
        <v>593</v>
      </c>
      <c r="Z61" s="994">
        <v>491.25</v>
      </c>
      <c r="AA61" s="993" t="s">
        <v>594</v>
      </c>
      <c r="AB61" s="1471">
        <v>2028</v>
      </c>
      <c r="AC61" s="1472"/>
    </row>
    <row r="62" spans="2:30" ht="12.75" customHeight="1">
      <c r="G62" s="920" t="s">
        <v>595</v>
      </c>
      <c r="H62" s="920" t="s">
        <v>598</v>
      </c>
      <c r="I62" s="1393">
        <v>493.9</v>
      </c>
      <c r="J62" s="1393"/>
      <c r="K62" s="1393">
        <v>500</v>
      </c>
      <c r="L62" s="1393"/>
      <c r="M62" s="1393"/>
      <c r="N62" s="1394">
        <v>4.4999999999999998E-2</v>
      </c>
      <c r="O62" s="1394"/>
      <c r="P62" s="1393">
        <f t="shared" si="73"/>
        <v>22.5</v>
      </c>
      <c r="Q62" s="1393"/>
      <c r="R62" s="1455">
        <v>2048</v>
      </c>
      <c r="S62" s="1455"/>
      <c r="T62" s="1455" t="s">
        <v>580</v>
      </c>
      <c r="U62" s="1463"/>
      <c r="W62" s="1478" t="s">
        <v>599</v>
      </c>
      <c r="X62" s="1478"/>
      <c r="Y62" s="993" t="s">
        <v>600</v>
      </c>
      <c r="Z62" s="994">
        <v>1000</v>
      </c>
      <c r="AA62" s="993" t="s">
        <v>601</v>
      </c>
      <c r="AB62" s="1471">
        <v>2026</v>
      </c>
      <c r="AC62" s="1471"/>
    </row>
    <row r="63" spans="2:30" ht="12.75" customHeight="1">
      <c r="G63" s="925" t="s">
        <v>602</v>
      </c>
      <c r="H63" s="925" t="s">
        <v>603</v>
      </c>
      <c r="I63" s="1392">
        <v>697.1</v>
      </c>
      <c r="J63" s="1392"/>
      <c r="K63" s="1392">
        <v>700</v>
      </c>
      <c r="L63" s="1392"/>
      <c r="M63" s="1392"/>
      <c r="N63" s="1428">
        <v>3.5999999999999997E-2</v>
      </c>
      <c r="O63" s="1428"/>
      <c r="P63" s="1392">
        <f t="shared" si="73"/>
        <v>25.2</v>
      </c>
      <c r="Q63" s="1392"/>
      <c r="R63" s="1446">
        <v>2029</v>
      </c>
      <c r="S63" s="1446"/>
      <c r="T63" s="1446" t="s">
        <v>604</v>
      </c>
      <c r="U63" s="1462"/>
      <c r="W63" s="1473" t="s">
        <v>487</v>
      </c>
      <c r="X63" s="1473"/>
      <c r="Y63" s="936" t="s">
        <v>70</v>
      </c>
      <c r="Z63" s="931">
        <f>SUM(Z58:Z62)</f>
        <v>4511.25</v>
      </c>
      <c r="AA63" s="936" t="s">
        <v>70</v>
      </c>
      <c r="AB63" s="1412" t="s">
        <v>70</v>
      </c>
      <c r="AC63" s="1412"/>
    </row>
    <row r="64" spans="2:30" ht="12.75" customHeight="1">
      <c r="G64" s="920" t="s">
        <v>602</v>
      </c>
      <c r="H64" s="920" t="s">
        <v>605</v>
      </c>
      <c r="I64" s="1393">
        <v>593.20000000000005</v>
      </c>
      <c r="J64" s="1393"/>
      <c r="K64" s="1393">
        <v>600</v>
      </c>
      <c r="L64" s="1393"/>
      <c r="M64" s="1393"/>
      <c r="N64" s="1394">
        <v>4.1000000000000002E-2</v>
      </c>
      <c r="O64" s="1394"/>
      <c r="P64" s="1393">
        <f t="shared" si="73"/>
        <v>24.6</v>
      </c>
      <c r="Q64" s="1393"/>
      <c r="R64" s="1455">
        <v>2048</v>
      </c>
      <c r="S64" s="1455"/>
      <c r="T64" s="1455" t="s">
        <v>604</v>
      </c>
      <c r="U64" s="1463"/>
    </row>
    <row r="65" spans="2:29" ht="12.75" customHeight="1">
      <c r="G65" s="925" t="s">
        <v>606</v>
      </c>
      <c r="H65" s="925" t="s">
        <v>607</v>
      </c>
      <c r="I65" s="1392">
        <v>498.8</v>
      </c>
      <c r="J65" s="1392"/>
      <c r="K65" s="1392">
        <v>500</v>
      </c>
      <c r="L65" s="1392"/>
      <c r="M65" s="1392"/>
      <c r="N65" s="1428">
        <v>4.3999999999999997E-2</v>
      </c>
      <c r="O65" s="1428"/>
      <c r="P65" s="1392">
        <f t="shared" si="73"/>
        <v>22</v>
      </c>
      <c r="Q65" s="1392"/>
      <c r="R65" s="1446">
        <v>2026</v>
      </c>
      <c r="S65" s="1446"/>
      <c r="T65" s="1446" t="s">
        <v>580</v>
      </c>
      <c r="U65" s="1462"/>
    </row>
    <row r="66" spans="2:29" ht="12.75" customHeight="1">
      <c r="G66" s="925" t="s">
        <v>606</v>
      </c>
      <c r="H66" s="925" t="s">
        <v>608</v>
      </c>
      <c r="I66" s="1392">
        <v>497.3</v>
      </c>
      <c r="J66" s="1392"/>
      <c r="K66" s="1392">
        <v>500</v>
      </c>
      <c r="L66" s="1392"/>
      <c r="M66" s="1392"/>
      <c r="N66" s="1428">
        <v>4.65E-2</v>
      </c>
      <c r="O66" s="1428"/>
      <c r="P66" s="1392">
        <f t="shared" si="73"/>
        <v>23.25</v>
      </c>
      <c r="Q66" s="1392"/>
      <c r="R66" s="1446">
        <v>2029</v>
      </c>
      <c r="S66" s="1446"/>
      <c r="T66" s="1446" t="s">
        <v>580</v>
      </c>
      <c r="U66" s="1462"/>
    </row>
    <row r="67" spans="2:29" ht="12.75" customHeight="1">
      <c r="G67" s="920" t="s">
        <v>606</v>
      </c>
      <c r="H67" s="920" t="s">
        <v>609</v>
      </c>
      <c r="I67" s="1393">
        <v>493.8</v>
      </c>
      <c r="J67" s="1393"/>
      <c r="K67" s="1393">
        <v>500</v>
      </c>
      <c r="L67" s="1393"/>
      <c r="M67" s="1393"/>
      <c r="N67" s="1394">
        <v>5.2499999999999998E-2</v>
      </c>
      <c r="O67" s="1394"/>
      <c r="P67" s="1393">
        <f t="shared" si="73"/>
        <v>26.25</v>
      </c>
      <c r="Q67" s="1393"/>
      <c r="R67" s="1455">
        <v>2049</v>
      </c>
      <c r="S67" s="1455"/>
      <c r="T67" s="1455" t="s">
        <v>580</v>
      </c>
      <c r="U67" s="1463"/>
      <c r="W67" s="1464" t="s">
        <v>610</v>
      </c>
      <c r="X67" s="1464"/>
      <c r="Y67" s="1464"/>
    </row>
    <row r="68" spans="2:29" ht="12.75" customHeight="1">
      <c r="G68" s="927" t="s">
        <v>611</v>
      </c>
      <c r="H68" s="927" t="s">
        <v>612</v>
      </c>
      <c r="I68" s="1395">
        <v>796.1</v>
      </c>
      <c r="J68" s="1395"/>
      <c r="K68" s="1395">
        <v>800</v>
      </c>
      <c r="L68" s="1395"/>
      <c r="M68" s="1395"/>
      <c r="N68" s="1396">
        <v>3.15E-2</v>
      </c>
      <c r="O68" s="1396"/>
      <c r="P68" s="1395">
        <f t="shared" si="73"/>
        <v>25.2</v>
      </c>
      <c r="Q68" s="1395"/>
      <c r="R68" s="1458">
        <v>2030</v>
      </c>
      <c r="S68" s="1458"/>
      <c r="T68" s="1458" t="s">
        <v>604</v>
      </c>
      <c r="U68" s="1460"/>
      <c r="W68" s="1464"/>
      <c r="X68" s="1464"/>
      <c r="Y68" s="1464"/>
    </row>
    <row r="69" spans="2:29" ht="12.75" customHeight="1">
      <c r="G69" s="988" t="s">
        <v>613</v>
      </c>
      <c r="H69" s="988" t="s">
        <v>614</v>
      </c>
      <c r="I69" s="1441">
        <v>596.20000000000005</v>
      </c>
      <c r="J69" s="1441"/>
      <c r="K69" s="1441">
        <v>600</v>
      </c>
      <c r="L69" s="1441"/>
      <c r="M69" s="1441"/>
      <c r="N69" s="1394">
        <v>2.8750000000000001E-2</v>
      </c>
      <c r="O69" s="1394"/>
      <c r="P69" s="1441">
        <f t="shared" si="73"/>
        <v>17.25</v>
      </c>
      <c r="Q69" s="1441"/>
      <c r="R69" s="1459">
        <v>2051</v>
      </c>
      <c r="S69" s="1459"/>
      <c r="T69" s="1459" t="s">
        <v>580</v>
      </c>
      <c r="U69" s="1461"/>
      <c r="W69" s="1412" t="s">
        <v>615</v>
      </c>
      <c r="X69" s="1412"/>
      <c r="Y69" s="931">
        <v>957.5</v>
      </c>
    </row>
    <row r="70" spans="2:29" ht="12.75" customHeight="1">
      <c r="G70" s="920" t="s">
        <v>613</v>
      </c>
      <c r="H70" s="920" t="s">
        <v>616</v>
      </c>
      <c r="I70" s="1393">
        <v>590.6</v>
      </c>
      <c r="J70" s="1393"/>
      <c r="K70" s="1393">
        <v>600</v>
      </c>
      <c r="L70" s="1393"/>
      <c r="M70" s="1393"/>
      <c r="N70" s="1394">
        <v>3.7499999999999999E-2</v>
      </c>
      <c r="O70" s="1394"/>
      <c r="P70" s="1393">
        <f t="shared" si="73"/>
        <v>22.5</v>
      </c>
      <c r="Q70" s="1393"/>
      <c r="R70" s="1455">
        <v>2051</v>
      </c>
      <c r="S70" s="1455"/>
      <c r="T70" s="1455" t="s">
        <v>580</v>
      </c>
      <c r="U70" s="1463"/>
      <c r="W70" s="1412" t="s">
        <v>617</v>
      </c>
      <c r="X70" s="1412"/>
      <c r="Y70" s="931">
        <v>1404.9</v>
      </c>
    </row>
    <row r="71" spans="2:29" ht="12.75" customHeight="1">
      <c r="G71" s="927" t="s">
        <v>618</v>
      </c>
      <c r="H71" s="927" t="s">
        <v>619</v>
      </c>
      <c r="I71" s="1395">
        <v>990.5</v>
      </c>
      <c r="J71" s="1395"/>
      <c r="K71" s="1395">
        <v>1000</v>
      </c>
      <c r="L71" s="1395"/>
      <c r="M71" s="1395"/>
      <c r="N71" s="1396">
        <v>2.2499999999999999E-2</v>
      </c>
      <c r="O71" s="1396"/>
      <c r="P71" s="1395">
        <f t="shared" si="73"/>
        <v>22.5</v>
      </c>
      <c r="Q71" s="1395"/>
      <c r="R71" s="1458">
        <v>2032</v>
      </c>
      <c r="S71" s="1458"/>
      <c r="T71" s="1458" t="s">
        <v>604</v>
      </c>
      <c r="U71" s="1460"/>
      <c r="W71" s="1412" t="s">
        <v>620</v>
      </c>
      <c r="X71" s="1412"/>
      <c r="Y71" s="931">
        <v>603.79999999999995</v>
      </c>
    </row>
    <row r="72" spans="2:29" ht="12.75" customHeight="1">
      <c r="G72" s="925" t="s">
        <v>621</v>
      </c>
      <c r="H72" s="925" t="s">
        <v>622</v>
      </c>
      <c r="I72" s="1392">
        <v>549.79999999999995</v>
      </c>
      <c r="J72" s="1392"/>
      <c r="K72" s="1392">
        <v>550</v>
      </c>
      <c r="L72" s="1392"/>
      <c r="M72" s="1392"/>
      <c r="N72" s="1428">
        <v>3.5999999999999997E-2</v>
      </c>
      <c r="O72" s="1428"/>
      <c r="P72" s="1392">
        <f t="shared" si="73"/>
        <v>19.799999999999997</v>
      </c>
      <c r="Q72" s="1392"/>
      <c r="R72" s="1446">
        <v>2025</v>
      </c>
      <c r="S72" s="1446"/>
      <c r="T72" s="1446" t="s">
        <v>580</v>
      </c>
      <c r="U72" s="1462"/>
      <c r="W72" s="1412" t="s">
        <v>623</v>
      </c>
      <c r="X72" s="1412"/>
      <c r="Y72" s="931">
        <v>1801.5</v>
      </c>
    </row>
    <row r="73" spans="2:29" ht="12.75" customHeight="1">
      <c r="G73" s="926" t="s">
        <v>621</v>
      </c>
      <c r="H73" s="926" t="s">
        <v>596</v>
      </c>
      <c r="I73" s="1392">
        <v>597.79999999999995</v>
      </c>
      <c r="J73" s="1392"/>
      <c r="K73" s="1392">
        <v>600</v>
      </c>
      <c r="L73" s="1392"/>
      <c r="M73" s="1392"/>
      <c r="N73" s="1428">
        <v>4.3499999999999997E-2</v>
      </c>
      <c r="O73" s="1428"/>
      <c r="P73" s="1392">
        <f t="shared" si="73"/>
        <v>26.099999999999998</v>
      </c>
      <c r="Q73" s="1392"/>
      <c r="R73" s="1446">
        <v>2028</v>
      </c>
      <c r="S73" s="1446"/>
      <c r="T73" s="1446" t="s">
        <v>580</v>
      </c>
      <c r="U73" s="1462"/>
      <c r="W73" s="1412" t="s">
        <v>624</v>
      </c>
      <c r="X73" s="1412"/>
      <c r="Y73" s="931">
        <v>900</v>
      </c>
    </row>
    <row r="74" spans="2:29" ht="12.75" customHeight="1">
      <c r="G74" s="927" t="s">
        <v>621</v>
      </c>
      <c r="H74" s="927" t="s">
        <v>625</v>
      </c>
      <c r="I74" s="1395">
        <v>694.4</v>
      </c>
      <c r="J74" s="1395"/>
      <c r="K74" s="1395">
        <v>700</v>
      </c>
      <c r="L74" s="1395"/>
      <c r="M74" s="1395"/>
      <c r="N74" s="1396">
        <v>4.7500000000000001E-2</v>
      </c>
      <c r="O74" s="1396"/>
      <c r="P74" s="1395">
        <f t="shared" si="73"/>
        <v>33.25</v>
      </c>
      <c r="Q74" s="1395"/>
      <c r="R74" s="1458">
        <v>2033</v>
      </c>
      <c r="S74" s="1458"/>
      <c r="T74" s="1458" t="s">
        <v>580</v>
      </c>
      <c r="U74" s="1460"/>
    </row>
    <row r="75" spans="2:29" ht="12.75" customHeight="1">
      <c r="G75" s="925" t="s">
        <v>626</v>
      </c>
      <c r="H75" s="925" t="s">
        <v>627</v>
      </c>
      <c r="I75" s="1392">
        <v>497.9</v>
      </c>
      <c r="J75" s="1392"/>
      <c r="K75" s="1392">
        <v>500</v>
      </c>
      <c r="L75" s="1392"/>
      <c r="M75" s="1392"/>
      <c r="N75" s="1428">
        <v>0.05</v>
      </c>
      <c r="O75" s="1428"/>
      <c r="P75" s="1392">
        <f t="shared" si="73"/>
        <v>25</v>
      </c>
      <c r="Q75" s="1392"/>
      <c r="R75" s="1446">
        <v>2026</v>
      </c>
      <c r="S75" s="1446"/>
      <c r="T75" s="1446" t="s">
        <v>604</v>
      </c>
      <c r="U75" s="1462"/>
    </row>
    <row r="76" spans="2:29" ht="12.65" customHeight="1">
      <c r="G76" s="928" t="s">
        <v>628</v>
      </c>
      <c r="H76" s="928" t="s">
        <v>629</v>
      </c>
      <c r="I76" s="1395">
        <v>740.7</v>
      </c>
      <c r="J76" s="1395"/>
      <c r="K76" s="1395">
        <v>750</v>
      </c>
      <c r="L76" s="1395"/>
      <c r="M76" s="1395"/>
      <c r="N76" s="1396">
        <v>4.9000000000000002E-2</v>
      </c>
      <c r="O76" s="1396"/>
      <c r="P76" s="1395">
        <f t="shared" si="73"/>
        <v>36.75</v>
      </c>
      <c r="Q76" s="1395"/>
      <c r="R76" s="1458">
        <v>2034</v>
      </c>
      <c r="S76" s="1458"/>
      <c r="T76" s="1458" t="s">
        <v>580</v>
      </c>
      <c r="U76" s="1460"/>
    </row>
    <row r="77" spans="2:29" ht="12.65" customHeight="1">
      <c r="G77" s="926" t="s">
        <v>630</v>
      </c>
      <c r="H77" s="926" t="s">
        <v>631</v>
      </c>
      <c r="I77" s="1392">
        <v>397.2</v>
      </c>
      <c r="J77" s="1392"/>
      <c r="K77" s="1392">
        <v>400</v>
      </c>
      <c r="L77" s="1392"/>
      <c r="M77" s="1392"/>
      <c r="N77" s="1428">
        <v>4.8000000000000001E-2</v>
      </c>
      <c r="O77" s="1428"/>
      <c r="P77" s="1392">
        <f t="shared" si="73"/>
        <v>19.2</v>
      </c>
      <c r="Q77" s="1392"/>
      <c r="R77" s="1446">
        <v>2029</v>
      </c>
      <c r="S77" s="1446"/>
      <c r="T77" s="1446" t="s">
        <v>632</v>
      </c>
      <c r="U77" s="1462"/>
    </row>
    <row r="78" spans="2:29" ht="12.75" customHeight="1">
      <c r="G78" s="929" t="s">
        <v>487</v>
      </c>
      <c r="H78" s="930" t="s">
        <v>70</v>
      </c>
      <c r="I78" s="1442">
        <f>SUM(I58:J77)</f>
        <v>11620.1</v>
      </c>
      <c r="J78" s="1442"/>
      <c r="K78" s="1442">
        <f>SUM(K59:M76)</f>
        <v>10900</v>
      </c>
      <c r="L78" s="1442"/>
      <c r="M78" s="1442"/>
      <c r="N78" s="1443">
        <f>AVERAGE(N58:O77)</f>
        <v>4.1312500000000009E-2</v>
      </c>
      <c r="O78" s="1444"/>
      <c r="P78" s="1445">
        <f>SUM(P58:Q77)</f>
        <v>469.05</v>
      </c>
      <c r="Q78" s="1445"/>
      <c r="R78" s="1451" t="s">
        <v>70</v>
      </c>
      <c r="S78" s="1444"/>
      <c r="T78" s="1451" t="s">
        <v>70</v>
      </c>
      <c r="U78" s="1452"/>
    </row>
    <row r="80" spans="2:29" ht="12.75" customHeight="1">
      <c r="B80" s="921" t="s">
        <v>633</v>
      </c>
      <c r="C80" s="986">
        <v>2025</v>
      </c>
      <c r="D80" s="986">
        <v>2026</v>
      </c>
      <c r="E80" s="986">
        <v>2027</v>
      </c>
      <c r="F80" s="986">
        <v>2028</v>
      </c>
      <c r="G80" s="986">
        <v>2029</v>
      </c>
      <c r="H80" s="987">
        <v>2030</v>
      </c>
      <c r="I80" s="935">
        <v>2031</v>
      </c>
      <c r="J80" s="986">
        <v>2032</v>
      </c>
      <c r="K80" s="986">
        <v>2033</v>
      </c>
      <c r="L80" s="986">
        <v>2034</v>
      </c>
      <c r="M80" s="986">
        <v>2035</v>
      </c>
      <c r="N80" s="986">
        <v>2036</v>
      </c>
      <c r="O80" s="986">
        <v>2037</v>
      </c>
      <c r="P80" s="986">
        <v>2038</v>
      </c>
      <c r="Q80" s="986">
        <v>2039</v>
      </c>
      <c r="R80" s="986">
        <v>2040</v>
      </c>
      <c r="S80" s="986">
        <v>2041</v>
      </c>
      <c r="T80" s="986">
        <v>2042</v>
      </c>
      <c r="U80" s="986">
        <v>2043</v>
      </c>
      <c r="V80" s="986">
        <v>2044</v>
      </c>
      <c r="W80" s="986">
        <v>2045</v>
      </c>
      <c r="X80" s="986">
        <v>2046</v>
      </c>
      <c r="Y80" s="986">
        <v>2047</v>
      </c>
      <c r="Z80" s="986">
        <v>2048</v>
      </c>
      <c r="AA80" s="986">
        <v>2049</v>
      </c>
      <c r="AB80" s="986">
        <v>2050</v>
      </c>
      <c r="AC80" s="551">
        <v>2051</v>
      </c>
    </row>
    <row r="81" spans="2:30" ht="12.75" customHeight="1">
      <c r="B81" s="922" t="s">
        <v>634</v>
      </c>
      <c r="C81" s="932">
        <f>I58+I72</f>
        <v>949.3</v>
      </c>
      <c r="D81" s="932">
        <f>I59+I75+I65</f>
        <v>1395.5</v>
      </c>
      <c r="E81" s="932">
        <f>I60</f>
        <v>598.29999999999995</v>
      </c>
      <c r="F81" s="932">
        <f>I61+I73</f>
        <v>1096</v>
      </c>
      <c r="G81" s="932">
        <f>I77+I66+I63</f>
        <v>1591.6</v>
      </c>
      <c r="H81" s="932">
        <f>I68</f>
        <v>796.1</v>
      </c>
      <c r="I81" s="932"/>
      <c r="J81" s="932">
        <f>I71</f>
        <v>990.5</v>
      </c>
      <c r="K81" s="932">
        <f>I74</f>
        <v>694.4</v>
      </c>
      <c r="L81" s="932">
        <f>I76</f>
        <v>740.7</v>
      </c>
      <c r="M81" s="932">
        <f>+C83</f>
        <v>400</v>
      </c>
      <c r="N81" s="932">
        <f>+D83</f>
        <v>1700</v>
      </c>
      <c r="O81" s="932">
        <f>+E83</f>
        <v>750</v>
      </c>
      <c r="P81" s="932">
        <f>F83-K82</f>
        <v>1000</v>
      </c>
      <c r="Q81" s="932">
        <f t="shared" ref="Q81:Y81" si="74">G83</f>
        <v>1700</v>
      </c>
      <c r="R81" s="932">
        <f t="shared" si="74"/>
        <v>1350</v>
      </c>
      <c r="S81" s="932">
        <f t="shared" si="74"/>
        <v>450</v>
      </c>
      <c r="T81" s="932">
        <f t="shared" si="74"/>
        <v>1500</v>
      </c>
      <c r="U81" s="932">
        <f t="shared" si="74"/>
        <v>2600</v>
      </c>
      <c r="V81" s="932">
        <f t="shared" si="74"/>
        <v>1000</v>
      </c>
      <c r="W81" s="932">
        <f t="shared" si="74"/>
        <v>950</v>
      </c>
      <c r="X81" s="932">
        <f t="shared" si="74"/>
        <v>1650</v>
      </c>
      <c r="Y81" s="932">
        <f t="shared" si="74"/>
        <v>1000</v>
      </c>
      <c r="Z81" s="932">
        <f>I62+I64+P83</f>
        <v>2337.1</v>
      </c>
      <c r="AA81" s="932">
        <f>+I67+Q83</f>
        <v>2193.8000000000002</v>
      </c>
      <c r="AB81" s="932">
        <f>R83</f>
        <v>1350</v>
      </c>
      <c r="AC81" s="938">
        <f>I70+I69+S83</f>
        <v>2136.8000000000002</v>
      </c>
      <c r="AD81" s="938"/>
    </row>
    <row r="82" spans="2:30" ht="12.75" customHeight="1">
      <c r="B82" s="922" t="s">
        <v>635</v>
      </c>
      <c r="C82" s="932"/>
      <c r="D82" s="932">
        <f>Z62</f>
        <v>1000</v>
      </c>
      <c r="E82" s="932">
        <f>Z59</f>
        <v>750</v>
      </c>
      <c r="F82" s="932">
        <f>Z60+Z61</f>
        <v>2741.25</v>
      </c>
      <c r="G82" s="932"/>
      <c r="H82" s="932"/>
      <c r="I82" s="932">
        <f>Z58</f>
        <v>20</v>
      </c>
      <c r="J82" s="932"/>
      <c r="K82" s="932">
        <v>2000</v>
      </c>
      <c r="L82" s="932"/>
      <c r="M82" s="932"/>
      <c r="N82" s="932"/>
      <c r="O82" s="932"/>
      <c r="P82" s="932"/>
      <c r="Q82" s="932"/>
      <c r="R82" s="932"/>
      <c r="S82" s="932"/>
      <c r="T82" s="932"/>
      <c r="U82" s="932"/>
      <c r="V82" s="932"/>
      <c r="W82" s="932"/>
      <c r="X82" s="932"/>
      <c r="Y82" s="932"/>
      <c r="Z82" s="932"/>
      <c r="AA82" s="932"/>
      <c r="AB82" s="932"/>
    </row>
    <row r="83" spans="2:30" ht="12.75" customHeight="1">
      <c r="B83" s="923" t="s">
        <v>636</v>
      </c>
      <c r="C83" s="932">
        <v>400</v>
      </c>
      <c r="D83" s="932">
        <v>1700</v>
      </c>
      <c r="E83" s="932">
        <v>750</v>
      </c>
      <c r="F83" s="932">
        <v>3000</v>
      </c>
      <c r="G83" s="932">
        <v>1700</v>
      </c>
      <c r="H83" s="932">
        <v>1350</v>
      </c>
      <c r="I83" s="932">
        <v>450</v>
      </c>
      <c r="J83" s="932">
        <v>1500</v>
      </c>
      <c r="K83" s="932">
        <v>2600</v>
      </c>
      <c r="L83" s="932">
        <v>1000</v>
      </c>
      <c r="M83" s="932">
        <v>950</v>
      </c>
      <c r="N83" s="932">
        <v>1650</v>
      </c>
      <c r="O83" s="932">
        <v>1000</v>
      </c>
      <c r="P83" s="932">
        <v>1250</v>
      </c>
      <c r="Q83" s="932">
        <v>1700</v>
      </c>
      <c r="R83" s="932">
        <v>1350</v>
      </c>
      <c r="S83" s="932">
        <v>950</v>
      </c>
      <c r="T83" s="932">
        <v>1550</v>
      </c>
      <c r="U83" s="932">
        <v>2100</v>
      </c>
      <c r="V83" s="932">
        <v>900</v>
      </c>
      <c r="W83" s="932">
        <v>1000</v>
      </c>
      <c r="X83" s="932">
        <v>1400</v>
      </c>
      <c r="Y83" s="932">
        <v>1250</v>
      </c>
      <c r="Z83" s="932">
        <v>1650</v>
      </c>
      <c r="AA83" s="932">
        <v>1950</v>
      </c>
      <c r="AB83" s="932">
        <v>1000</v>
      </c>
    </row>
    <row r="84" spans="2:30" ht="12.75" customHeight="1">
      <c r="B84" s="933" t="s">
        <v>324</v>
      </c>
      <c r="C84" s="934">
        <f>DCF!F44-C81-C82+C83</f>
        <v>12026.100000000002</v>
      </c>
      <c r="D84" s="934">
        <f>C84-D81-D82+D83</f>
        <v>11330.600000000002</v>
      </c>
      <c r="E84" s="934">
        <f t="shared" ref="E84:AB84" si="75">D84-E81-E82+E83</f>
        <v>10732.300000000003</v>
      </c>
      <c r="F84" s="934">
        <f t="shared" si="75"/>
        <v>9895.0500000000029</v>
      </c>
      <c r="G84" s="934">
        <f t="shared" si="75"/>
        <v>10003.450000000003</v>
      </c>
      <c r="H84" s="934">
        <f t="shared" si="75"/>
        <v>10557.350000000002</v>
      </c>
      <c r="I84" s="934">
        <f t="shared" si="75"/>
        <v>10987.350000000002</v>
      </c>
      <c r="J84" s="934">
        <f t="shared" si="75"/>
        <v>11496.850000000002</v>
      </c>
      <c r="K84" s="934">
        <f t="shared" si="75"/>
        <v>11402.450000000003</v>
      </c>
      <c r="L84" s="934">
        <f t="shared" si="75"/>
        <v>11661.750000000002</v>
      </c>
      <c r="M84" s="934">
        <f t="shared" si="75"/>
        <v>12211.750000000002</v>
      </c>
      <c r="N84" s="934">
        <f t="shared" si="75"/>
        <v>12161.750000000002</v>
      </c>
      <c r="O84" s="934">
        <f t="shared" si="75"/>
        <v>12411.750000000002</v>
      </c>
      <c r="P84" s="934">
        <f t="shared" si="75"/>
        <v>12661.750000000002</v>
      </c>
      <c r="Q84" s="934">
        <f t="shared" si="75"/>
        <v>12661.750000000002</v>
      </c>
      <c r="R84" s="934">
        <f t="shared" si="75"/>
        <v>12661.750000000002</v>
      </c>
      <c r="S84" s="934">
        <f t="shared" si="75"/>
        <v>13161.750000000002</v>
      </c>
      <c r="T84" s="934">
        <f t="shared" si="75"/>
        <v>13211.750000000002</v>
      </c>
      <c r="U84" s="934">
        <f t="shared" si="75"/>
        <v>12711.750000000002</v>
      </c>
      <c r="V84" s="934">
        <f t="shared" si="75"/>
        <v>12611.750000000002</v>
      </c>
      <c r="W84" s="934">
        <f t="shared" si="75"/>
        <v>12661.750000000002</v>
      </c>
      <c r="X84" s="934">
        <f t="shared" si="75"/>
        <v>12411.750000000002</v>
      </c>
      <c r="Y84" s="934">
        <f t="shared" si="75"/>
        <v>12661.750000000002</v>
      </c>
      <c r="Z84" s="934">
        <f t="shared" si="75"/>
        <v>11974.650000000001</v>
      </c>
      <c r="AA84" s="934">
        <f t="shared" si="75"/>
        <v>11730.850000000002</v>
      </c>
      <c r="AB84" s="934">
        <f t="shared" si="75"/>
        <v>11380.850000000002</v>
      </c>
    </row>
    <row r="85" spans="2:30" ht="12.75" customHeight="1">
      <c r="C85" s="937"/>
      <c r="D85" s="937"/>
      <c r="E85" s="937"/>
      <c r="F85" s="937"/>
      <c r="G85" s="937"/>
      <c r="H85" s="937"/>
      <c r="I85" s="937"/>
      <c r="J85" s="937"/>
      <c r="K85" s="937"/>
      <c r="L85" s="937"/>
      <c r="M85" s="937"/>
      <c r="N85" s="937"/>
      <c r="O85" s="937"/>
      <c r="P85" s="937"/>
      <c r="Q85" s="937"/>
      <c r="R85" s="937"/>
      <c r="S85" s="937"/>
      <c r="T85" s="937"/>
      <c r="U85" s="937"/>
      <c r="V85" s="937"/>
      <c r="W85" s="937"/>
      <c r="X85" s="937"/>
      <c r="Y85" s="937"/>
      <c r="Z85" s="937"/>
      <c r="AA85" s="937"/>
      <c r="AB85" s="937"/>
      <c r="AC85" s="831"/>
    </row>
    <row r="87" spans="2:30" s="774" customFormat="1" ht="30.65" customHeight="1">
      <c r="B87" s="1423" t="s">
        <v>637</v>
      </c>
      <c r="C87" s="1423"/>
    </row>
    <row r="89" spans="2:30" ht="12.75" customHeight="1">
      <c r="B89" s="1431" t="s">
        <v>638</v>
      </c>
      <c r="C89" s="1431"/>
      <c r="E89" s="1431" t="s">
        <v>639</v>
      </c>
      <c r="F89" s="1431"/>
      <c r="G89" s="1431"/>
    </row>
    <row r="90" spans="2:30" ht="12.75" customHeight="1">
      <c r="B90" s="741" t="s">
        <v>640</v>
      </c>
      <c r="C90" s="742">
        <v>-0.1096644834252697</v>
      </c>
      <c r="E90" s="741" t="s">
        <v>300</v>
      </c>
      <c r="F90" s="1430">
        <f>AVERAGE(D105:F105)/3</f>
        <v>1.5444161153326598E-2</v>
      </c>
      <c r="G90" s="1430"/>
    </row>
    <row r="91" spans="2:30" ht="12.75" customHeight="1">
      <c r="B91" s="741" t="s">
        <v>641</v>
      </c>
      <c r="C91" s="742">
        <v>-8.9469184118213335E-2</v>
      </c>
      <c r="E91" s="741" t="s">
        <v>641</v>
      </c>
      <c r="F91" s="1430">
        <f>AVERAGE(D105:H105)/5</f>
        <v>7.654870930348538E-3</v>
      </c>
      <c r="G91" s="1430"/>
    </row>
    <row r="92" spans="2:30" ht="12.75" customHeight="1">
      <c r="B92" s="741" t="s">
        <v>300</v>
      </c>
      <c r="C92" s="742">
        <v>-8.3889252205675932E-2</v>
      </c>
      <c r="E92" s="741" t="s">
        <v>642</v>
      </c>
      <c r="F92" s="1430">
        <f>AVERAGE(D105:O105)/9</f>
        <v>1.3830415076666203E-2</v>
      </c>
      <c r="G92" s="1430"/>
    </row>
    <row r="94" spans="2:30" ht="12.75" customHeight="1">
      <c r="B94" s="761" t="s">
        <v>643</v>
      </c>
      <c r="C94" s="754">
        <v>2025</v>
      </c>
      <c r="D94" s="754">
        <v>2026</v>
      </c>
      <c r="E94" s="754">
        <v>2027</v>
      </c>
      <c r="F94" s="754">
        <v>2028</v>
      </c>
      <c r="G94" s="754">
        <v>2029</v>
      </c>
      <c r="H94" s="754">
        <v>2030</v>
      </c>
      <c r="I94" s="754">
        <v>2031</v>
      </c>
      <c r="J94" s="754">
        <v>2032</v>
      </c>
      <c r="K94" s="754">
        <v>2033</v>
      </c>
      <c r="L94" s="754">
        <v>2034</v>
      </c>
    </row>
    <row r="95" spans="2:30" ht="12.75" customHeight="1">
      <c r="B95" s="755" t="s">
        <v>644</v>
      </c>
      <c r="C95" s="756">
        <v>3527.2631579999997</v>
      </c>
      <c r="D95" s="756">
        <v>3836.2999999999997</v>
      </c>
      <c r="E95" s="756">
        <v>4140.4666669999997</v>
      </c>
      <c r="F95" s="756">
        <v>4413.375</v>
      </c>
      <c r="G95" s="756">
        <v>4620.3333329999996</v>
      </c>
      <c r="H95" s="756">
        <v>4917.8</v>
      </c>
      <c r="I95" s="756">
        <v>4981</v>
      </c>
      <c r="J95" s="756">
        <v>5224.6666669999995</v>
      </c>
      <c r="K95" s="756">
        <v>5471</v>
      </c>
      <c r="L95" s="756">
        <v>5725.3333329999996</v>
      </c>
    </row>
    <row r="96" spans="2:30" ht="12.75" customHeight="1">
      <c r="B96" s="755" t="s">
        <v>645</v>
      </c>
      <c r="C96" s="756">
        <v>10387.333332999999</v>
      </c>
      <c r="D96" s="756">
        <v>11040.285714</v>
      </c>
      <c r="E96" s="756">
        <v>11761.6</v>
      </c>
      <c r="F96" s="756">
        <v>12449.25</v>
      </c>
      <c r="G96" s="756">
        <v>13066.333332999999</v>
      </c>
      <c r="H96" s="756">
        <v>13948.4</v>
      </c>
      <c r="I96" s="756">
        <v>14386.666667</v>
      </c>
      <c r="J96" s="756">
        <v>15045.333332999999</v>
      </c>
      <c r="K96" s="756">
        <v>15717.666667</v>
      </c>
      <c r="L96" s="756">
        <v>16407.333332999999</v>
      </c>
    </row>
    <row r="97" spans="2:16" ht="12.75" customHeight="1">
      <c r="B97" s="755" t="s">
        <v>646</v>
      </c>
      <c r="C97" s="757">
        <f t="shared" ref="C97:L97" si="76">C95/C96</f>
        <v>0.33957350216095161</v>
      </c>
      <c r="D97" s="757">
        <f t="shared" si="76"/>
        <v>0.34748194923390907</v>
      </c>
      <c r="E97" s="757">
        <f t="shared" si="76"/>
        <v>0.35203260330227176</v>
      </c>
      <c r="F97" s="757">
        <f t="shared" si="76"/>
        <v>0.35450930778962586</v>
      </c>
      <c r="G97" s="757">
        <f t="shared" si="76"/>
        <v>0.3536059593192073</v>
      </c>
      <c r="H97" s="757">
        <f t="shared" si="76"/>
        <v>0.35257090418972786</v>
      </c>
      <c r="I97" s="757">
        <f t="shared" si="76"/>
        <v>0.3462233549502729</v>
      </c>
      <c r="J97" s="757">
        <f t="shared" si="76"/>
        <v>0.34726160938823247</v>
      </c>
      <c r="K97" s="757">
        <f t="shared" si="76"/>
        <v>0.3480796555818701</v>
      </c>
      <c r="L97" s="757">
        <f t="shared" si="76"/>
        <v>0.34894965664436534</v>
      </c>
    </row>
    <row r="98" spans="2:16" ht="12.75" customHeight="1">
      <c r="B98" s="758" t="s">
        <v>647</v>
      </c>
      <c r="C98" s="759">
        <f>(C96/Inputs!C6)*0.01</f>
        <v>1.0988863733787529E-2</v>
      </c>
      <c r="D98" s="760">
        <f t="shared" ref="D98:K98" si="77">D95/C95-1</f>
        <v>8.7613775371165437E-2</v>
      </c>
      <c r="E98" s="760">
        <f t="shared" si="77"/>
        <v>7.9286465344211798E-2</v>
      </c>
      <c r="F98" s="760">
        <f t="shared" si="77"/>
        <v>6.5912457447154793E-2</v>
      </c>
      <c r="G98" s="760">
        <f t="shared" si="77"/>
        <v>4.6893439374628088E-2</v>
      </c>
      <c r="H98" s="760">
        <f t="shared" si="77"/>
        <v>6.4382079291853689E-2</v>
      </c>
      <c r="I98" s="760">
        <f t="shared" si="77"/>
        <v>1.2851274960347991E-2</v>
      </c>
      <c r="J98" s="760">
        <f t="shared" si="77"/>
        <v>4.8919226460550025E-2</v>
      </c>
      <c r="K98" s="760">
        <f t="shared" si="77"/>
        <v>4.7148143355419947E-2</v>
      </c>
      <c r="L98" s="760">
        <f>L95/K95-1</f>
        <v>4.6487540303417951E-2</v>
      </c>
    </row>
    <row r="101" spans="2:16" ht="12.75" hidden="1" customHeight="1">
      <c r="D101" s="741">
        <v>2024</v>
      </c>
      <c r="E101" s="741">
        <f t="shared" ref="E101:P101" si="78">D101-1</f>
        <v>2023</v>
      </c>
      <c r="F101" s="741">
        <f t="shared" si="78"/>
        <v>2022</v>
      </c>
      <c r="G101" s="741">
        <f t="shared" si="78"/>
        <v>2021</v>
      </c>
      <c r="H101" s="741">
        <f t="shared" si="78"/>
        <v>2020</v>
      </c>
      <c r="I101" s="741">
        <f t="shared" si="78"/>
        <v>2019</v>
      </c>
      <c r="J101" s="741">
        <f t="shared" si="78"/>
        <v>2018</v>
      </c>
      <c r="K101" s="741">
        <f t="shared" si="78"/>
        <v>2017</v>
      </c>
      <c r="L101" s="741">
        <f t="shared" si="78"/>
        <v>2016</v>
      </c>
      <c r="M101" s="741">
        <f t="shared" si="78"/>
        <v>2015</v>
      </c>
      <c r="N101" s="741">
        <f t="shared" si="78"/>
        <v>2014</v>
      </c>
      <c r="O101" s="741">
        <f t="shared" si="78"/>
        <v>2013</v>
      </c>
      <c r="P101" s="741">
        <f t="shared" si="78"/>
        <v>2012</v>
      </c>
    </row>
    <row r="102" spans="2:16" ht="12.75" hidden="1" customHeight="1">
      <c r="B102" s="1422" t="s">
        <v>648</v>
      </c>
      <c r="C102" s="1422"/>
      <c r="D102" s="743">
        <v>-8.1323404901982088E-2</v>
      </c>
      <c r="E102" s="744">
        <v>-8.3020164986251144E-2</v>
      </c>
      <c r="F102" s="735">
        <v>-8.7324186728794537E-2</v>
      </c>
      <c r="G102" s="735">
        <v>-9.4080593337651286E-2</v>
      </c>
      <c r="H102" s="735">
        <v>-0.10159757063638764</v>
      </c>
      <c r="I102" s="735">
        <v>-0.10456333274357962</v>
      </c>
      <c r="J102" s="735">
        <v>-0.10839957914425999</v>
      </c>
      <c r="K102" s="735">
        <v>-0.11059775199200171</v>
      </c>
      <c r="L102" s="735">
        <v>-0.1150008513536523</v>
      </c>
      <c r="M102" s="735">
        <v>-0.11963446572187449</v>
      </c>
      <c r="N102" s="735">
        <v>-0.12563592637128851</v>
      </c>
      <c r="O102" s="735">
        <v>-0.15503139458030404</v>
      </c>
      <c r="P102" s="735">
        <v>-0.13942906203047864</v>
      </c>
    </row>
    <row r="103" spans="2:16" ht="12.75" hidden="1" customHeight="1">
      <c r="B103" s="1429" t="s">
        <v>649</v>
      </c>
      <c r="C103" s="1429"/>
      <c r="D103" s="740">
        <v>-749.2</v>
      </c>
      <c r="E103" s="736">
        <v>-724.6</v>
      </c>
      <c r="F103" s="736">
        <v>-708.4</v>
      </c>
      <c r="G103" s="736">
        <v>-740.8</v>
      </c>
      <c r="H103" s="736">
        <v>-769.5</v>
      </c>
      <c r="I103" s="737">
        <v>-768.3</v>
      </c>
      <c r="J103" s="737">
        <v>-741.8</v>
      </c>
      <c r="K103" s="737">
        <v>-730.1</v>
      </c>
      <c r="L103" s="737">
        <v>-675.4</v>
      </c>
      <c r="M103" s="737">
        <v>-644.1</v>
      </c>
      <c r="N103" s="738">
        <v>-543.29999999999995</v>
      </c>
      <c r="O103" s="738">
        <v>-375.3</v>
      </c>
      <c r="P103" s="738">
        <v>-324.8</v>
      </c>
    </row>
    <row r="104" spans="2:16" ht="12.75" hidden="1" customHeight="1">
      <c r="B104" s="1422" t="s">
        <v>650</v>
      </c>
      <c r="C104" s="1422"/>
      <c r="D104" s="745">
        <v>10711</v>
      </c>
      <c r="E104" s="746">
        <v>10177.200000000001</v>
      </c>
      <c r="F104" s="746">
        <v>9529.1</v>
      </c>
      <c r="G104" s="746">
        <v>9355.6999999999989</v>
      </c>
      <c r="H104" s="746">
        <v>9113</v>
      </c>
      <c r="I104" s="747">
        <v>8884.2999999999993</v>
      </c>
      <c r="J104" s="747">
        <v>8326.7999999999993</v>
      </c>
      <c r="K104" s="747">
        <v>8061.6</v>
      </c>
      <c r="L104" s="747">
        <v>7223.7999999999993</v>
      </c>
      <c r="M104" s="747">
        <v>6672.1</v>
      </c>
      <c r="N104" s="747">
        <v>5411</v>
      </c>
      <c r="O104" s="747">
        <v>3171.4</v>
      </c>
      <c r="P104" s="747">
        <v>2979.1000000000004</v>
      </c>
    </row>
    <row r="105" spans="2:16" ht="12.75" hidden="1" customHeight="1">
      <c r="D105" s="558">
        <f t="shared" ref="D105:O105" si="79">D104/E104-1</f>
        <v>5.2450575796879173E-2</v>
      </c>
      <c r="E105" s="558">
        <f t="shared" si="79"/>
        <v>6.8012718934631788E-2</v>
      </c>
      <c r="F105" s="558">
        <f t="shared" si="79"/>
        <v>1.8534155648428419E-2</v>
      </c>
      <c r="G105" s="558">
        <f t="shared" si="79"/>
        <v>2.6632283550970914E-2</v>
      </c>
      <c r="H105" s="558">
        <f t="shared" si="79"/>
        <v>2.5742039327803168E-2</v>
      </c>
      <c r="I105" s="558">
        <f t="shared" si="79"/>
        <v>6.6952490752750116E-2</v>
      </c>
      <c r="J105" s="558">
        <f t="shared" si="79"/>
        <v>3.2896695445072899E-2</v>
      </c>
      <c r="K105" s="558">
        <f t="shared" si="79"/>
        <v>0.11597774024751528</v>
      </c>
      <c r="L105" s="558">
        <f t="shared" si="79"/>
        <v>8.2687609598177225E-2</v>
      </c>
      <c r="M105" s="558">
        <f t="shared" si="79"/>
        <v>0.23306228053964162</v>
      </c>
      <c r="N105" s="558">
        <f t="shared" si="79"/>
        <v>0.70618654222110111</v>
      </c>
      <c r="O105" s="558">
        <f t="shared" si="79"/>
        <v>6.4549696216978258E-2</v>
      </c>
      <c r="P105" s="558" t="e">
        <f>P104/#REF!-1</f>
        <v>#REF!</v>
      </c>
    </row>
    <row r="106" spans="2:16" ht="12.75" customHeight="1">
      <c r="C106" s="1400" t="s">
        <v>651</v>
      </c>
      <c r="D106" s="1400"/>
      <c r="E106" s="1400"/>
      <c r="F106" s="1400"/>
      <c r="G106" s="1400"/>
      <c r="K106" s="1400" t="s">
        <v>652</v>
      </c>
      <c r="L106" s="1400"/>
      <c r="M106" s="1400"/>
    </row>
    <row r="124" spans="2:15" s="550" customFormat="1" ht="14" hidden="1">
      <c r="B124" s="559" t="s">
        <v>653</v>
      </c>
    </row>
    <row r="125" spans="2:15" ht="12.75" hidden="1" customHeight="1"/>
    <row r="126" spans="2:15" ht="12.75" hidden="1" customHeight="1">
      <c r="B126" s="834"/>
      <c r="C126" s="853">
        <v>2013</v>
      </c>
      <c r="D126" s="853">
        <f>C126+1</f>
        <v>2014</v>
      </c>
      <c r="E126" s="853">
        <f t="shared" ref="E126:N126" si="80">D126+1</f>
        <v>2015</v>
      </c>
      <c r="F126" s="853">
        <f t="shared" si="80"/>
        <v>2016</v>
      </c>
      <c r="G126" s="853">
        <f t="shared" si="80"/>
        <v>2017</v>
      </c>
      <c r="H126" s="853">
        <f t="shared" si="80"/>
        <v>2018</v>
      </c>
      <c r="I126" s="853">
        <f t="shared" si="80"/>
        <v>2019</v>
      </c>
      <c r="J126" s="853">
        <f t="shared" si="80"/>
        <v>2020</v>
      </c>
      <c r="K126" s="853">
        <f t="shared" si="80"/>
        <v>2021</v>
      </c>
      <c r="L126" s="853">
        <f t="shared" si="80"/>
        <v>2022</v>
      </c>
      <c r="M126" s="853">
        <f t="shared" si="80"/>
        <v>2023</v>
      </c>
      <c r="N126" s="853">
        <f t="shared" si="80"/>
        <v>2024</v>
      </c>
      <c r="O126" s="831"/>
    </row>
    <row r="127" spans="2:15" ht="12.75" hidden="1" customHeight="1">
      <c r="B127" s="835" t="s">
        <v>646</v>
      </c>
      <c r="C127" s="833">
        <v>522.9</v>
      </c>
      <c r="D127" s="833">
        <v>795.69999999999982</v>
      </c>
      <c r="E127" s="833">
        <v>1500.2</v>
      </c>
      <c r="F127" s="833">
        <v>1765.1</v>
      </c>
      <c r="G127" s="833">
        <v>2399.4</v>
      </c>
      <c r="H127" s="833">
        <v>2284.5</v>
      </c>
      <c r="I127" s="833">
        <v>2412.1999999999998</v>
      </c>
      <c r="J127" s="833">
        <v>2154.5</v>
      </c>
      <c r="K127" s="833">
        <v>2791.1</v>
      </c>
      <c r="L127" s="833">
        <v>2331.6999999999998</v>
      </c>
      <c r="M127" s="833">
        <v>2842.9</v>
      </c>
      <c r="N127" s="833">
        <v>3169.7</v>
      </c>
    </row>
    <row r="128" spans="2:15" ht="12.75" hidden="1" customHeight="1">
      <c r="B128" s="835" t="s">
        <v>654</v>
      </c>
      <c r="C128" s="833">
        <v>2796.1</v>
      </c>
      <c r="D128" s="833">
        <v>4867.7</v>
      </c>
      <c r="E128" s="833">
        <v>6028</v>
      </c>
      <c r="F128" s="833">
        <v>6548.4</v>
      </c>
      <c r="G128" s="832">
        <v>7331.5</v>
      </c>
      <c r="H128" s="832">
        <v>7585</v>
      </c>
      <c r="I128" s="832">
        <v>8116</v>
      </c>
      <c r="J128" s="832">
        <v>8343.5</v>
      </c>
      <c r="K128" s="832">
        <v>8614.9</v>
      </c>
      <c r="L128" s="832">
        <v>8820.7000000000007</v>
      </c>
      <c r="M128" s="832">
        <v>9452.6</v>
      </c>
      <c r="N128" s="832">
        <v>9961.7999999999993</v>
      </c>
    </row>
    <row r="129" spans="2:28" ht="12.75" hidden="1" customHeight="1">
      <c r="B129" s="835" t="s">
        <v>655</v>
      </c>
      <c r="C129" s="836">
        <f>C127/C128</f>
        <v>0.18701047888129896</v>
      </c>
      <c r="D129" s="836">
        <f t="shared" ref="D129:N129" si="81">D127/D128</f>
        <v>0.16346529161616366</v>
      </c>
      <c r="E129" s="836">
        <f t="shared" si="81"/>
        <v>0.24887193098871932</v>
      </c>
      <c r="F129" s="836">
        <f t="shared" si="81"/>
        <v>0.26954675951377438</v>
      </c>
      <c r="G129" s="836">
        <f t="shared" si="81"/>
        <v>0.32727272727272727</v>
      </c>
      <c r="H129" s="836">
        <f t="shared" si="81"/>
        <v>0.30118655240606462</v>
      </c>
      <c r="I129" s="836">
        <f t="shared" si="81"/>
        <v>0.29721537703302114</v>
      </c>
      <c r="J129" s="836">
        <f t="shared" si="81"/>
        <v>0.25822496554203872</v>
      </c>
      <c r="K129" s="836">
        <f t="shared" si="81"/>
        <v>0.32398518845256474</v>
      </c>
      <c r="L129" s="836">
        <f t="shared" si="81"/>
        <v>0.26434409967462896</v>
      </c>
      <c r="M129" s="836">
        <f t="shared" si="81"/>
        <v>0.30075323191502867</v>
      </c>
      <c r="N129" s="836">
        <f t="shared" si="81"/>
        <v>0.31818546848963042</v>
      </c>
    </row>
    <row r="130" spans="2:28" ht="12.75" hidden="1" customHeight="1">
      <c r="P130" s="593"/>
    </row>
    <row r="131" spans="2:28" ht="12.75" hidden="1" customHeight="1">
      <c r="B131" s="837" t="s">
        <v>311</v>
      </c>
      <c r="C131" s="839">
        <v>1687.8</v>
      </c>
      <c r="D131" s="838">
        <v>2876</v>
      </c>
      <c r="E131" s="838">
        <v>3357.2</v>
      </c>
      <c r="F131" s="838">
        <v>3606.0999999999995</v>
      </c>
      <c r="G131" s="838">
        <v>3802.1</v>
      </c>
      <c r="H131" s="838">
        <v>3767.8</v>
      </c>
      <c r="I131" s="838">
        <v>4037.5</v>
      </c>
      <c r="J131" s="838">
        <v>4191.6000000000004</v>
      </c>
      <c r="K131" s="838">
        <v>4148.8999999999996</v>
      </c>
      <c r="L131" s="838">
        <v>4121.9000000000005</v>
      </c>
      <c r="M131" s="838">
        <v>4682.6000000000004</v>
      </c>
      <c r="N131" s="844">
        <v>4944.2999999999993</v>
      </c>
    </row>
    <row r="132" spans="2:28" ht="12.75" hidden="1" customHeight="1">
      <c r="B132" s="840" t="s">
        <v>656</v>
      </c>
      <c r="C132" s="841">
        <f>C131/C128</f>
        <v>0.60362647973963734</v>
      </c>
      <c r="D132" s="842">
        <f>D131/D128</f>
        <v>0.59083345317090208</v>
      </c>
      <c r="E132" s="842">
        <f t="shared" ref="E132:M132" si="82">E131/E128</f>
        <v>0.55693430656934306</v>
      </c>
      <c r="F132" s="842">
        <f t="shared" si="82"/>
        <v>0.5506841365829821</v>
      </c>
      <c r="G132" s="842">
        <f t="shared" si="82"/>
        <v>0.51859783127600079</v>
      </c>
      <c r="H132" s="842">
        <f t="shared" si="82"/>
        <v>0.49674357284113385</v>
      </c>
      <c r="I132" s="842">
        <f t="shared" si="82"/>
        <v>0.49747412518482009</v>
      </c>
      <c r="J132" s="842">
        <f t="shared" si="82"/>
        <v>0.50237909750104881</v>
      </c>
      <c r="K132" s="842">
        <f t="shared" si="82"/>
        <v>0.4815958397659868</v>
      </c>
      <c r="L132" s="842">
        <f t="shared" si="82"/>
        <v>0.46729851372340064</v>
      </c>
      <c r="M132" s="843">
        <f t="shared" si="82"/>
        <v>0.49537693333051225</v>
      </c>
      <c r="N132" s="845">
        <f>N131/N128</f>
        <v>0.49632596518701438</v>
      </c>
    </row>
    <row r="133" spans="2:28" ht="12.75" hidden="1" customHeight="1">
      <c r="B133" s="846" t="s">
        <v>657</v>
      </c>
      <c r="C133" s="847">
        <f>Inputs!M7/Inputs!N7-1</f>
        <v>4.3498728933245578E-2</v>
      </c>
      <c r="D133" s="847">
        <f>D127/C127-1</f>
        <v>0.52170587110346123</v>
      </c>
      <c r="E133" s="847">
        <f t="shared" ref="E133:N133" si="83">E127/D127-1</f>
        <v>0.8853839386703537</v>
      </c>
      <c r="F133" s="847">
        <f t="shared" si="83"/>
        <v>0.17657645647247033</v>
      </c>
      <c r="G133" s="847">
        <f t="shared" si="83"/>
        <v>0.3593564104016771</v>
      </c>
      <c r="H133" s="847">
        <f t="shared" si="83"/>
        <v>-4.7886971742935769E-2</v>
      </c>
      <c r="I133" s="847">
        <f t="shared" si="83"/>
        <v>5.589844604946359E-2</v>
      </c>
      <c r="J133" s="847">
        <f t="shared" si="83"/>
        <v>-0.10683193765027765</v>
      </c>
      <c r="K133" s="847">
        <f t="shared" si="83"/>
        <v>0.29547458807147819</v>
      </c>
      <c r="L133" s="847">
        <f t="shared" si="83"/>
        <v>-0.16459460427788331</v>
      </c>
      <c r="M133" s="847">
        <f t="shared" si="83"/>
        <v>0.21923918171291357</v>
      </c>
      <c r="N133" s="847">
        <f t="shared" si="83"/>
        <v>0.11495304090893099</v>
      </c>
    </row>
    <row r="134" spans="2:28" ht="12.75" hidden="1" customHeight="1">
      <c r="B134" s="848" t="s">
        <v>658</v>
      </c>
      <c r="C134" s="849">
        <f>C128/Inputs!N6-1</f>
        <v>5.3422747993821185E-2</v>
      </c>
      <c r="D134" s="850">
        <f>D128/C128-1</f>
        <v>0.74088909552591109</v>
      </c>
      <c r="E134" s="850">
        <f t="shared" ref="E134:N134" si="84">E128/D128-1</f>
        <v>0.23836719600632739</v>
      </c>
      <c r="F134" s="850">
        <f t="shared" si="84"/>
        <v>8.6330457863304622E-2</v>
      </c>
      <c r="G134" s="850">
        <f t="shared" si="84"/>
        <v>0.11958646386903671</v>
      </c>
      <c r="H134" s="850">
        <f t="shared" si="84"/>
        <v>3.4576826024687923E-2</v>
      </c>
      <c r="I134" s="850">
        <f t="shared" si="84"/>
        <v>7.0006591957811448E-2</v>
      </c>
      <c r="J134" s="850">
        <f t="shared" si="84"/>
        <v>2.8031049778215911E-2</v>
      </c>
      <c r="K134" s="850">
        <f t="shared" si="84"/>
        <v>3.2528315455144785E-2</v>
      </c>
      <c r="L134" s="850">
        <f t="shared" si="84"/>
        <v>2.3888843747460919E-2</v>
      </c>
      <c r="M134" s="850">
        <f t="shared" si="84"/>
        <v>7.1638305349915443E-2</v>
      </c>
      <c r="N134" s="850">
        <f t="shared" si="84"/>
        <v>5.3868776844465893E-2</v>
      </c>
    </row>
    <row r="135" spans="2:28" ht="12.75" hidden="1" customHeight="1">
      <c r="B135" s="851" t="s">
        <v>659</v>
      </c>
      <c r="C135" s="852">
        <f>CORREL(C133:N133,C134:N134)</f>
        <v>0.58470255668650628</v>
      </c>
      <c r="O135" s="593"/>
    </row>
    <row r="136" spans="2:28" ht="12.75" hidden="1" customHeight="1">
      <c r="D136" s="593"/>
      <c r="E136" s="593"/>
      <c r="F136" s="593"/>
      <c r="G136" s="593"/>
      <c r="H136" s="593"/>
      <c r="I136" s="593"/>
      <c r="J136" s="593"/>
      <c r="K136" s="593"/>
      <c r="L136" s="593"/>
      <c r="M136" s="593"/>
      <c r="N136" s="593"/>
      <c r="O136" s="593"/>
    </row>
    <row r="137" spans="2:28" ht="12.75" hidden="1" customHeight="1">
      <c r="C137" s="853">
        <v>2013</v>
      </c>
      <c r="D137" s="853">
        <f>C137+1</f>
        <v>2014</v>
      </c>
      <c r="E137" s="853">
        <f t="shared" ref="E137:N137" si="85">D137+1</f>
        <v>2015</v>
      </c>
      <c r="F137" s="853">
        <f t="shared" si="85"/>
        <v>2016</v>
      </c>
      <c r="G137" s="853">
        <f t="shared" si="85"/>
        <v>2017</v>
      </c>
      <c r="H137" s="853">
        <f t="shared" si="85"/>
        <v>2018</v>
      </c>
      <c r="I137" s="853">
        <f t="shared" si="85"/>
        <v>2019</v>
      </c>
      <c r="J137" s="853">
        <f t="shared" si="85"/>
        <v>2020</v>
      </c>
      <c r="K137" s="853">
        <f t="shared" si="85"/>
        <v>2021</v>
      </c>
      <c r="L137" s="853">
        <f t="shared" si="85"/>
        <v>2022</v>
      </c>
      <c r="M137" s="853">
        <f t="shared" si="85"/>
        <v>2023</v>
      </c>
      <c r="N137" s="853">
        <f t="shared" si="85"/>
        <v>2024</v>
      </c>
      <c r="O137" s="593"/>
    </row>
    <row r="138" spans="2:28" ht="12.75" hidden="1" customHeight="1">
      <c r="B138" s="837" t="s">
        <v>660</v>
      </c>
      <c r="C138" s="877">
        <v>585.4</v>
      </c>
      <c r="D138" s="838">
        <v>895.1</v>
      </c>
      <c r="E138" s="838">
        <v>1078.4000000000001</v>
      </c>
      <c r="F138" s="838">
        <v>1177.2</v>
      </c>
      <c r="G138" s="838">
        <v>1392.4</v>
      </c>
      <c r="H138" s="838">
        <v>1532.7</v>
      </c>
      <c r="I138" s="838">
        <v>1668.1</v>
      </c>
      <c r="J138" s="838">
        <v>1621.8</v>
      </c>
      <c r="K138" s="838">
        <v>1665.1</v>
      </c>
      <c r="L138" s="838">
        <v>1709.7</v>
      </c>
      <c r="M138" s="838">
        <v>1926.1</v>
      </c>
      <c r="N138" s="870">
        <v>1847.8</v>
      </c>
      <c r="Q138" s="553"/>
      <c r="R138" s="553"/>
      <c r="S138" s="553"/>
      <c r="T138" s="553"/>
      <c r="U138" s="553"/>
      <c r="V138" s="553"/>
      <c r="W138" s="553"/>
      <c r="X138" s="553"/>
      <c r="Y138" s="553"/>
      <c r="Z138" s="553"/>
      <c r="AA138" s="553"/>
      <c r="AB138" s="553"/>
    </row>
    <row r="139" spans="2:28" ht="12.75" hidden="1" customHeight="1">
      <c r="B139" s="854" t="s">
        <v>661</v>
      </c>
      <c r="C139" s="859">
        <f>C138/C128</f>
        <v>0.2093630413790637</v>
      </c>
      <c r="D139" s="860">
        <f t="shared" ref="D139:N139" si="86">D138/D128</f>
        <v>0.18388561332867681</v>
      </c>
      <c r="E139" s="860">
        <f t="shared" si="86"/>
        <v>0.17889847378898474</v>
      </c>
      <c r="F139" s="860">
        <f t="shared" si="86"/>
        <v>0.17976910390324355</v>
      </c>
      <c r="G139" s="860">
        <f t="shared" si="86"/>
        <v>0.18992020732455842</v>
      </c>
      <c r="H139" s="860">
        <f t="shared" si="86"/>
        <v>0.20206987475280158</v>
      </c>
      <c r="I139" s="860">
        <f t="shared" si="86"/>
        <v>0.20553228191227205</v>
      </c>
      <c r="J139" s="860">
        <f t="shared" si="86"/>
        <v>0.19437885779349193</v>
      </c>
      <c r="K139" s="860">
        <f t="shared" si="86"/>
        <v>0.19328140779347411</v>
      </c>
      <c r="L139" s="860">
        <f t="shared" si="86"/>
        <v>0.19382815422812247</v>
      </c>
      <c r="M139" s="860">
        <f t="shared" si="86"/>
        <v>0.2037640437551573</v>
      </c>
      <c r="N139" s="861">
        <f t="shared" si="86"/>
        <v>0.18548856632335523</v>
      </c>
    </row>
    <row r="140" spans="2:28" ht="12.75" hidden="1" customHeight="1">
      <c r="B140" s="862" t="s">
        <v>662</v>
      </c>
      <c r="C140" s="865">
        <v>121.9</v>
      </c>
      <c r="D140" s="866">
        <v>278.5</v>
      </c>
      <c r="E140" s="866">
        <v>406.1</v>
      </c>
      <c r="F140" s="866">
        <v>468.3</v>
      </c>
      <c r="G140" s="866">
        <v>555.79999999999995</v>
      </c>
      <c r="H140" s="866">
        <v>615.70000000000005</v>
      </c>
      <c r="I140" s="866">
        <v>700.8</v>
      </c>
      <c r="J140" s="866">
        <v>769.5</v>
      </c>
      <c r="K140" s="871">
        <v>805</v>
      </c>
      <c r="L140" s="866">
        <v>824.6</v>
      </c>
      <c r="M140" s="866">
        <v>860.8</v>
      </c>
      <c r="N140" s="867">
        <v>853.5</v>
      </c>
    </row>
    <row r="141" spans="2:28" ht="12.75" hidden="1" customHeight="1">
      <c r="B141" s="863" t="s">
        <v>663</v>
      </c>
      <c r="C141" s="872">
        <f>C140/C128</f>
        <v>4.3596437895640362E-2</v>
      </c>
      <c r="D141" s="873">
        <f>D140/D128</f>
        <v>5.7213879244817883E-2</v>
      </c>
      <c r="E141" s="873">
        <f t="shared" ref="E141:M141" si="87">E140/E128</f>
        <v>6.7368944923689458E-2</v>
      </c>
      <c r="F141" s="873">
        <f t="shared" si="87"/>
        <v>7.1513652189847912E-2</v>
      </c>
      <c r="G141" s="873">
        <f t="shared" si="87"/>
        <v>7.5809861556298153E-2</v>
      </c>
      <c r="H141" s="873">
        <f t="shared" si="87"/>
        <v>8.1173368490441669E-2</v>
      </c>
      <c r="I141" s="873">
        <f t="shared" si="87"/>
        <v>8.6347954657466724E-2</v>
      </c>
      <c r="J141" s="873">
        <f t="shared" si="87"/>
        <v>9.2227482471384917E-2</v>
      </c>
      <c r="K141" s="873">
        <f t="shared" si="87"/>
        <v>9.3442756155033724E-2</v>
      </c>
      <c r="L141" s="873">
        <f t="shared" si="87"/>
        <v>9.3484644075866985E-2</v>
      </c>
      <c r="M141" s="873">
        <f t="shared" si="87"/>
        <v>9.1064892198971709E-2</v>
      </c>
      <c r="N141" s="868">
        <f>N140/N128</f>
        <v>8.5677287237246283E-2</v>
      </c>
    </row>
    <row r="142" spans="2:28" ht="12.75" hidden="1" customHeight="1">
      <c r="B142" s="864" t="s">
        <v>664</v>
      </c>
      <c r="C142" s="874">
        <f>C140/C138</f>
        <v>0.2082336863682952</v>
      </c>
      <c r="D142" s="875">
        <f t="shared" ref="D142:N142" si="88">D140/D138</f>
        <v>0.31113842028823596</v>
      </c>
      <c r="E142" s="875">
        <f t="shared" si="88"/>
        <v>0.37657640949554894</v>
      </c>
      <c r="F142" s="875">
        <f t="shared" si="88"/>
        <v>0.39780835881753313</v>
      </c>
      <c r="G142" s="875">
        <f t="shared" si="88"/>
        <v>0.39916690606147653</v>
      </c>
      <c r="H142" s="875">
        <f t="shared" si="88"/>
        <v>0.40170940170940173</v>
      </c>
      <c r="I142" s="875">
        <f t="shared" si="88"/>
        <v>0.42011869791978895</v>
      </c>
      <c r="J142" s="875">
        <f t="shared" si="88"/>
        <v>0.47447280799112102</v>
      </c>
      <c r="K142" s="875">
        <f t="shared" si="88"/>
        <v>0.48345444718034958</v>
      </c>
      <c r="L142" s="875">
        <f t="shared" si="88"/>
        <v>0.48230683745686376</v>
      </c>
      <c r="M142" s="876">
        <f t="shared" si="88"/>
        <v>0.44691345205337207</v>
      </c>
      <c r="N142" s="869">
        <f t="shared" si="88"/>
        <v>0.46190063859725078</v>
      </c>
    </row>
    <row r="143" spans="2:28" ht="12.75" hidden="1" customHeight="1">
      <c r="B143" s="848" t="s">
        <v>665</v>
      </c>
      <c r="C143" s="847" t="s">
        <v>70</v>
      </c>
      <c r="D143" s="847">
        <f t="shared" ref="D143:N143" si="89">D138/C138-1</f>
        <v>0.52903997266826108</v>
      </c>
      <c r="E143" s="847">
        <f t="shared" si="89"/>
        <v>0.20478158864931295</v>
      </c>
      <c r="F143" s="847">
        <f t="shared" si="89"/>
        <v>9.1617210682492622E-2</v>
      </c>
      <c r="G143" s="847">
        <f t="shared" si="89"/>
        <v>0.18280665987088018</v>
      </c>
      <c r="H143" s="847">
        <f t="shared" si="89"/>
        <v>0.10076127549554714</v>
      </c>
      <c r="I143" s="847">
        <f t="shared" si="89"/>
        <v>8.8340836432439396E-2</v>
      </c>
      <c r="J143" s="847">
        <f t="shared" si="89"/>
        <v>-2.7756129728433554E-2</v>
      </c>
      <c r="K143" s="847">
        <f t="shared" si="89"/>
        <v>2.6698729806387878E-2</v>
      </c>
      <c r="L143" s="847">
        <f t="shared" si="89"/>
        <v>2.6785178067383342E-2</v>
      </c>
      <c r="M143" s="847">
        <f t="shared" si="89"/>
        <v>0.12657191320114625</v>
      </c>
      <c r="N143" s="847">
        <f t="shared" si="89"/>
        <v>-4.0652094906806435E-2</v>
      </c>
    </row>
    <row r="144" spans="2:28" ht="12.75" hidden="1" customHeight="1">
      <c r="B144" s="848" t="s">
        <v>658</v>
      </c>
      <c r="C144" s="849">
        <v>5.3422747993821185E-2</v>
      </c>
      <c r="D144" s="850">
        <v>0.74088909552591109</v>
      </c>
      <c r="E144" s="850">
        <v>0.23836719600632739</v>
      </c>
      <c r="F144" s="850">
        <v>8.6330457863304622E-2</v>
      </c>
      <c r="G144" s="850">
        <v>0.11958646386903671</v>
      </c>
      <c r="H144" s="850">
        <v>3.4576826024687923E-2</v>
      </c>
      <c r="I144" s="850">
        <v>7.0006591957811448E-2</v>
      </c>
      <c r="J144" s="850">
        <v>2.8031049778215911E-2</v>
      </c>
      <c r="K144" s="850">
        <v>3.2528315455144785E-2</v>
      </c>
      <c r="L144" s="850">
        <v>2.3888843747460919E-2</v>
      </c>
      <c r="M144" s="850">
        <v>7.1638305349915443E-2</v>
      </c>
      <c r="N144" s="850">
        <v>5.3868776844465893E-2</v>
      </c>
    </row>
    <row r="145" spans="2:17" ht="12.75" hidden="1" customHeight="1">
      <c r="B145" s="851" t="s">
        <v>666</v>
      </c>
      <c r="C145" s="852">
        <f>CORREL(D143:N143,D144:N144)</f>
        <v>0.94134569224914055</v>
      </c>
    </row>
    <row r="146" spans="2:17" ht="12.75" hidden="1" customHeight="1">
      <c r="B146" s="851" t="s">
        <v>667</v>
      </c>
      <c r="C146" s="852">
        <f>CORREL(I143:N143,I144:N144)</f>
        <v>0.64359867655062353</v>
      </c>
      <c r="E146" s="858"/>
    </row>
    <row r="147" spans="2:17" ht="12.75" hidden="1" customHeight="1">
      <c r="B147" s="851" t="s">
        <v>668</v>
      </c>
      <c r="C147" s="852">
        <f>CORREL(L143:N143,L144:N144)</f>
        <v>0.4690776297653122</v>
      </c>
    </row>
    <row r="148" spans="2:17" ht="12.75" hidden="1" customHeight="1">
      <c r="B148" s="880"/>
      <c r="C148" s="888">
        <f>C138-C140</f>
        <v>463.5</v>
      </c>
      <c r="D148" s="888">
        <f>D138-D140</f>
        <v>616.6</v>
      </c>
      <c r="E148" s="888">
        <f t="shared" ref="E148:N148" si="90">E138-E140</f>
        <v>672.30000000000007</v>
      </c>
      <c r="F148" s="888">
        <f t="shared" si="90"/>
        <v>708.90000000000009</v>
      </c>
      <c r="G148" s="888">
        <f t="shared" si="90"/>
        <v>836.60000000000014</v>
      </c>
      <c r="H148" s="888">
        <f t="shared" si="90"/>
        <v>917</v>
      </c>
      <c r="I148" s="888">
        <f t="shared" si="90"/>
        <v>967.3</v>
      </c>
      <c r="J148" s="888">
        <f t="shared" si="90"/>
        <v>852.3</v>
      </c>
      <c r="K148" s="888">
        <f t="shared" si="90"/>
        <v>860.09999999999991</v>
      </c>
      <c r="L148" s="888">
        <f t="shared" si="90"/>
        <v>885.1</v>
      </c>
      <c r="M148" s="888">
        <f t="shared" si="90"/>
        <v>1065.3</v>
      </c>
      <c r="N148" s="888">
        <f t="shared" si="90"/>
        <v>994.3</v>
      </c>
    </row>
    <row r="149" spans="2:17" ht="25" hidden="1">
      <c r="B149" s="886" t="s">
        <v>669</v>
      </c>
      <c r="C149" s="887" t="s">
        <v>70</v>
      </c>
      <c r="D149" s="850">
        <f>D148/C148-1</f>
        <v>0.33031283710895365</v>
      </c>
      <c r="E149" s="850">
        <f t="shared" ref="E149:N149" si="91">E148/D148-1</f>
        <v>9.0334090171910519E-2</v>
      </c>
      <c r="F149" s="850">
        <f t="shared" si="91"/>
        <v>5.4439982150825461E-2</v>
      </c>
      <c r="G149" s="850">
        <f t="shared" si="91"/>
        <v>0.18013824234729858</v>
      </c>
      <c r="H149" s="850">
        <f t="shared" si="91"/>
        <v>9.6103275161367296E-2</v>
      </c>
      <c r="I149" s="850">
        <f t="shared" si="91"/>
        <v>5.4852780806979196E-2</v>
      </c>
      <c r="J149" s="850">
        <f t="shared" si="91"/>
        <v>-0.11888762534890929</v>
      </c>
      <c r="K149" s="850">
        <f t="shared" si="91"/>
        <v>9.1517071453712795E-3</v>
      </c>
      <c r="L149" s="850">
        <f t="shared" si="91"/>
        <v>2.9066387629345547E-2</v>
      </c>
      <c r="M149" s="850">
        <f t="shared" si="91"/>
        <v>0.20359281437125731</v>
      </c>
      <c r="N149" s="850">
        <f t="shared" si="91"/>
        <v>-6.6647892612409665E-2</v>
      </c>
    </row>
    <row r="150" spans="2:17" ht="12.75" hidden="1" customHeight="1">
      <c r="B150" s="880"/>
      <c r="C150" s="881"/>
    </row>
    <row r="151" spans="2:17" ht="12.75" hidden="1" customHeight="1">
      <c r="B151" s="848" t="s">
        <v>670</v>
      </c>
      <c r="C151" s="882" t="s">
        <v>70</v>
      </c>
      <c r="D151" s="883">
        <f t="shared" ref="D151:N151" si="92">D140/C140-1</f>
        <v>1.2846595570139456</v>
      </c>
      <c r="E151" s="883">
        <f t="shared" si="92"/>
        <v>0.45816876122082584</v>
      </c>
      <c r="F151" s="883">
        <f t="shared" si="92"/>
        <v>0.15316424525978811</v>
      </c>
      <c r="G151" s="883">
        <f t="shared" si="92"/>
        <v>0.18684603886397588</v>
      </c>
      <c r="H151" s="883">
        <f t="shared" si="92"/>
        <v>0.10777258006477175</v>
      </c>
      <c r="I151" s="883">
        <f t="shared" si="92"/>
        <v>0.13821666395972043</v>
      </c>
      <c r="J151" s="883">
        <f t="shared" si="92"/>
        <v>9.803082191780832E-2</v>
      </c>
      <c r="K151" s="883">
        <f t="shared" si="92"/>
        <v>4.6133853151397064E-2</v>
      </c>
      <c r="L151" s="883">
        <f t="shared" si="92"/>
        <v>2.4347826086956514E-2</v>
      </c>
      <c r="M151" s="883">
        <f t="shared" si="92"/>
        <v>4.3900072762551368E-2</v>
      </c>
      <c r="N151" s="883">
        <f t="shared" si="92"/>
        <v>-8.4804832713754053E-3</v>
      </c>
    </row>
    <row r="152" spans="2:17" ht="39" hidden="1">
      <c r="B152" s="884" t="s">
        <v>671</v>
      </c>
      <c r="C152" s="885">
        <f>CORREL(D151:N151,D134:N134)</f>
        <v>0.9912540006363878</v>
      </c>
    </row>
    <row r="153" spans="2:17" ht="39" hidden="1">
      <c r="B153" s="884" t="s">
        <v>672</v>
      </c>
      <c r="C153" s="885">
        <f>CORREL(I151:N151,I134:N134)</f>
        <v>0.21794077121273991</v>
      </c>
      <c r="E153" s="878"/>
      <c r="F153" s="878"/>
      <c r="G153" s="878"/>
      <c r="H153" s="878"/>
      <c r="I153" s="878"/>
      <c r="J153" s="878"/>
      <c r="K153" s="878"/>
      <c r="L153" s="878"/>
      <c r="M153" s="878"/>
      <c r="N153" s="878"/>
      <c r="O153" s="878"/>
    </row>
    <row r="154" spans="2:17" ht="12.75" hidden="1" customHeight="1">
      <c r="F154" s="879"/>
      <c r="G154" s="879"/>
      <c r="H154" s="879"/>
      <c r="I154" s="879"/>
      <c r="J154" s="879"/>
      <c r="K154" s="879"/>
      <c r="L154" s="879"/>
      <c r="M154" s="879"/>
      <c r="N154" s="879"/>
    </row>
    <row r="155" spans="2:17" ht="12.75" hidden="1" customHeight="1"/>
    <row r="156" spans="2:17" ht="12.75" hidden="1" customHeight="1"/>
    <row r="157" spans="2:17" ht="12.75" hidden="1" customHeight="1"/>
    <row r="158" spans="2:17" ht="12.75" hidden="1" customHeight="1"/>
    <row r="159" spans="2:17" ht="12.75" hidden="1" customHeight="1"/>
    <row r="160" spans="2:17" ht="12.75" hidden="1" customHeight="1">
      <c r="J160" s="1390"/>
      <c r="K160" s="1391"/>
      <c r="L160" s="890" t="s">
        <v>673</v>
      </c>
      <c r="M160" s="890" t="s">
        <v>674</v>
      </c>
      <c r="N160" s="890" t="s">
        <v>675</v>
      </c>
      <c r="P160" s="893" t="s">
        <v>676</v>
      </c>
      <c r="Q160" s="893" t="s">
        <v>677</v>
      </c>
    </row>
    <row r="161" spans="3:40" s="831" customFormat="1" ht="16.5" hidden="1" customHeight="1">
      <c r="J161" s="1389" t="s">
        <v>670</v>
      </c>
      <c r="K161" s="1389"/>
      <c r="L161" s="891">
        <f>AVERAGE(L151:N151)</f>
        <v>1.9922471859377493E-2</v>
      </c>
      <c r="M161" s="891">
        <f>AVERAGE(J151:N151)</f>
        <v>4.0786418129467573E-2</v>
      </c>
      <c r="N161" s="891">
        <f>AVERAGE(E151:N151)</f>
        <v>0.12481003800164199</v>
      </c>
      <c r="P161" s="889">
        <v>5.0000000000000001E-3</v>
      </c>
      <c r="Q161" s="889">
        <v>0.01</v>
      </c>
    </row>
    <row r="162" spans="3:40" ht="16.5" hidden="1" customHeight="1">
      <c r="J162" s="1389" t="s">
        <v>665</v>
      </c>
      <c r="K162" s="1389"/>
      <c r="L162" s="892">
        <f>AVERAGE(L143:N143)</f>
        <v>3.7568332120574387E-2</v>
      </c>
      <c r="M162" s="892">
        <f>AVERAGE(J143:N143)</f>
        <v>2.2329519287935494E-2</v>
      </c>
      <c r="N162" s="892">
        <f>AVERAGE(E143:N143)</f>
        <v>7.7995516757034977E-2</v>
      </c>
      <c r="P162" s="831" t="s">
        <v>70</v>
      </c>
      <c r="Q162" s="831" t="s">
        <v>70</v>
      </c>
    </row>
    <row r="163" spans="3:40" ht="12.75" hidden="1" customHeight="1">
      <c r="J163" s="1420" t="s">
        <v>678</v>
      </c>
      <c r="K163" s="1420"/>
      <c r="L163" s="1411">
        <f>AVERAGE(L149:N149)</f>
        <v>5.5337103129397734E-2</v>
      </c>
      <c r="M163" s="1411">
        <f>AVERAGE(J149:N149)</f>
        <v>1.1255078236931037E-2</v>
      </c>
      <c r="N163" s="1411">
        <f>AVERAGE(E149:N149)</f>
        <v>5.3214376182303624E-2</v>
      </c>
      <c r="P163" s="1419">
        <v>0.04</v>
      </c>
      <c r="Q163" s="1419">
        <v>0.02</v>
      </c>
    </row>
    <row r="164" spans="3:40" ht="12.75" hidden="1" customHeight="1">
      <c r="J164" s="1420"/>
      <c r="K164" s="1420"/>
      <c r="L164" s="1412"/>
      <c r="M164" s="1412"/>
      <c r="N164" s="1412"/>
      <c r="P164" s="1419"/>
      <c r="Q164" s="1419"/>
    </row>
    <row r="165" spans="3:40" ht="12.75" hidden="1" customHeight="1"/>
    <row r="166" spans="3:40" ht="12.75" hidden="1" customHeight="1"/>
    <row r="167" spans="3:40" ht="12.75" hidden="1" customHeight="1"/>
    <row r="168" spans="3:40" ht="12.75" hidden="1" customHeight="1"/>
    <row r="169" spans="3:40" ht="12.75" hidden="1" customHeight="1"/>
    <row r="170" spans="3:40" ht="12.75" hidden="1" customHeight="1"/>
    <row r="171" spans="3:40" ht="12.75" hidden="1" customHeight="1"/>
    <row r="172" spans="3:40" ht="12.75" hidden="1" customHeight="1"/>
    <row r="173" spans="3:40" ht="12.75" hidden="1" customHeight="1"/>
    <row r="174" spans="3:40" ht="12.75" hidden="1" customHeight="1"/>
    <row r="175" spans="3:40" ht="12.75" hidden="1" customHeight="1">
      <c r="O175" s="1416" t="s">
        <v>555</v>
      </c>
      <c r="P175" s="1417"/>
      <c r="Q175" s="1417"/>
      <c r="R175" s="1417"/>
      <c r="S175" s="1418"/>
      <c r="T175" s="1413" t="s">
        <v>556</v>
      </c>
      <c r="U175" s="1414"/>
      <c r="V175" s="1414"/>
      <c r="W175" s="1414"/>
      <c r="X175" s="1414"/>
      <c r="Y175" s="1414"/>
      <c r="Z175" s="1414"/>
      <c r="AA175" s="1414"/>
      <c r="AB175" s="1414"/>
      <c r="AC175" s="1414"/>
      <c r="AD175" s="1414"/>
      <c r="AE175" s="1414"/>
      <c r="AF175" s="1414"/>
      <c r="AG175" s="1414"/>
      <c r="AH175" s="1414"/>
      <c r="AI175" s="1414"/>
      <c r="AJ175" s="1414"/>
      <c r="AK175" s="1414"/>
      <c r="AL175" s="1414"/>
      <c r="AM175" s="1414"/>
      <c r="AN175" s="1415"/>
    </row>
    <row r="176" spans="3:40" ht="12.75" hidden="1" customHeight="1">
      <c r="C176" s="853">
        <v>2013</v>
      </c>
      <c r="D176" s="853">
        <f>C176+1</f>
        <v>2014</v>
      </c>
      <c r="E176" s="853">
        <f t="shared" ref="E176:M176" si="93">D176+1</f>
        <v>2015</v>
      </c>
      <c r="F176" s="853">
        <f t="shared" si="93"/>
        <v>2016</v>
      </c>
      <c r="G176" s="853">
        <f t="shared" si="93"/>
        <v>2017</v>
      </c>
      <c r="H176" s="853">
        <f t="shared" si="93"/>
        <v>2018</v>
      </c>
      <c r="I176" s="853">
        <f t="shared" si="93"/>
        <v>2019</v>
      </c>
      <c r="J176" s="853">
        <f t="shared" si="93"/>
        <v>2020</v>
      </c>
      <c r="K176" s="853">
        <f t="shared" si="93"/>
        <v>2021</v>
      </c>
      <c r="L176" s="853">
        <f t="shared" si="93"/>
        <v>2022</v>
      </c>
      <c r="M176" s="853">
        <f t="shared" si="93"/>
        <v>2023</v>
      </c>
      <c r="N176" s="853">
        <v>2024</v>
      </c>
      <c r="O176" s="853">
        <f>N176+1</f>
        <v>2025</v>
      </c>
      <c r="P176" s="853">
        <f>O176+1</f>
        <v>2026</v>
      </c>
      <c r="Q176" s="853">
        <f t="shared" ref="Q176:AH176" si="94">P176+1</f>
        <v>2027</v>
      </c>
      <c r="R176" s="853">
        <f t="shared" si="94"/>
        <v>2028</v>
      </c>
      <c r="S176" s="853">
        <f t="shared" si="94"/>
        <v>2029</v>
      </c>
      <c r="T176" s="853">
        <f t="shared" si="94"/>
        <v>2030</v>
      </c>
      <c r="U176" s="853">
        <f t="shared" si="94"/>
        <v>2031</v>
      </c>
      <c r="V176" s="853">
        <f t="shared" si="94"/>
        <v>2032</v>
      </c>
      <c r="W176" s="853">
        <f t="shared" si="94"/>
        <v>2033</v>
      </c>
      <c r="X176" s="853">
        <f t="shared" si="94"/>
        <v>2034</v>
      </c>
      <c r="Y176" s="853">
        <f t="shared" si="94"/>
        <v>2035</v>
      </c>
      <c r="Z176" s="853">
        <f t="shared" si="94"/>
        <v>2036</v>
      </c>
      <c r="AA176" s="853">
        <f t="shared" si="94"/>
        <v>2037</v>
      </c>
      <c r="AB176" s="853">
        <f t="shared" si="94"/>
        <v>2038</v>
      </c>
      <c r="AC176" s="853">
        <f t="shared" si="94"/>
        <v>2039</v>
      </c>
      <c r="AD176" s="853">
        <f t="shared" si="94"/>
        <v>2040</v>
      </c>
      <c r="AE176" s="853">
        <f t="shared" si="94"/>
        <v>2041</v>
      </c>
      <c r="AF176" s="853">
        <f t="shared" si="94"/>
        <v>2042</v>
      </c>
      <c r="AG176" s="853">
        <f t="shared" si="94"/>
        <v>2043</v>
      </c>
      <c r="AH176" s="853">
        <f t="shared" si="94"/>
        <v>2044</v>
      </c>
      <c r="AI176" s="853">
        <f>AH176+1</f>
        <v>2045</v>
      </c>
      <c r="AJ176" s="853">
        <f t="shared" ref="AJ176:AN176" si="95">AI176+1</f>
        <v>2046</v>
      </c>
      <c r="AK176" s="853">
        <f t="shared" si="95"/>
        <v>2047</v>
      </c>
      <c r="AL176" s="853">
        <f t="shared" si="95"/>
        <v>2048</v>
      </c>
      <c r="AM176" s="853">
        <f t="shared" si="95"/>
        <v>2049</v>
      </c>
      <c r="AN176" s="853">
        <f t="shared" si="95"/>
        <v>2050</v>
      </c>
    </row>
    <row r="177" spans="2:40" s="831" customFormat="1" ht="21" hidden="1" customHeight="1">
      <c r="B177" s="904" t="s">
        <v>664</v>
      </c>
      <c r="C177" s="896">
        <v>0.2082336863682952</v>
      </c>
      <c r="D177" s="897">
        <v>0.31113842028823596</v>
      </c>
      <c r="E177" s="897">
        <v>0.37657640949554894</v>
      </c>
      <c r="F177" s="897">
        <v>0.39780835881753313</v>
      </c>
      <c r="G177" s="897">
        <v>0.39916690606147653</v>
      </c>
      <c r="H177" s="897">
        <v>0.40170940170940173</v>
      </c>
      <c r="I177" s="897">
        <v>0.42011869791978895</v>
      </c>
      <c r="J177" s="897">
        <v>0.47447280799112102</v>
      </c>
      <c r="K177" s="897">
        <v>0.48345444718034958</v>
      </c>
      <c r="L177" s="897">
        <v>0.48230683745686376</v>
      </c>
      <c r="M177" s="897">
        <v>0.44691345205337207</v>
      </c>
      <c r="N177" s="902">
        <v>0.46190063859725078</v>
      </c>
      <c r="O177" s="901">
        <f>O178/O180</f>
        <v>0.44635590556753557</v>
      </c>
      <c r="P177" s="894">
        <f t="shared" ref="P177:AN177" si="96">P178/P180</f>
        <v>0.43133431259170496</v>
      </c>
      <c r="Q177" s="894">
        <f t="shared" si="96"/>
        <v>0.41681825399486871</v>
      </c>
      <c r="R177" s="894">
        <f t="shared" si="96"/>
        <v>0.40279071660081062</v>
      </c>
      <c r="S177" s="894">
        <f t="shared" si="96"/>
        <v>0.38923525979212936</v>
      </c>
      <c r="T177" s="894">
        <f t="shared" si="96"/>
        <v>0.38541922783338295</v>
      </c>
      <c r="U177" s="894">
        <f t="shared" si="96"/>
        <v>0.38164060795266347</v>
      </c>
      <c r="V177" s="894">
        <f t="shared" si="96"/>
        <v>0.37789903336489222</v>
      </c>
      <c r="W177" s="894">
        <f t="shared" si="96"/>
        <v>0.37419414088092273</v>
      </c>
      <c r="X177" s="894">
        <f t="shared" si="96"/>
        <v>0.37052557087228621</v>
      </c>
      <c r="Y177" s="894">
        <f t="shared" si="96"/>
        <v>0.36689296723628345</v>
      </c>
      <c r="Z177" s="894">
        <f t="shared" si="96"/>
        <v>0.36329597736141794</v>
      </c>
      <c r="AA177" s="894">
        <f t="shared" si="96"/>
        <v>0.35973425209316873</v>
      </c>
      <c r="AB177" s="894">
        <f t="shared" si="96"/>
        <v>0.35620744570009844</v>
      </c>
      <c r="AC177" s="894">
        <f t="shared" si="96"/>
        <v>0.35271521584029358</v>
      </c>
      <c r="AD177" s="894">
        <f t="shared" si="96"/>
        <v>0.34925722352813382</v>
      </c>
      <c r="AE177" s="894">
        <f t="shared" si="96"/>
        <v>0.34583313310138736</v>
      </c>
      <c r="AF177" s="894">
        <f t="shared" si="96"/>
        <v>0.34244261218862865</v>
      </c>
      <c r="AG177" s="894">
        <f t="shared" si="96"/>
        <v>0.33908533167697541</v>
      </c>
      <c r="AH177" s="894">
        <f t="shared" si="96"/>
        <v>0.3357609656801423</v>
      </c>
      <c r="AI177" s="894">
        <f t="shared" si="96"/>
        <v>0.33246919150680754</v>
      </c>
      <c r="AJ177" s="894">
        <f t="shared" si="96"/>
        <v>0.32920968962928987</v>
      </c>
      <c r="AK177" s="894">
        <f t="shared" si="96"/>
        <v>0.32598214365253209</v>
      </c>
      <c r="AL177" s="894">
        <f t="shared" si="96"/>
        <v>0.32278624028338965</v>
      </c>
      <c r="AM177" s="894">
        <f t="shared" si="96"/>
        <v>0.31962166930021918</v>
      </c>
      <c r="AN177" s="895">
        <f t="shared" si="96"/>
        <v>0.31648812352276606</v>
      </c>
    </row>
    <row r="178" spans="2:40" s="831" customFormat="1" ht="21" hidden="1" customHeight="1">
      <c r="B178" s="905" t="s">
        <v>662</v>
      </c>
      <c r="C178" s="855">
        <f>C140</f>
        <v>121.9</v>
      </c>
      <c r="D178" s="856">
        <f>D140</f>
        <v>278.5</v>
      </c>
      <c r="E178" s="856">
        <f t="shared" ref="E178:N178" si="97">E140</f>
        <v>406.1</v>
      </c>
      <c r="F178" s="856">
        <f t="shared" si="97"/>
        <v>468.3</v>
      </c>
      <c r="G178" s="856">
        <f t="shared" si="97"/>
        <v>555.79999999999995</v>
      </c>
      <c r="H178" s="856">
        <f t="shared" si="97"/>
        <v>615.70000000000005</v>
      </c>
      <c r="I178" s="856">
        <f t="shared" si="97"/>
        <v>700.8</v>
      </c>
      <c r="J178" s="856">
        <f t="shared" si="97"/>
        <v>769.5</v>
      </c>
      <c r="K178" s="856">
        <f t="shared" si="97"/>
        <v>805</v>
      </c>
      <c r="L178" s="856">
        <f t="shared" si="97"/>
        <v>824.6</v>
      </c>
      <c r="M178" s="856">
        <f t="shared" si="97"/>
        <v>860.8</v>
      </c>
      <c r="N178" s="857">
        <f t="shared" si="97"/>
        <v>853.5</v>
      </c>
      <c r="O178" s="903">
        <f>N178*(1+P161)</f>
        <v>857.76749999999993</v>
      </c>
      <c r="P178" s="751">
        <f>O178*($P$161+1)</f>
        <v>862.05633749999981</v>
      </c>
      <c r="Q178" s="751">
        <f>P178*($P$161+1)</f>
        <v>866.36661918749974</v>
      </c>
      <c r="R178" s="751">
        <f>Q178*($P$161+1)</f>
        <v>870.69845228343718</v>
      </c>
      <c r="S178" s="751">
        <f>R178*($P$161+1)</f>
        <v>875.05194454485422</v>
      </c>
      <c r="T178" s="751">
        <f t="shared" ref="T178:AN178" si="98">S178*(1+$Q$161)</f>
        <v>883.80246399030273</v>
      </c>
      <c r="U178" s="751">
        <f t="shared" si="98"/>
        <v>892.64048863020571</v>
      </c>
      <c r="V178" s="751">
        <f t="shared" si="98"/>
        <v>901.56689351650778</v>
      </c>
      <c r="W178" s="751">
        <f t="shared" si="98"/>
        <v>910.58256245167286</v>
      </c>
      <c r="X178" s="751">
        <f t="shared" si="98"/>
        <v>919.68838807618954</v>
      </c>
      <c r="Y178" s="751">
        <f t="shared" si="98"/>
        <v>928.88527195695144</v>
      </c>
      <c r="Z178" s="751">
        <f t="shared" si="98"/>
        <v>938.17412467652093</v>
      </c>
      <c r="AA178" s="751">
        <f t="shared" si="98"/>
        <v>947.55586592328621</v>
      </c>
      <c r="AB178" s="751">
        <f t="shared" si="98"/>
        <v>957.03142458251909</v>
      </c>
      <c r="AC178" s="751">
        <f t="shared" si="98"/>
        <v>966.60173882834431</v>
      </c>
      <c r="AD178" s="751">
        <f t="shared" si="98"/>
        <v>976.26775621662773</v>
      </c>
      <c r="AE178" s="751">
        <f t="shared" si="98"/>
        <v>986.03043377879396</v>
      </c>
      <c r="AF178" s="751">
        <f t="shared" si="98"/>
        <v>995.89073811658193</v>
      </c>
      <c r="AG178" s="751">
        <f t="shared" si="98"/>
        <v>1005.8496454977477</v>
      </c>
      <c r="AH178" s="751">
        <f t="shared" si="98"/>
        <v>1015.9081419527251</v>
      </c>
      <c r="AI178" s="751">
        <f t="shared" si="98"/>
        <v>1026.0672233722523</v>
      </c>
      <c r="AJ178" s="751">
        <f t="shared" si="98"/>
        <v>1036.3278956059748</v>
      </c>
      <c r="AK178" s="751">
        <f t="shared" si="98"/>
        <v>1046.6911745620346</v>
      </c>
      <c r="AL178" s="751">
        <f t="shared" si="98"/>
        <v>1057.1580863076549</v>
      </c>
      <c r="AM178" s="751">
        <f t="shared" si="98"/>
        <v>1067.7296671707315</v>
      </c>
      <c r="AN178" s="752">
        <f t="shared" si="98"/>
        <v>1078.4069638424389</v>
      </c>
    </row>
    <row r="179" spans="2:40" s="831" customFormat="1" ht="26.5" hidden="1" customHeight="1">
      <c r="B179" s="906" t="s">
        <v>679</v>
      </c>
      <c r="C179" s="855">
        <v>463.5</v>
      </c>
      <c r="D179" s="856">
        <v>616.6</v>
      </c>
      <c r="E179" s="856">
        <v>672.30000000000007</v>
      </c>
      <c r="F179" s="856">
        <v>708.90000000000009</v>
      </c>
      <c r="G179" s="856">
        <v>836.60000000000014</v>
      </c>
      <c r="H179" s="856">
        <v>917</v>
      </c>
      <c r="I179" s="856">
        <v>967.3</v>
      </c>
      <c r="J179" s="856">
        <v>852.3</v>
      </c>
      <c r="K179" s="856">
        <v>860.09999999999991</v>
      </c>
      <c r="L179" s="856">
        <v>885.1</v>
      </c>
      <c r="M179" s="856">
        <v>1065.3</v>
      </c>
      <c r="N179" s="857">
        <v>994.3</v>
      </c>
      <c r="O179" s="903">
        <f>O180-O178</f>
        <v>1063.9445000000001</v>
      </c>
      <c r="P179" s="751">
        <f>P180-P178</f>
        <v>1136.5241425000004</v>
      </c>
      <c r="Q179" s="751">
        <f t="shared" ref="Q179:AN179" si="99">Q180-Q178</f>
        <v>1212.1570800125003</v>
      </c>
      <c r="R179" s="751">
        <f t="shared" si="99"/>
        <v>1290.9661948845628</v>
      </c>
      <c r="S179" s="751">
        <f t="shared" si="99"/>
        <v>1373.079288509866</v>
      </c>
      <c r="T179" s="751">
        <f t="shared" si="99"/>
        <v>1409.2913937255121</v>
      </c>
      <c r="U179" s="751">
        <f t="shared" si="99"/>
        <v>1446.3152462399257</v>
      </c>
      <c r="V179" s="751">
        <f t="shared" si="99"/>
        <v>1484.1679560510265</v>
      </c>
      <c r="W179" s="751">
        <f t="shared" si="99"/>
        <v>1522.8669841072119</v>
      </c>
      <c r="X179" s="751">
        <f t="shared" si="99"/>
        <v>1562.4301494138729</v>
      </c>
      <c r="Y179" s="751">
        <f t="shared" si="99"/>
        <v>1602.8756362829122</v>
      </c>
      <c r="Z179" s="751">
        <f t="shared" si="99"/>
        <v>1644.2220017281397</v>
      </c>
      <c r="AA179" s="751">
        <f t="shared" si="99"/>
        <v>1686.4881830094678</v>
      </c>
      <c r="AB179" s="751">
        <f t="shared" si="99"/>
        <v>1729.6935053288901</v>
      </c>
      <c r="AC179" s="751">
        <f t="shared" si="99"/>
        <v>1773.8576896812929</v>
      </c>
      <c r="AD179" s="751">
        <f t="shared" si="99"/>
        <v>1819.0008608632024</v>
      </c>
      <c r="AE179" s="751">
        <f t="shared" si="99"/>
        <v>1865.1435556426331</v>
      </c>
      <c r="AF179" s="751">
        <f t="shared" si="99"/>
        <v>1912.3067310932738</v>
      </c>
      <c r="AG179" s="751">
        <f t="shared" si="99"/>
        <v>1960.5117730963052</v>
      </c>
      <c r="AH179" s="751">
        <f t="shared" si="99"/>
        <v>2009.7805050132088</v>
      </c>
      <c r="AI179" s="751">
        <f t="shared" si="99"/>
        <v>2060.1351965330005</v>
      </c>
      <c r="AJ179" s="751">
        <f t="shared" si="99"/>
        <v>2111.5985726973827</v>
      </c>
      <c r="AK179" s="751">
        <f t="shared" si="99"/>
        <v>2164.19382310739</v>
      </c>
      <c r="AL179" s="751">
        <f t="shared" si="99"/>
        <v>2217.944611315158</v>
      </c>
      <c r="AM179" s="751">
        <f t="shared" si="99"/>
        <v>2272.875084404538</v>
      </c>
      <c r="AN179" s="752">
        <f t="shared" si="99"/>
        <v>2329.009882764336</v>
      </c>
    </row>
    <row r="180" spans="2:40" s="831" customFormat="1" ht="21" hidden="1" customHeight="1">
      <c r="B180" s="907" t="s">
        <v>680</v>
      </c>
      <c r="C180" s="898">
        <f>C138</f>
        <v>585.4</v>
      </c>
      <c r="D180" s="899">
        <f>D138</f>
        <v>895.1</v>
      </c>
      <c r="E180" s="899">
        <f t="shared" ref="E180:N180" si="100">E138</f>
        <v>1078.4000000000001</v>
      </c>
      <c r="F180" s="899">
        <f t="shared" si="100"/>
        <v>1177.2</v>
      </c>
      <c r="G180" s="899">
        <f t="shared" si="100"/>
        <v>1392.4</v>
      </c>
      <c r="H180" s="899">
        <f t="shared" si="100"/>
        <v>1532.7</v>
      </c>
      <c r="I180" s="899">
        <f t="shared" si="100"/>
        <v>1668.1</v>
      </c>
      <c r="J180" s="899">
        <f t="shared" si="100"/>
        <v>1621.8</v>
      </c>
      <c r="K180" s="899">
        <f t="shared" si="100"/>
        <v>1665.1</v>
      </c>
      <c r="L180" s="899">
        <f t="shared" si="100"/>
        <v>1709.7</v>
      </c>
      <c r="M180" s="899">
        <f t="shared" si="100"/>
        <v>1926.1</v>
      </c>
      <c r="N180" s="900">
        <f t="shared" si="100"/>
        <v>1847.8</v>
      </c>
      <c r="O180" s="908">
        <f>N180*(1+P163)</f>
        <v>1921.712</v>
      </c>
      <c r="P180" s="908">
        <f>O180*(1+$P$163)</f>
        <v>1998.5804800000001</v>
      </c>
      <c r="Q180" s="908">
        <f>P180*(1+$P$163)</f>
        <v>2078.5236992</v>
      </c>
      <c r="R180" s="908">
        <f>Q180*(1+$P$163)</f>
        <v>2161.6646471680001</v>
      </c>
      <c r="S180" s="908">
        <f>R180*(1+$P$163)</f>
        <v>2248.1312330547203</v>
      </c>
      <c r="T180" s="909">
        <f>S180*(1+Q163)</f>
        <v>2293.0938577158149</v>
      </c>
      <c r="U180" s="909">
        <f t="shared" ref="U180:AN180" si="101">T180*(1+$Q$163)</f>
        <v>2338.9557348701314</v>
      </c>
      <c r="V180" s="909">
        <f t="shared" si="101"/>
        <v>2385.7348495675342</v>
      </c>
      <c r="W180" s="909">
        <f t="shared" si="101"/>
        <v>2433.4495465588848</v>
      </c>
      <c r="X180" s="909">
        <f t="shared" si="101"/>
        <v>2482.1185374900624</v>
      </c>
      <c r="Y180" s="909">
        <f t="shared" si="101"/>
        <v>2531.7609082398635</v>
      </c>
      <c r="Z180" s="909">
        <f t="shared" si="101"/>
        <v>2582.3961264046607</v>
      </c>
      <c r="AA180" s="909">
        <f t="shared" si="101"/>
        <v>2634.0440489327539</v>
      </c>
      <c r="AB180" s="909">
        <f t="shared" si="101"/>
        <v>2686.7249299114092</v>
      </c>
      <c r="AC180" s="909">
        <f t="shared" si="101"/>
        <v>2740.4594285096373</v>
      </c>
      <c r="AD180" s="909">
        <f t="shared" si="101"/>
        <v>2795.2686170798302</v>
      </c>
      <c r="AE180" s="909">
        <f t="shared" si="101"/>
        <v>2851.173989421427</v>
      </c>
      <c r="AF180" s="909">
        <f t="shared" si="101"/>
        <v>2908.1974692098556</v>
      </c>
      <c r="AG180" s="909">
        <f t="shared" si="101"/>
        <v>2966.3614185940528</v>
      </c>
      <c r="AH180" s="909">
        <f t="shared" si="101"/>
        <v>3025.6886469659339</v>
      </c>
      <c r="AI180" s="909">
        <f t="shared" si="101"/>
        <v>3086.2024199052526</v>
      </c>
      <c r="AJ180" s="909">
        <f t="shared" si="101"/>
        <v>3147.9264683033575</v>
      </c>
      <c r="AK180" s="909">
        <f t="shared" si="101"/>
        <v>3210.8849976694246</v>
      </c>
      <c r="AL180" s="909">
        <f t="shared" si="101"/>
        <v>3275.1026976228131</v>
      </c>
      <c r="AM180" s="909">
        <f t="shared" si="101"/>
        <v>3340.6047515752693</v>
      </c>
      <c r="AN180" s="910">
        <f t="shared" si="101"/>
        <v>3407.4168466067749</v>
      </c>
    </row>
    <row r="999" spans="83:108" ht="12.75" customHeight="1">
      <c r="CE999" s="781"/>
      <c r="CF999" s="781"/>
      <c r="CG999" s="781"/>
      <c r="CH999" s="781"/>
      <c r="CI999" s="781"/>
      <c r="CJ999" s="781"/>
      <c r="CK999" s="781"/>
      <c r="CL999" s="781"/>
      <c r="CM999" s="781"/>
      <c r="CN999" s="781"/>
      <c r="CO999" s="781"/>
      <c r="CP999" s="781"/>
      <c r="CQ999" s="781"/>
      <c r="CR999" s="781"/>
      <c r="CS999" s="781"/>
      <c r="CT999" s="781"/>
      <c r="CU999" s="1410" t="s">
        <v>681</v>
      </c>
      <c r="CV999" s="1410"/>
      <c r="CW999" s="1410"/>
      <c r="CX999" s="1410"/>
      <c r="CY999" s="1410"/>
      <c r="CZ999" s="781"/>
      <c r="DA999" s="781"/>
      <c r="DB999" s="781"/>
      <c r="DC999" s="781"/>
      <c r="DD999" s="781"/>
    </row>
    <row r="1000" spans="83:108" ht="12.75" customHeight="1">
      <c r="CE1000" s="781"/>
      <c r="CF1000" s="781"/>
      <c r="CG1000" s="781"/>
      <c r="CH1000" s="781"/>
      <c r="CI1000" s="781"/>
      <c r="CJ1000" s="781"/>
      <c r="CK1000" s="781"/>
      <c r="CL1000" s="781"/>
      <c r="CM1000" s="781"/>
      <c r="CN1000" s="781"/>
      <c r="CO1000" s="781"/>
      <c r="CP1000" s="781"/>
      <c r="CQ1000" s="781"/>
      <c r="CR1000" s="781"/>
      <c r="CS1000" s="781"/>
      <c r="CT1000" s="781"/>
      <c r="CU1000" s="1410"/>
      <c r="CV1000" s="1410"/>
      <c r="CW1000" s="1410"/>
      <c r="CX1000" s="1410"/>
      <c r="CY1000" s="1410"/>
      <c r="CZ1000" s="781"/>
      <c r="DA1000" s="781"/>
      <c r="DB1000" s="781"/>
      <c r="DC1000" s="781"/>
      <c r="DD1000" s="781"/>
    </row>
    <row r="1001" spans="83:108" ht="12.75" customHeight="1">
      <c r="CE1001" s="781"/>
      <c r="CF1001" s="781"/>
      <c r="CG1001" s="781"/>
      <c r="CH1001" s="781"/>
      <c r="CI1001" s="781"/>
      <c r="CJ1001" s="781"/>
      <c r="CK1001" s="781"/>
      <c r="CL1001" s="781"/>
      <c r="CM1001" s="781"/>
      <c r="CN1001" s="781"/>
      <c r="CO1001" s="781"/>
      <c r="CP1001" s="781"/>
      <c r="CQ1001" s="781"/>
      <c r="CR1001" s="781"/>
      <c r="CS1001" s="781"/>
      <c r="CT1001" s="781"/>
      <c r="CU1001" s="781"/>
      <c r="CV1001" s="781"/>
      <c r="CW1001" s="781"/>
      <c r="CX1001" s="781"/>
      <c r="CY1001" s="781"/>
      <c r="CZ1001" s="781"/>
      <c r="DA1001" s="781"/>
      <c r="DB1001" s="781"/>
      <c r="DC1001" s="781"/>
      <c r="DD1001" s="781"/>
    </row>
    <row r="1002" spans="83:108" ht="12.75" customHeight="1">
      <c r="CE1002" s="781"/>
      <c r="CF1002" s="781"/>
      <c r="CG1002" s="781"/>
      <c r="CH1002" s="781"/>
      <c r="CI1002" s="781"/>
      <c r="CJ1002" s="781"/>
      <c r="CK1002" s="781"/>
      <c r="CL1002" s="781"/>
      <c r="CM1002" s="781"/>
      <c r="CN1002" s="781"/>
      <c r="CO1002" s="781"/>
      <c r="CP1002" s="781"/>
      <c r="CQ1002" s="1401" t="s">
        <v>682</v>
      </c>
      <c r="CR1002" s="1402"/>
      <c r="CS1002" s="1402"/>
      <c r="CT1002" s="1402"/>
      <c r="CU1002" s="1402"/>
      <c r="CV1002" s="1402"/>
      <c r="CW1002" s="1402"/>
      <c r="CX1002" s="1402"/>
      <c r="CY1002" s="1402"/>
      <c r="CZ1002" s="1402"/>
      <c r="DA1002" s="1402"/>
      <c r="DB1002" s="1402"/>
      <c r="DC1002" s="1402"/>
      <c r="DD1002" s="1403"/>
    </row>
    <row r="1003" spans="83:108" ht="12.75" customHeight="1">
      <c r="CE1003" s="781"/>
      <c r="CF1003" s="781"/>
      <c r="CG1003" s="781"/>
      <c r="CH1003" s="781"/>
      <c r="CI1003" s="781"/>
      <c r="CJ1003" s="781"/>
      <c r="CK1003" s="781"/>
      <c r="CL1003" s="781"/>
      <c r="CM1003" s="781"/>
      <c r="CN1003" s="781"/>
      <c r="CO1003" s="781"/>
      <c r="CP1003" s="781"/>
      <c r="CQ1003" s="1404"/>
      <c r="CR1003" s="1405"/>
      <c r="CS1003" s="1405"/>
      <c r="CT1003" s="1405"/>
      <c r="CU1003" s="1405"/>
      <c r="CV1003" s="1405"/>
      <c r="CW1003" s="1405"/>
      <c r="CX1003" s="1405"/>
      <c r="CY1003" s="1405"/>
      <c r="CZ1003" s="1405"/>
      <c r="DA1003" s="1405"/>
      <c r="DB1003" s="1405"/>
      <c r="DC1003" s="1405"/>
      <c r="DD1003" s="1406"/>
    </row>
    <row r="1004" spans="83:108" ht="12.75" customHeight="1">
      <c r="CE1004" s="781"/>
      <c r="CF1004" s="781"/>
      <c r="CG1004" s="781"/>
      <c r="CH1004" s="781"/>
      <c r="CI1004" s="781"/>
      <c r="CJ1004" s="781"/>
      <c r="CK1004" s="781"/>
      <c r="CL1004" s="781"/>
      <c r="CM1004" s="781"/>
      <c r="CN1004" s="781"/>
      <c r="CO1004" s="781"/>
      <c r="CP1004" s="781"/>
      <c r="CQ1004" s="1404"/>
      <c r="CR1004" s="1405"/>
      <c r="CS1004" s="1405"/>
      <c r="CT1004" s="1405"/>
      <c r="CU1004" s="1405"/>
      <c r="CV1004" s="1405"/>
      <c r="CW1004" s="1405"/>
      <c r="CX1004" s="1405"/>
      <c r="CY1004" s="1405"/>
      <c r="CZ1004" s="1405"/>
      <c r="DA1004" s="1405"/>
      <c r="DB1004" s="1405"/>
      <c r="DC1004" s="1405"/>
      <c r="DD1004" s="1406"/>
    </row>
    <row r="1005" spans="83:108" ht="12.75" customHeight="1">
      <c r="CE1005" s="781"/>
      <c r="CF1005" s="781"/>
      <c r="CG1005" s="781"/>
      <c r="CH1005" s="781"/>
      <c r="CI1005" s="781"/>
      <c r="CJ1005" s="781"/>
      <c r="CK1005" s="781"/>
      <c r="CL1005" s="781"/>
      <c r="CM1005" s="781"/>
      <c r="CN1005" s="781"/>
      <c r="CO1005" s="781"/>
      <c r="CP1005" s="781"/>
      <c r="CQ1005" s="1404"/>
      <c r="CR1005" s="1405"/>
      <c r="CS1005" s="1405"/>
      <c r="CT1005" s="1405"/>
      <c r="CU1005" s="1405"/>
      <c r="CV1005" s="1405"/>
      <c r="CW1005" s="1405"/>
      <c r="CX1005" s="1405"/>
      <c r="CY1005" s="1405"/>
      <c r="CZ1005" s="1405"/>
      <c r="DA1005" s="1405"/>
      <c r="DB1005" s="1405"/>
      <c r="DC1005" s="1405"/>
      <c r="DD1005" s="1406"/>
    </row>
    <row r="1006" spans="83:108" ht="12.75" customHeight="1">
      <c r="CE1006" s="781"/>
      <c r="CF1006" s="781"/>
      <c r="CG1006" s="781"/>
      <c r="CH1006" s="781"/>
      <c r="CI1006" s="781"/>
      <c r="CJ1006" s="781"/>
      <c r="CK1006" s="781"/>
      <c r="CL1006" s="781"/>
      <c r="CM1006" s="781"/>
      <c r="CN1006" s="781"/>
      <c r="CO1006" s="781"/>
      <c r="CP1006" s="781"/>
      <c r="CQ1006" s="1404"/>
      <c r="CR1006" s="1405"/>
      <c r="CS1006" s="1405"/>
      <c r="CT1006" s="1405"/>
      <c r="CU1006" s="1405"/>
      <c r="CV1006" s="1405"/>
      <c r="CW1006" s="1405"/>
      <c r="CX1006" s="1405"/>
      <c r="CY1006" s="1405"/>
      <c r="CZ1006" s="1405"/>
      <c r="DA1006" s="1405"/>
      <c r="DB1006" s="1405"/>
      <c r="DC1006" s="1405"/>
      <c r="DD1006" s="1406"/>
    </row>
    <row r="1007" spans="83:108" ht="12.75" customHeight="1">
      <c r="CE1007" s="781"/>
      <c r="CF1007" s="781"/>
      <c r="CG1007" s="781"/>
      <c r="CH1007" s="781"/>
      <c r="CI1007" s="781"/>
      <c r="CJ1007" s="781"/>
      <c r="CK1007" s="781"/>
      <c r="CL1007" s="781"/>
      <c r="CM1007" s="781"/>
      <c r="CN1007" s="781"/>
      <c r="CO1007" s="781"/>
      <c r="CP1007" s="781"/>
      <c r="CQ1007" s="1404"/>
      <c r="CR1007" s="1405"/>
      <c r="CS1007" s="1405"/>
      <c r="CT1007" s="1405"/>
      <c r="CU1007" s="1405"/>
      <c r="CV1007" s="1405"/>
      <c r="CW1007" s="1405"/>
      <c r="CX1007" s="1405"/>
      <c r="CY1007" s="1405"/>
      <c r="CZ1007" s="1405"/>
      <c r="DA1007" s="1405"/>
      <c r="DB1007" s="1405"/>
      <c r="DC1007" s="1405"/>
      <c r="DD1007" s="1406"/>
    </row>
    <row r="1008" spans="83:108" ht="12.75" customHeight="1">
      <c r="CE1008" s="781"/>
      <c r="CF1008" s="781"/>
      <c r="CG1008" s="781"/>
      <c r="CH1008" s="781"/>
      <c r="CI1008" s="781"/>
      <c r="CJ1008" s="781"/>
      <c r="CK1008" s="781"/>
      <c r="CL1008" s="781"/>
      <c r="CM1008" s="781"/>
      <c r="CN1008" s="781"/>
      <c r="CO1008" s="781"/>
      <c r="CP1008" s="781"/>
      <c r="CQ1008" s="1404"/>
      <c r="CR1008" s="1405"/>
      <c r="CS1008" s="1405"/>
      <c r="CT1008" s="1405"/>
      <c r="CU1008" s="1405"/>
      <c r="CV1008" s="1405"/>
      <c r="CW1008" s="1405"/>
      <c r="CX1008" s="1405"/>
      <c r="CY1008" s="1405"/>
      <c r="CZ1008" s="1405"/>
      <c r="DA1008" s="1405"/>
      <c r="DB1008" s="1405"/>
      <c r="DC1008" s="1405"/>
      <c r="DD1008" s="1406"/>
    </row>
    <row r="1009" spans="83:108" ht="12.75" customHeight="1">
      <c r="CE1009" s="781"/>
      <c r="CF1009" s="781"/>
      <c r="CG1009" s="781"/>
      <c r="CH1009" s="781"/>
      <c r="CI1009" s="781"/>
      <c r="CJ1009" s="781"/>
      <c r="CK1009" s="781"/>
      <c r="CL1009" s="781"/>
      <c r="CM1009" s="781"/>
      <c r="CN1009" s="781"/>
      <c r="CO1009" s="781"/>
      <c r="CP1009" s="781"/>
      <c r="CQ1009" s="1404"/>
      <c r="CR1009" s="1405"/>
      <c r="CS1009" s="1405"/>
      <c r="CT1009" s="1405"/>
      <c r="CU1009" s="1405"/>
      <c r="CV1009" s="1405"/>
      <c r="CW1009" s="1405"/>
      <c r="CX1009" s="1405"/>
      <c r="CY1009" s="1405"/>
      <c r="CZ1009" s="1405"/>
      <c r="DA1009" s="1405"/>
      <c r="DB1009" s="1405"/>
      <c r="DC1009" s="1405"/>
      <c r="DD1009" s="1406"/>
    </row>
    <row r="1010" spans="83:108" ht="12.75" customHeight="1">
      <c r="CE1010" s="781"/>
      <c r="CF1010" s="781"/>
      <c r="CG1010" s="781"/>
      <c r="CH1010" s="781"/>
      <c r="CI1010" s="781"/>
      <c r="CJ1010" s="781"/>
      <c r="CK1010" s="781"/>
      <c r="CL1010" s="781"/>
      <c r="CM1010" s="781"/>
      <c r="CN1010" s="781"/>
      <c r="CO1010" s="781"/>
      <c r="CP1010" s="781"/>
      <c r="CQ1010" s="1404"/>
      <c r="CR1010" s="1405"/>
      <c r="CS1010" s="1405"/>
      <c r="CT1010" s="1405"/>
      <c r="CU1010" s="1405"/>
      <c r="CV1010" s="1405"/>
      <c r="CW1010" s="1405"/>
      <c r="CX1010" s="1405"/>
      <c r="CY1010" s="1405"/>
      <c r="CZ1010" s="1405"/>
      <c r="DA1010" s="1405"/>
      <c r="DB1010" s="1405"/>
      <c r="DC1010" s="1405"/>
      <c r="DD1010" s="1406"/>
    </row>
    <row r="1011" spans="83:108" ht="12.75" customHeight="1">
      <c r="CE1011" s="781"/>
      <c r="CF1011" s="781"/>
      <c r="CG1011" s="781"/>
      <c r="CH1011" s="781"/>
      <c r="CI1011" s="781"/>
      <c r="CJ1011" s="781"/>
      <c r="CK1011" s="781"/>
      <c r="CL1011" s="781"/>
      <c r="CM1011" s="781"/>
      <c r="CN1011" s="781"/>
      <c r="CO1011" s="781"/>
      <c r="CP1011" s="781"/>
      <c r="CQ1011" s="1404"/>
      <c r="CR1011" s="1405"/>
      <c r="CS1011" s="1405"/>
      <c r="CT1011" s="1405"/>
      <c r="CU1011" s="1405"/>
      <c r="CV1011" s="1405"/>
      <c r="CW1011" s="1405"/>
      <c r="CX1011" s="1405"/>
      <c r="CY1011" s="1405"/>
      <c r="CZ1011" s="1405"/>
      <c r="DA1011" s="1405"/>
      <c r="DB1011" s="1405"/>
      <c r="DC1011" s="1405"/>
      <c r="DD1011" s="1406"/>
    </row>
    <row r="1012" spans="83:108" ht="12.75" customHeight="1">
      <c r="CE1012" s="781"/>
      <c r="CF1012" s="781"/>
      <c r="CG1012" s="781"/>
      <c r="CH1012" s="781"/>
      <c r="CI1012" s="781"/>
      <c r="CJ1012" s="781"/>
      <c r="CK1012" s="781"/>
      <c r="CL1012" s="781"/>
      <c r="CM1012" s="781"/>
      <c r="CN1012" s="781"/>
      <c r="CO1012" s="781"/>
      <c r="CP1012" s="781"/>
      <c r="CQ1012" s="1404"/>
      <c r="CR1012" s="1405"/>
      <c r="CS1012" s="1405"/>
      <c r="CT1012" s="1405"/>
      <c r="CU1012" s="1405"/>
      <c r="CV1012" s="1405"/>
      <c r="CW1012" s="1405"/>
      <c r="CX1012" s="1405"/>
      <c r="CY1012" s="1405"/>
      <c r="CZ1012" s="1405"/>
      <c r="DA1012" s="1405"/>
      <c r="DB1012" s="1405"/>
      <c r="DC1012" s="1405"/>
      <c r="DD1012" s="1406"/>
    </row>
    <row r="1013" spans="83:108" ht="12.75" customHeight="1">
      <c r="CE1013" s="781"/>
      <c r="CF1013" s="781"/>
      <c r="CG1013" s="781"/>
      <c r="CH1013" s="781"/>
      <c r="CI1013" s="781"/>
      <c r="CJ1013" s="781"/>
      <c r="CK1013" s="781"/>
      <c r="CL1013" s="781"/>
      <c r="CM1013" s="781"/>
      <c r="CN1013" s="781"/>
      <c r="CO1013" s="781"/>
      <c r="CP1013" s="781"/>
      <c r="CQ1013" s="1404"/>
      <c r="CR1013" s="1405"/>
      <c r="CS1013" s="1405"/>
      <c r="CT1013" s="1405"/>
      <c r="CU1013" s="1405"/>
      <c r="CV1013" s="1405"/>
      <c r="CW1013" s="1405"/>
      <c r="CX1013" s="1405"/>
      <c r="CY1013" s="1405"/>
      <c r="CZ1013" s="1405"/>
      <c r="DA1013" s="1405"/>
      <c r="DB1013" s="1405"/>
      <c r="DC1013" s="1405"/>
      <c r="DD1013" s="1406"/>
    </row>
    <row r="1014" spans="83:108" ht="12.75" customHeight="1">
      <c r="CE1014" s="781"/>
      <c r="CF1014" s="781"/>
      <c r="CG1014" s="781"/>
      <c r="CH1014" s="781"/>
      <c r="CI1014" s="781"/>
      <c r="CJ1014" s="781"/>
      <c r="CK1014" s="781"/>
      <c r="CL1014" s="781"/>
      <c r="CM1014" s="781"/>
      <c r="CN1014" s="781"/>
      <c r="CO1014" s="781"/>
      <c r="CP1014" s="781"/>
      <c r="CQ1014" s="1404"/>
      <c r="CR1014" s="1405"/>
      <c r="CS1014" s="1405"/>
      <c r="CT1014" s="1405"/>
      <c r="CU1014" s="1405"/>
      <c r="CV1014" s="1405"/>
      <c r="CW1014" s="1405"/>
      <c r="CX1014" s="1405"/>
      <c r="CY1014" s="1405"/>
      <c r="CZ1014" s="1405"/>
      <c r="DA1014" s="1405"/>
      <c r="DB1014" s="1405"/>
      <c r="DC1014" s="1405"/>
      <c r="DD1014" s="1406"/>
    </row>
    <row r="1015" spans="83:108" ht="12.75" customHeight="1">
      <c r="CE1015" s="781"/>
      <c r="CF1015" s="781"/>
      <c r="CG1015" s="781"/>
      <c r="CH1015" s="781"/>
      <c r="CI1015" s="781"/>
      <c r="CJ1015" s="781"/>
      <c r="CK1015" s="781"/>
      <c r="CL1015" s="781"/>
      <c r="CM1015" s="781"/>
      <c r="CN1015" s="781"/>
      <c r="CO1015" s="781"/>
      <c r="CP1015" s="781"/>
      <c r="CQ1015" s="1404"/>
      <c r="CR1015" s="1405"/>
      <c r="CS1015" s="1405"/>
      <c r="CT1015" s="1405"/>
      <c r="CU1015" s="1405"/>
      <c r="CV1015" s="1405"/>
      <c r="CW1015" s="1405"/>
      <c r="CX1015" s="1405"/>
      <c r="CY1015" s="1405"/>
      <c r="CZ1015" s="1405"/>
      <c r="DA1015" s="1405"/>
      <c r="DB1015" s="1405"/>
      <c r="DC1015" s="1405"/>
      <c r="DD1015" s="1406"/>
    </row>
    <row r="1016" spans="83:108" ht="12.75" customHeight="1">
      <c r="CE1016" s="781"/>
      <c r="CF1016" s="781"/>
      <c r="CG1016" s="781"/>
      <c r="CH1016" s="781"/>
      <c r="CI1016" s="781"/>
      <c r="CJ1016" s="781"/>
      <c r="CK1016" s="781"/>
      <c r="CL1016" s="781"/>
      <c r="CM1016" s="781"/>
      <c r="CN1016" s="781"/>
      <c r="CO1016" s="781"/>
      <c r="CP1016" s="781"/>
      <c r="CQ1016" s="1404"/>
      <c r="CR1016" s="1405"/>
      <c r="CS1016" s="1405"/>
      <c r="CT1016" s="1405"/>
      <c r="CU1016" s="1405"/>
      <c r="CV1016" s="1405"/>
      <c r="CW1016" s="1405"/>
      <c r="CX1016" s="1405"/>
      <c r="CY1016" s="1405"/>
      <c r="CZ1016" s="1405"/>
      <c r="DA1016" s="1405"/>
      <c r="DB1016" s="1405"/>
      <c r="DC1016" s="1405"/>
      <c r="DD1016" s="1406"/>
    </row>
    <row r="1017" spans="83:108" ht="12.75" customHeight="1">
      <c r="CE1017" s="781"/>
      <c r="CF1017" s="781"/>
      <c r="CG1017" s="781"/>
      <c r="CH1017" s="781"/>
      <c r="CI1017" s="781"/>
      <c r="CJ1017" s="781"/>
      <c r="CK1017" s="781"/>
      <c r="CL1017" s="781"/>
      <c r="CM1017" s="781"/>
      <c r="CN1017" s="781"/>
      <c r="CO1017" s="781"/>
      <c r="CP1017" s="781"/>
      <c r="CQ1017" s="1404"/>
      <c r="CR1017" s="1405"/>
      <c r="CS1017" s="1405"/>
      <c r="CT1017" s="1405"/>
      <c r="CU1017" s="1405"/>
      <c r="CV1017" s="1405"/>
      <c r="CW1017" s="1405"/>
      <c r="CX1017" s="1405"/>
      <c r="CY1017" s="1405"/>
      <c r="CZ1017" s="1405"/>
      <c r="DA1017" s="1405"/>
      <c r="DB1017" s="1405"/>
      <c r="DC1017" s="1405"/>
      <c r="DD1017" s="1406"/>
    </row>
    <row r="1018" spans="83:108" ht="12.75" customHeight="1">
      <c r="CE1018" s="781"/>
      <c r="CF1018" s="781"/>
      <c r="CG1018" s="781"/>
      <c r="CH1018" s="781"/>
      <c r="CI1018" s="781"/>
      <c r="CJ1018" s="781"/>
      <c r="CK1018" s="781"/>
      <c r="CL1018" s="781"/>
      <c r="CM1018" s="781"/>
      <c r="CN1018" s="781"/>
      <c r="CO1018" s="781"/>
      <c r="CP1018" s="781"/>
      <c r="CQ1018" s="1404"/>
      <c r="CR1018" s="1405"/>
      <c r="CS1018" s="1405"/>
      <c r="CT1018" s="1405"/>
      <c r="CU1018" s="1405"/>
      <c r="CV1018" s="1405"/>
      <c r="CW1018" s="1405"/>
      <c r="CX1018" s="1405"/>
      <c r="CY1018" s="1405"/>
      <c r="CZ1018" s="1405"/>
      <c r="DA1018" s="1405"/>
      <c r="DB1018" s="1405"/>
      <c r="DC1018" s="1405"/>
      <c r="DD1018" s="1406"/>
    </row>
    <row r="1019" spans="83:108" ht="12.75" customHeight="1">
      <c r="CE1019" s="781"/>
      <c r="CF1019" s="781"/>
      <c r="CG1019" s="781"/>
      <c r="CH1019" s="781"/>
      <c r="CI1019" s="781"/>
      <c r="CJ1019" s="781"/>
      <c r="CK1019" s="781"/>
      <c r="CL1019" s="781"/>
      <c r="CM1019" s="781"/>
      <c r="CN1019" s="781"/>
      <c r="CO1019" s="781"/>
      <c r="CP1019" s="781"/>
      <c r="CQ1019" s="1404"/>
      <c r="CR1019" s="1405"/>
      <c r="CS1019" s="1405"/>
      <c r="CT1019" s="1405"/>
      <c r="CU1019" s="1405"/>
      <c r="CV1019" s="1405"/>
      <c r="CW1019" s="1405"/>
      <c r="CX1019" s="1405"/>
      <c r="CY1019" s="1405"/>
      <c r="CZ1019" s="1405"/>
      <c r="DA1019" s="1405"/>
      <c r="DB1019" s="1405"/>
      <c r="DC1019" s="1405"/>
      <c r="DD1019" s="1406"/>
    </row>
    <row r="1020" spans="83:108" ht="12.75" customHeight="1">
      <c r="CE1020" s="781"/>
      <c r="CF1020" s="781"/>
      <c r="CG1020" s="781"/>
      <c r="CH1020" s="781"/>
      <c r="CI1020" s="781"/>
      <c r="CJ1020" s="781"/>
      <c r="CK1020" s="781"/>
      <c r="CL1020" s="781"/>
      <c r="CM1020" s="781"/>
      <c r="CN1020" s="781"/>
      <c r="CO1020" s="781"/>
      <c r="CP1020" s="781"/>
      <c r="CQ1020" s="1404"/>
      <c r="CR1020" s="1405"/>
      <c r="CS1020" s="1405"/>
      <c r="CT1020" s="1405"/>
      <c r="CU1020" s="1405"/>
      <c r="CV1020" s="1405"/>
      <c r="CW1020" s="1405"/>
      <c r="CX1020" s="1405"/>
      <c r="CY1020" s="1405"/>
      <c r="CZ1020" s="1405"/>
      <c r="DA1020" s="1405"/>
      <c r="DB1020" s="1405"/>
      <c r="DC1020" s="1405"/>
      <c r="DD1020" s="1406"/>
    </row>
    <row r="1021" spans="83:108" ht="12.75" customHeight="1">
      <c r="CE1021" s="781"/>
      <c r="CF1021" s="781"/>
      <c r="CG1021" s="781"/>
      <c r="CH1021" s="781"/>
      <c r="CI1021" s="781"/>
      <c r="CJ1021" s="781"/>
      <c r="CK1021" s="781"/>
      <c r="CL1021" s="781"/>
      <c r="CM1021" s="781"/>
      <c r="CN1021" s="781"/>
      <c r="CO1021" s="781"/>
      <c r="CP1021" s="781"/>
      <c r="CQ1021" s="1404"/>
      <c r="CR1021" s="1405"/>
      <c r="CS1021" s="1405"/>
      <c r="CT1021" s="1405"/>
      <c r="CU1021" s="1405"/>
      <c r="CV1021" s="1405"/>
      <c r="CW1021" s="1405"/>
      <c r="CX1021" s="1405"/>
      <c r="CY1021" s="1405"/>
      <c r="CZ1021" s="1405"/>
      <c r="DA1021" s="1405"/>
      <c r="DB1021" s="1405"/>
      <c r="DC1021" s="1405"/>
      <c r="DD1021" s="1406"/>
    </row>
    <row r="1022" spans="83:108" ht="12.75" customHeight="1">
      <c r="CE1022" s="781"/>
      <c r="CF1022" s="781"/>
      <c r="CG1022" s="781"/>
      <c r="CH1022" s="781"/>
      <c r="CI1022" s="781"/>
      <c r="CJ1022" s="781"/>
      <c r="CK1022" s="781"/>
      <c r="CL1022" s="781"/>
      <c r="CM1022" s="781"/>
      <c r="CN1022" s="781"/>
      <c r="CO1022" s="781"/>
      <c r="CP1022" s="781"/>
      <c r="CQ1022" s="1404"/>
      <c r="CR1022" s="1405"/>
      <c r="CS1022" s="1405"/>
      <c r="CT1022" s="1405"/>
      <c r="CU1022" s="1405"/>
      <c r="CV1022" s="1405"/>
      <c r="CW1022" s="1405"/>
      <c r="CX1022" s="1405"/>
      <c r="CY1022" s="1405"/>
      <c r="CZ1022" s="1405"/>
      <c r="DA1022" s="1405"/>
      <c r="DB1022" s="1405"/>
      <c r="DC1022" s="1405"/>
      <c r="DD1022" s="1406"/>
    </row>
    <row r="1023" spans="83:108" ht="12.75" customHeight="1">
      <c r="CE1023" s="781"/>
      <c r="CF1023" s="781"/>
      <c r="CG1023" s="781"/>
      <c r="CH1023" s="781"/>
      <c r="CI1023" s="781"/>
      <c r="CJ1023" s="781"/>
      <c r="CK1023" s="781"/>
      <c r="CL1023" s="781"/>
      <c r="CM1023" s="781"/>
      <c r="CN1023" s="781"/>
      <c r="CO1023" s="781"/>
      <c r="CP1023" s="781"/>
      <c r="CQ1023" s="1404"/>
      <c r="CR1023" s="1405"/>
      <c r="CS1023" s="1405"/>
      <c r="CT1023" s="1405"/>
      <c r="CU1023" s="1405"/>
      <c r="CV1023" s="1405"/>
      <c r="CW1023" s="1405"/>
      <c r="CX1023" s="1405"/>
      <c r="CY1023" s="1405"/>
      <c r="CZ1023" s="1405"/>
      <c r="DA1023" s="1405"/>
      <c r="DB1023" s="1405"/>
      <c r="DC1023" s="1405"/>
      <c r="DD1023" s="1406"/>
    </row>
    <row r="1024" spans="83:108" ht="12.75" customHeight="1">
      <c r="CE1024" s="781"/>
      <c r="CF1024" s="781"/>
      <c r="CG1024" s="781"/>
      <c r="CH1024" s="781"/>
      <c r="CI1024" s="781"/>
      <c r="CJ1024" s="781"/>
      <c r="CK1024" s="781"/>
      <c r="CL1024" s="781"/>
      <c r="CM1024" s="781"/>
      <c r="CN1024" s="781"/>
      <c r="CO1024" s="781"/>
      <c r="CP1024" s="781"/>
      <c r="CQ1024" s="1404"/>
      <c r="CR1024" s="1405"/>
      <c r="CS1024" s="1405"/>
      <c r="CT1024" s="1405"/>
      <c r="CU1024" s="1405"/>
      <c r="CV1024" s="1405"/>
      <c r="CW1024" s="1405"/>
      <c r="CX1024" s="1405"/>
      <c r="CY1024" s="1405"/>
      <c r="CZ1024" s="1405"/>
      <c r="DA1024" s="1405"/>
      <c r="DB1024" s="1405"/>
      <c r="DC1024" s="1405"/>
      <c r="DD1024" s="1406"/>
    </row>
    <row r="1025" spans="83:112" ht="12.75" customHeight="1">
      <c r="CE1025" s="781"/>
      <c r="CF1025" s="781"/>
      <c r="CG1025" s="781"/>
      <c r="CH1025" s="781"/>
      <c r="CI1025" s="781"/>
      <c r="CJ1025" s="781"/>
      <c r="CK1025" s="781"/>
      <c r="CL1025" s="781"/>
      <c r="CM1025" s="781"/>
      <c r="CN1025" s="781"/>
      <c r="CO1025" s="781"/>
      <c r="CP1025" s="781"/>
      <c r="CQ1025" s="1404"/>
      <c r="CR1025" s="1405"/>
      <c r="CS1025" s="1405"/>
      <c r="CT1025" s="1405"/>
      <c r="CU1025" s="1405"/>
      <c r="CV1025" s="1405"/>
      <c r="CW1025" s="1405"/>
      <c r="CX1025" s="1405"/>
      <c r="CY1025" s="1405"/>
      <c r="CZ1025" s="1405"/>
      <c r="DA1025" s="1405"/>
      <c r="DB1025" s="1405"/>
      <c r="DC1025" s="1405"/>
      <c r="DD1025" s="1406"/>
    </row>
    <row r="1026" spans="83:112" ht="12.75" customHeight="1">
      <c r="CE1026" s="781"/>
      <c r="CF1026" s="781"/>
      <c r="CG1026" s="781"/>
      <c r="CH1026" s="781"/>
      <c r="CI1026" s="781"/>
      <c r="CJ1026" s="781"/>
      <c r="CK1026" s="781"/>
      <c r="CL1026" s="781"/>
      <c r="CM1026" s="781"/>
      <c r="CN1026" s="781"/>
      <c r="CO1026" s="781"/>
      <c r="CP1026" s="781"/>
      <c r="CQ1026" s="1404"/>
      <c r="CR1026" s="1405"/>
      <c r="CS1026" s="1405"/>
      <c r="CT1026" s="1405"/>
      <c r="CU1026" s="1405"/>
      <c r="CV1026" s="1405"/>
      <c r="CW1026" s="1405"/>
      <c r="CX1026" s="1405"/>
      <c r="CY1026" s="1405"/>
      <c r="CZ1026" s="1405"/>
      <c r="DA1026" s="1405"/>
      <c r="DB1026" s="1405"/>
      <c r="DC1026" s="1405"/>
      <c r="DD1026" s="1406"/>
    </row>
    <row r="1027" spans="83:112" ht="12.75" customHeight="1">
      <c r="CE1027" s="781"/>
      <c r="CF1027" s="781"/>
      <c r="CG1027" s="781"/>
      <c r="CH1027" s="781"/>
      <c r="CI1027" s="781"/>
      <c r="CJ1027" s="781"/>
      <c r="CK1027" s="781"/>
      <c r="CL1027" s="781"/>
      <c r="CM1027" s="781"/>
      <c r="CN1027" s="781"/>
      <c r="CO1027" s="781"/>
      <c r="CP1027" s="781"/>
      <c r="CQ1027" s="1404"/>
      <c r="CR1027" s="1405"/>
      <c r="CS1027" s="1405"/>
      <c r="CT1027" s="1405"/>
      <c r="CU1027" s="1405"/>
      <c r="CV1027" s="1405"/>
      <c r="CW1027" s="1405"/>
      <c r="CX1027" s="1405"/>
      <c r="CY1027" s="1405"/>
      <c r="CZ1027" s="1405"/>
      <c r="DA1027" s="1405"/>
      <c r="DB1027" s="1405"/>
      <c r="DC1027" s="1405"/>
      <c r="DD1027" s="1406"/>
    </row>
    <row r="1028" spans="83:112" ht="12.75" customHeight="1">
      <c r="CE1028" s="781"/>
      <c r="CF1028" s="781"/>
      <c r="CG1028" s="781"/>
      <c r="CH1028" s="781"/>
      <c r="CI1028" s="781"/>
      <c r="CJ1028" s="781"/>
      <c r="CK1028" s="781"/>
      <c r="CL1028" s="781"/>
      <c r="CM1028" s="781"/>
      <c r="CN1028" s="781"/>
      <c r="CO1028" s="781"/>
      <c r="CP1028" s="781"/>
      <c r="CQ1028" s="1404"/>
      <c r="CR1028" s="1405"/>
      <c r="CS1028" s="1405"/>
      <c r="CT1028" s="1405"/>
      <c r="CU1028" s="1405"/>
      <c r="CV1028" s="1405"/>
      <c r="CW1028" s="1405"/>
      <c r="CX1028" s="1405"/>
      <c r="CY1028" s="1405"/>
      <c r="CZ1028" s="1405"/>
      <c r="DA1028" s="1405"/>
      <c r="DB1028" s="1405"/>
      <c r="DC1028" s="1405"/>
      <c r="DD1028" s="1406"/>
    </row>
    <row r="1029" spans="83:112" ht="12.75" customHeight="1">
      <c r="CE1029" s="781"/>
      <c r="CF1029" s="781"/>
      <c r="CG1029" s="781"/>
      <c r="CH1029" s="781"/>
      <c r="CI1029" s="781"/>
      <c r="CJ1029" s="781"/>
      <c r="CK1029" s="781"/>
      <c r="CL1029" s="781"/>
      <c r="CM1029" s="781"/>
      <c r="CN1029" s="781"/>
      <c r="CO1029" s="781"/>
      <c r="CP1029" s="781"/>
      <c r="CQ1029" s="1404"/>
      <c r="CR1029" s="1405"/>
      <c r="CS1029" s="1405"/>
      <c r="CT1029" s="1405"/>
      <c r="CU1029" s="1405"/>
      <c r="CV1029" s="1405"/>
      <c r="CW1029" s="1405"/>
      <c r="CX1029" s="1405"/>
      <c r="CY1029" s="1405"/>
      <c r="CZ1029" s="1405"/>
      <c r="DA1029" s="1405"/>
      <c r="DB1029" s="1405"/>
      <c r="DC1029" s="1405"/>
      <c r="DD1029" s="1406"/>
    </row>
    <row r="1030" spans="83:112" ht="12.75" customHeight="1">
      <c r="CE1030" s="781"/>
      <c r="CF1030" s="781"/>
      <c r="CG1030" s="781"/>
      <c r="CH1030" s="781"/>
      <c r="CI1030" s="781"/>
      <c r="CJ1030" s="781"/>
      <c r="CK1030" s="781"/>
      <c r="CL1030" s="781"/>
      <c r="CM1030" s="781"/>
      <c r="CN1030" s="781"/>
      <c r="CO1030" s="781"/>
      <c r="CP1030" s="781"/>
      <c r="CQ1030" s="1404"/>
      <c r="CR1030" s="1405"/>
      <c r="CS1030" s="1405"/>
      <c r="CT1030" s="1405"/>
      <c r="CU1030" s="1405"/>
      <c r="CV1030" s="1405"/>
      <c r="CW1030" s="1405"/>
      <c r="CX1030" s="1405"/>
      <c r="CY1030" s="1405"/>
      <c r="CZ1030" s="1405"/>
      <c r="DA1030" s="1405"/>
      <c r="DB1030" s="1405"/>
      <c r="DC1030" s="1405"/>
      <c r="DD1030" s="1406"/>
    </row>
    <row r="1031" spans="83:112" ht="12.75" customHeight="1">
      <c r="CE1031" s="781"/>
      <c r="CF1031" s="781"/>
      <c r="CG1031" s="781"/>
      <c r="CH1031" s="781"/>
      <c r="CI1031" s="781"/>
      <c r="CJ1031" s="781"/>
      <c r="CK1031" s="781"/>
      <c r="CL1031" s="781"/>
      <c r="CM1031" s="781"/>
      <c r="CN1031" s="781"/>
      <c r="CO1031" s="781"/>
      <c r="CP1031" s="781"/>
      <c r="CQ1031" s="1404"/>
      <c r="CR1031" s="1405"/>
      <c r="CS1031" s="1405"/>
      <c r="CT1031" s="1405"/>
      <c r="CU1031" s="1405"/>
      <c r="CV1031" s="1405"/>
      <c r="CW1031" s="1405"/>
      <c r="CX1031" s="1405"/>
      <c r="CY1031" s="1405"/>
      <c r="CZ1031" s="1405"/>
      <c r="DA1031" s="1405"/>
      <c r="DB1031" s="1405"/>
      <c r="DC1031" s="1405"/>
      <c r="DD1031" s="1406"/>
    </row>
    <row r="1032" spans="83:112" ht="12.75" customHeight="1">
      <c r="CE1032" s="781"/>
      <c r="CF1032" s="781"/>
      <c r="CG1032" s="781"/>
      <c r="CH1032" s="781"/>
      <c r="CI1032" s="781"/>
      <c r="CJ1032" s="781"/>
      <c r="CK1032" s="781"/>
      <c r="CL1032" s="781"/>
      <c r="CM1032" s="781"/>
      <c r="CN1032" s="781"/>
      <c r="CO1032" s="781"/>
      <c r="CP1032" s="781"/>
      <c r="CQ1032" s="1404"/>
      <c r="CR1032" s="1405"/>
      <c r="CS1032" s="1405"/>
      <c r="CT1032" s="1405"/>
      <c r="CU1032" s="1405"/>
      <c r="CV1032" s="1405"/>
      <c r="CW1032" s="1405"/>
      <c r="CX1032" s="1405"/>
      <c r="CY1032" s="1405"/>
      <c r="CZ1032" s="1405"/>
      <c r="DA1032" s="1405"/>
      <c r="DB1032" s="1405"/>
      <c r="DC1032" s="1405"/>
      <c r="DD1032" s="1406"/>
    </row>
    <row r="1033" spans="83:112" ht="12.75" customHeight="1">
      <c r="CE1033" s="781"/>
      <c r="CF1033" s="781"/>
      <c r="CG1033" s="781"/>
      <c r="CH1033" s="781"/>
      <c r="CI1033" s="781"/>
      <c r="CJ1033" s="781"/>
      <c r="CK1033" s="781"/>
      <c r="CL1033" s="781"/>
      <c r="CM1033" s="781"/>
      <c r="CN1033" s="781"/>
      <c r="CO1033" s="781"/>
      <c r="CP1033" s="781"/>
      <c r="CQ1033" s="1404"/>
      <c r="CR1033" s="1405"/>
      <c r="CS1033" s="1405"/>
      <c r="CT1033" s="1405"/>
      <c r="CU1033" s="1405"/>
      <c r="CV1033" s="1405"/>
      <c r="CW1033" s="1405"/>
      <c r="CX1033" s="1405"/>
      <c r="CY1033" s="1405"/>
      <c r="CZ1033" s="1405"/>
      <c r="DA1033" s="1405"/>
      <c r="DB1033" s="1405"/>
      <c r="DC1033" s="1405"/>
      <c r="DD1033" s="1406"/>
    </row>
    <row r="1034" spans="83:112" ht="12.75" customHeight="1">
      <c r="CE1034" s="781"/>
      <c r="CF1034" s="781"/>
      <c r="CG1034" s="781"/>
      <c r="CH1034" s="781"/>
      <c r="CI1034" s="781"/>
      <c r="CJ1034" s="781"/>
      <c r="CK1034" s="781"/>
      <c r="CL1034" s="781"/>
      <c r="CM1034" s="781"/>
      <c r="CN1034" s="781"/>
      <c r="CO1034" s="781"/>
      <c r="CP1034" s="781"/>
      <c r="CQ1034" s="1407"/>
      <c r="CR1034" s="1408"/>
      <c r="CS1034" s="1408"/>
      <c r="CT1034" s="1408"/>
      <c r="CU1034" s="1408"/>
      <c r="CV1034" s="1408"/>
      <c r="CW1034" s="1408"/>
      <c r="CX1034" s="1408"/>
      <c r="CY1034" s="1408"/>
      <c r="CZ1034" s="1408"/>
      <c r="DA1034" s="1408"/>
      <c r="DB1034" s="1408"/>
      <c r="DC1034" s="1408"/>
      <c r="DD1034" s="1409"/>
    </row>
    <row r="1035" spans="83:112" ht="12.75" customHeight="1">
      <c r="CE1035" s="781"/>
      <c r="CF1035" s="781"/>
      <c r="CG1035" s="781"/>
      <c r="CH1035" s="781"/>
      <c r="CI1035" s="781"/>
      <c r="CJ1035" s="781"/>
      <c r="CK1035" s="781"/>
      <c r="CL1035" s="781"/>
      <c r="CM1035" s="781"/>
      <c r="CN1035" s="781"/>
      <c r="CO1035" s="781"/>
      <c r="CP1035" s="781"/>
      <c r="CQ1035" s="781"/>
      <c r="CR1035" s="781"/>
      <c r="CS1035" s="781"/>
      <c r="CT1035" s="781"/>
      <c r="CU1035" s="781"/>
      <c r="CV1035" s="781"/>
      <c r="CW1035" s="781"/>
      <c r="CX1035" s="781"/>
      <c r="CY1035" s="781"/>
      <c r="CZ1035" s="781"/>
      <c r="DA1035" s="1397" t="str">
        <f>HYPERLINK("#Assumptions!A1","Back to assumptions")</f>
        <v>Back to assumptions</v>
      </c>
      <c r="DB1035" s="1398"/>
      <c r="DC1035" s="1398"/>
      <c r="DD1035" s="1398"/>
      <c r="DE1035" s="781"/>
      <c r="DF1035" s="781"/>
      <c r="DG1035" s="781"/>
      <c r="DH1035" s="781"/>
    </row>
    <row r="1036" spans="83:112" ht="12.75" customHeight="1">
      <c r="CE1036" s="781"/>
      <c r="CF1036" s="781"/>
      <c r="CG1036" s="781"/>
      <c r="CH1036" s="781"/>
      <c r="CI1036" s="781"/>
      <c r="CJ1036" s="781"/>
      <c r="CK1036" s="781"/>
      <c r="CL1036" s="781"/>
      <c r="CM1036" s="781"/>
      <c r="CN1036" s="781"/>
      <c r="CO1036" s="781"/>
      <c r="CP1036" s="781"/>
      <c r="CQ1036" s="781"/>
      <c r="CR1036" s="781"/>
      <c r="CS1036" s="781"/>
      <c r="CT1036" s="781"/>
      <c r="CU1036" s="781"/>
      <c r="CV1036" s="781"/>
      <c r="CW1036" s="781"/>
      <c r="CX1036" s="781"/>
      <c r="CY1036" s="781"/>
      <c r="CZ1036" s="781"/>
      <c r="DA1036" s="1399"/>
      <c r="DB1036" s="1399"/>
      <c r="DC1036" s="1399"/>
      <c r="DD1036" s="1399"/>
      <c r="DE1036" s="781"/>
      <c r="DF1036" s="781"/>
      <c r="DG1036" s="781"/>
      <c r="DH1036" s="781"/>
    </row>
  </sheetData>
  <autoFilter ref="G57:U78" xr:uid="{F4B4465F-F60F-4DA4-8EB4-9D275D264FB2}">
    <filterColumn colId="2" showButton="0"/>
    <filterColumn colId="4" showButton="0"/>
    <filterColumn colId="5" showButton="0"/>
    <filterColumn colId="7" showButton="0"/>
    <filterColumn colId="9" showButton="0"/>
    <filterColumn colId="11" showButton="0"/>
    <filterColumn colId="13" showButton="0"/>
  </autoFilter>
  <mergeCells count="197">
    <mergeCell ref="W73:X73"/>
    <mergeCell ref="W67:Y68"/>
    <mergeCell ref="D36:G36"/>
    <mergeCell ref="H36:AD36"/>
    <mergeCell ref="W69:X69"/>
    <mergeCell ref="W70:X70"/>
    <mergeCell ref="W71:X71"/>
    <mergeCell ref="W72:X72"/>
    <mergeCell ref="T58:U58"/>
    <mergeCell ref="AB61:AC61"/>
    <mergeCell ref="AB62:AC62"/>
    <mergeCell ref="W56:AC56"/>
    <mergeCell ref="W63:X63"/>
    <mergeCell ref="AB63:AC63"/>
    <mergeCell ref="AB57:AC57"/>
    <mergeCell ref="AB58:AC58"/>
    <mergeCell ref="AB59:AC59"/>
    <mergeCell ref="AB60:AC60"/>
    <mergeCell ref="W57:X57"/>
    <mergeCell ref="W58:X58"/>
    <mergeCell ref="W59:X59"/>
    <mergeCell ref="W60:X60"/>
    <mergeCell ref="W61:X61"/>
    <mergeCell ref="W62:X62"/>
    <mergeCell ref="T59:U59"/>
    <mergeCell ref="T60:U60"/>
    <mergeCell ref="T61:U61"/>
    <mergeCell ref="T62:U62"/>
    <mergeCell ref="T63:U63"/>
    <mergeCell ref="T64:U64"/>
    <mergeCell ref="T65:U65"/>
    <mergeCell ref="T66:U66"/>
    <mergeCell ref="T67:U67"/>
    <mergeCell ref="T68:U68"/>
    <mergeCell ref="T69:U69"/>
    <mergeCell ref="T73:U73"/>
    <mergeCell ref="T74:U74"/>
    <mergeCell ref="T75:U75"/>
    <mergeCell ref="T76:U76"/>
    <mergeCell ref="T77:U77"/>
    <mergeCell ref="T70:U70"/>
    <mergeCell ref="T71:U71"/>
    <mergeCell ref="T72:U72"/>
    <mergeCell ref="T78:U78"/>
    <mergeCell ref="T57:U57"/>
    <mergeCell ref="G56:U56"/>
    <mergeCell ref="R78:S78"/>
    <mergeCell ref="K77:M77"/>
    <mergeCell ref="N77:O77"/>
    <mergeCell ref="P77:Q77"/>
    <mergeCell ref="R77:S77"/>
    <mergeCell ref="R72:S72"/>
    <mergeCell ref="R73:S73"/>
    <mergeCell ref="R74:S74"/>
    <mergeCell ref="R75:S75"/>
    <mergeCell ref="R76:S76"/>
    <mergeCell ref="R67:S67"/>
    <mergeCell ref="R68:S68"/>
    <mergeCell ref="R69:S69"/>
    <mergeCell ref="R70:S70"/>
    <mergeCell ref="R71:S71"/>
    <mergeCell ref="R62:S62"/>
    <mergeCell ref="R63:S63"/>
    <mergeCell ref="R64:S64"/>
    <mergeCell ref="R65:S65"/>
    <mergeCell ref="R66:S66"/>
    <mergeCell ref="R57:S57"/>
    <mergeCell ref="R58:S58"/>
    <mergeCell ref="R59:S59"/>
    <mergeCell ref="R60:S60"/>
    <mergeCell ref="R61:S61"/>
    <mergeCell ref="I77:J77"/>
    <mergeCell ref="I57:J57"/>
    <mergeCell ref="K57:M57"/>
    <mergeCell ref="N57:O57"/>
    <mergeCell ref="P57:Q57"/>
    <mergeCell ref="I58:J58"/>
    <mergeCell ref="K58:M58"/>
    <mergeCell ref="N58:O58"/>
    <mergeCell ref="P58:Q58"/>
    <mergeCell ref="I59:J59"/>
    <mergeCell ref="K59:M59"/>
    <mergeCell ref="N59:O59"/>
    <mergeCell ref="I75:J75"/>
    <mergeCell ref="I76:J76"/>
    <mergeCell ref="K75:M75"/>
    <mergeCell ref="K76:M76"/>
    <mergeCell ref="I73:J73"/>
    <mergeCell ref="K73:M73"/>
    <mergeCell ref="N73:O73"/>
    <mergeCell ref="P73:Q73"/>
    <mergeCell ref="I78:J78"/>
    <mergeCell ref="K78:M78"/>
    <mergeCell ref="N78:O78"/>
    <mergeCell ref="P78:Q78"/>
    <mergeCell ref="I74:J74"/>
    <mergeCell ref="K74:M74"/>
    <mergeCell ref="N74:O74"/>
    <mergeCell ref="P74:Q74"/>
    <mergeCell ref="N75:O75"/>
    <mergeCell ref="P75:Q75"/>
    <mergeCell ref="N76:O76"/>
    <mergeCell ref="P76:Q76"/>
    <mergeCell ref="I72:J72"/>
    <mergeCell ref="K72:M72"/>
    <mergeCell ref="N72:O72"/>
    <mergeCell ref="P72:Q72"/>
    <mergeCell ref="I69:J69"/>
    <mergeCell ref="K69:M69"/>
    <mergeCell ref="N69:O69"/>
    <mergeCell ref="P69:Q69"/>
    <mergeCell ref="I70:J70"/>
    <mergeCell ref="K70:M70"/>
    <mergeCell ref="N70:O70"/>
    <mergeCell ref="P70:Q70"/>
    <mergeCell ref="N65:O65"/>
    <mergeCell ref="P65:Q65"/>
    <mergeCell ref="I66:J66"/>
    <mergeCell ref="K66:M66"/>
    <mergeCell ref="N66:O66"/>
    <mergeCell ref="P66:Q66"/>
    <mergeCell ref="I71:J71"/>
    <mergeCell ref="K71:M71"/>
    <mergeCell ref="N71:O71"/>
    <mergeCell ref="P71:Q71"/>
    <mergeCell ref="B103:C103"/>
    <mergeCell ref="B104:C104"/>
    <mergeCell ref="F92:G92"/>
    <mergeCell ref="B89:C89"/>
    <mergeCell ref="E89:G89"/>
    <mergeCell ref="F90:G90"/>
    <mergeCell ref="F91:G91"/>
    <mergeCell ref="B37:B40"/>
    <mergeCell ref="B42:B45"/>
    <mergeCell ref="B47:B50"/>
    <mergeCell ref="C15:M15"/>
    <mergeCell ref="B102:C102"/>
    <mergeCell ref="B87:C87"/>
    <mergeCell ref="Z27:Z28"/>
    <mergeCell ref="AA27:AA28"/>
    <mergeCell ref="AB27:AB28"/>
    <mergeCell ref="AC27:AC28"/>
    <mergeCell ref="I60:J60"/>
    <mergeCell ref="K60:M60"/>
    <mergeCell ref="N60:O60"/>
    <mergeCell ref="I63:J63"/>
    <mergeCell ref="K63:M63"/>
    <mergeCell ref="N63:O63"/>
    <mergeCell ref="P63:Q63"/>
    <mergeCell ref="I64:J64"/>
    <mergeCell ref="K64:M64"/>
    <mergeCell ref="N64:O64"/>
    <mergeCell ref="P64:Q64"/>
    <mergeCell ref="I61:J61"/>
    <mergeCell ref="K61:M61"/>
    <mergeCell ref="N61:O61"/>
    <mergeCell ref="P61:Q61"/>
    <mergeCell ref="I65:J65"/>
    <mergeCell ref="K65:M65"/>
    <mergeCell ref="DA1035:DD1036"/>
    <mergeCell ref="C106:G106"/>
    <mergeCell ref="K106:M106"/>
    <mergeCell ref="CQ1002:DD1034"/>
    <mergeCell ref="CU999:CY1000"/>
    <mergeCell ref="M163:M164"/>
    <mergeCell ref="T175:AN175"/>
    <mergeCell ref="O175:S175"/>
    <mergeCell ref="N163:N164"/>
    <mergeCell ref="P163:P164"/>
    <mergeCell ref="Q163:Q164"/>
    <mergeCell ref="J163:K164"/>
    <mergeCell ref="J162:K162"/>
    <mergeCell ref="L163:L164"/>
    <mergeCell ref="AI27:AI28"/>
    <mergeCell ref="AJ27:AJ28"/>
    <mergeCell ref="AK27:AK28"/>
    <mergeCell ref="J161:K161"/>
    <mergeCell ref="AD27:AD28"/>
    <mergeCell ref="AE27:AE28"/>
    <mergeCell ref="AF27:AF28"/>
    <mergeCell ref="AG27:AG28"/>
    <mergeCell ref="AH27:AH28"/>
    <mergeCell ref="J160:K160"/>
    <mergeCell ref="P60:Q60"/>
    <mergeCell ref="P59:Q59"/>
    <mergeCell ref="I62:J62"/>
    <mergeCell ref="K62:M62"/>
    <mergeCell ref="N62:O62"/>
    <mergeCell ref="P62:Q62"/>
    <mergeCell ref="I67:J67"/>
    <mergeCell ref="K67:M67"/>
    <mergeCell ref="N67:O67"/>
    <mergeCell ref="P67:Q67"/>
    <mergeCell ref="I68:J68"/>
    <mergeCell ref="K68:M68"/>
    <mergeCell ref="N68:O68"/>
    <mergeCell ref="P68:Q68"/>
  </mergeCells>
  <phoneticPr fontId="80" type="noConversion"/>
  <hyperlinks>
    <hyperlink ref="C6" r:id="rId1" xr:uid="{DB3D224D-0345-4328-AD05-B7C63A81FA72}"/>
  </hyperlinks>
  <pageMargins left="0.7" right="0.7" top="0.75" bottom="0.75" header="0.3" footer="0.3"/>
  <pageSetup paperSize="9" orientation="portrait" r:id="rId2"/>
  <drawing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O91"/>
  <sheetViews>
    <sheetView topLeftCell="A3" zoomScale="115" zoomScaleNormal="115" workbookViewId="0">
      <selection activeCell="I22" sqref="I22"/>
    </sheetView>
  </sheetViews>
  <sheetFormatPr defaultColWidth="11.453125" defaultRowHeight="12.5"/>
  <cols>
    <col min="1" max="1" width="36.26953125" style="6" customWidth="1"/>
    <col min="2" max="10" width="12.453125" style="35" customWidth="1"/>
    <col min="11" max="12" width="12.453125" style="42" customWidth="1"/>
    <col min="13" max="13" width="12.26953125" style="42" bestFit="1" customWidth="1"/>
    <col min="14" max="16384" width="11.453125" style="34"/>
  </cols>
  <sheetData>
    <row r="1" spans="1:13" ht="15.5">
      <c r="A1" s="1480" t="e" vm="1">
        <f>Inputs!I3</f>
        <v>#VALUE!</v>
      </c>
      <c r="B1" s="1480"/>
      <c r="C1" s="1480"/>
      <c r="D1" s="1480"/>
      <c r="E1" s="1480"/>
      <c r="F1" s="1480"/>
      <c r="G1" s="1480"/>
      <c r="H1" s="1480"/>
      <c r="I1" s="1480"/>
      <c r="J1" s="1480"/>
      <c r="K1" s="1480"/>
      <c r="L1" s="1480"/>
      <c r="M1" s="1480"/>
    </row>
    <row r="2" spans="1:13" ht="11.5">
      <c r="A2" s="1481" t="str">
        <f>Inputs!H2</f>
        <v>Figures in Millions of USD</v>
      </c>
      <c r="B2" s="1481"/>
      <c r="C2" s="1481"/>
      <c r="D2" s="1481"/>
      <c r="E2" s="1481"/>
      <c r="F2" s="1481"/>
      <c r="G2" s="1481"/>
      <c r="H2" s="1481"/>
      <c r="I2" s="1481"/>
      <c r="J2" s="1481"/>
      <c r="K2" s="1481"/>
      <c r="L2" s="1481"/>
      <c r="M2" s="1481"/>
    </row>
    <row r="3" spans="1:13" ht="20">
      <c r="A3" s="1479" t="s">
        <v>683</v>
      </c>
      <c r="B3" s="1479"/>
      <c r="C3" s="1479"/>
      <c r="D3" s="1479"/>
      <c r="E3" s="1479"/>
      <c r="F3" s="1479"/>
      <c r="G3" s="1479"/>
      <c r="H3" s="1479"/>
      <c r="I3" s="1479"/>
      <c r="J3" s="1479"/>
      <c r="K3" s="1479"/>
      <c r="L3" s="1479"/>
      <c r="M3" s="1479"/>
    </row>
    <row r="4" spans="1:13">
      <c r="A4" s="100"/>
      <c r="B4" s="44">
        <f>OP!J20</f>
        <v>2024</v>
      </c>
      <c r="C4" s="36">
        <f>B4-1</f>
        <v>2023</v>
      </c>
      <c r="D4" s="36">
        <f t="shared" ref="D4:M4" si="0">C4-1</f>
        <v>2022</v>
      </c>
      <c r="E4" s="36">
        <f t="shared" si="0"/>
        <v>2021</v>
      </c>
      <c r="F4" s="36">
        <f t="shared" si="0"/>
        <v>2020</v>
      </c>
      <c r="G4" s="36">
        <f t="shared" si="0"/>
        <v>2019</v>
      </c>
      <c r="H4" s="36">
        <f t="shared" si="0"/>
        <v>2018</v>
      </c>
      <c r="I4" s="36">
        <f t="shared" si="0"/>
        <v>2017</v>
      </c>
      <c r="J4" s="36">
        <f>I4-1</f>
        <v>2016</v>
      </c>
      <c r="K4" s="36">
        <f t="shared" si="0"/>
        <v>2015</v>
      </c>
      <c r="L4" s="36">
        <f t="shared" si="0"/>
        <v>2014</v>
      </c>
      <c r="M4" s="36">
        <f t="shared" si="0"/>
        <v>2013</v>
      </c>
    </row>
    <row r="5" spans="1:13">
      <c r="A5" s="101" t="s">
        <v>128</v>
      </c>
      <c r="B5" s="45">
        <f>_xlfn.XLOOKUP($A5,Inputs!$A:$A,Inputs!B:B,,0)</f>
        <v>9961.7999999999993</v>
      </c>
      <c r="C5" s="45">
        <f>_xlfn.XLOOKUP($A5,Inputs!$A:$A,Inputs!C:C,,0)</f>
        <v>9452.6</v>
      </c>
      <c r="D5" s="45">
        <f>_xlfn.XLOOKUP($A5,Inputs!$A:$A,Inputs!D:D,,0)</f>
        <v>8820.7000000000007</v>
      </c>
      <c r="E5" s="45">
        <f>_xlfn.XLOOKUP($A5,Inputs!$A:$A,Inputs!E:E,,0)</f>
        <v>8614.9</v>
      </c>
      <c r="F5" s="45">
        <f>_xlfn.XLOOKUP($A5,Inputs!$A:$A,Inputs!F:F,,0)</f>
        <v>8343.5</v>
      </c>
      <c r="G5" s="45">
        <f>_xlfn.XLOOKUP($A5,Inputs!$A:$A,Inputs!G:G,,0)</f>
        <v>8116</v>
      </c>
      <c r="H5" s="45">
        <f>_xlfn.XLOOKUP($A5,Inputs!$A:$A,Inputs!H:H,,0)</f>
        <v>7585</v>
      </c>
      <c r="I5" s="45">
        <f>_xlfn.XLOOKUP($A5,Inputs!$A:$A,Inputs!I:I,,0)</f>
        <v>7331.5</v>
      </c>
      <c r="J5" s="45">
        <f>_xlfn.XLOOKUP($A5,Inputs!$A:$A,Inputs!J:J,,0)</f>
        <v>6548.4</v>
      </c>
      <c r="K5" s="45">
        <f>_xlfn.XLOOKUP($A5,Inputs!$A:$A,Inputs!K:K,,0)</f>
        <v>6028</v>
      </c>
      <c r="L5" s="45">
        <f>_xlfn.XLOOKUP($A5,Inputs!$A:$A,Inputs!L:L,,0)</f>
        <v>4867.7</v>
      </c>
      <c r="M5" s="45">
        <f>_xlfn.XLOOKUP($A5,Inputs!$A:$A,Inputs!M:M,,0)</f>
        <v>2796.1</v>
      </c>
    </row>
    <row r="6" spans="1:13" ht="13">
      <c r="A6" s="102" t="s">
        <v>684</v>
      </c>
      <c r="B6" s="47">
        <f t="shared" ref="B6:L6" si="1">IFERROR(B5/C5-1,"-")</f>
        <v>5.3868776844465893E-2</v>
      </c>
      <c r="C6" s="47">
        <f t="shared" si="1"/>
        <v>7.1638305349915443E-2</v>
      </c>
      <c r="D6" s="47">
        <f t="shared" si="1"/>
        <v>2.3888843747460919E-2</v>
      </c>
      <c r="E6" s="47">
        <f t="shared" si="1"/>
        <v>3.2528315455144785E-2</v>
      </c>
      <c r="F6" s="47">
        <f t="shared" si="1"/>
        <v>2.8031049778215911E-2</v>
      </c>
      <c r="G6" s="47">
        <f t="shared" si="1"/>
        <v>7.0006591957811448E-2</v>
      </c>
      <c r="H6" s="47">
        <f t="shared" si="1"/>
        <v>3.4576826024687923E-2</v>
      </c>
      <c r="I6" s="47">
        <f t="shared" si="1"/>
        <v>0.11958646386903671</v>
      </c>
      <c r="J6" s="47">
        <f t="shared" si="1"/>
        <v>8.6330457863304622E-2</v>
      </c>
      <c r="K6" s="47">
        <f t="shared" si="1"/>
        <v>0.23836719600632739</v>
      </c>
      <c r="L6" s="47">
        <f t="shared" si="1"/>
        <v>0.74088909552591109</v>
      </c>
      <c r="M6" s="48" t="str">
        <f>IFERROR(M5/#REF!-1,"-")</f>
        <v>-</v>
      </c>
    </row>
    <row r="7" spans="1:13">
      <c r="A7" s="101" t="s">
        <v>685</v>
      </c>
      <c r="B7" s="45">
        <f>_xlfn.XLOOKUP($A7,Inputs!$A:$A,Inputs!B:B,,0)</f>
        <v>5017.5</v>
      </c>
      <c r="C7" s="45">
        <f>_xlfn.XLOOKUP($A7,Inputs!$A:$A,Inputs!C:C,,0)</f>
        <v>4770</v>
      </c>
      <c r="D7" s="45">
        <f>_xlfn.XLOOKUP($A7,Inputs!$A:$A,Inputs!D:D,,0)</f>
        <v>4698.8</v>
      </c>
      <c r="E7" s="45">
        <f>_xlfn.XLOOKUP($A7,Inputs!$A:$A,Inputs!E:E,,0)</f>
        <v>4466</v>
      </c>
      <c r="F7" s="45">
        <f>_xlfn.XLOOKUP($A7,Inputs!$A:$A,Inputs!F:F,,0)</f>
        <v>4151.8999999999996</v>
      </c>
      <c r="G7" s="45">
        <f>_xlfn.XLOOKUP($A7,Inputs!$A:$A,Inputs!G:G,,0)</f>
        <v>4078.5</v>
      </c>
      <c r="H7" s="45">
        <f>_xlfn.XLOOKUP($A7,Inputs!$A:$A,Inputs!H:H,,0)</f>
        <v>3817.2</v>
      </c>
      <c r="I7" s="45">
        <f>_xlfn.XLOOKUP($A7,Inputs!$A:$A,Inputs!I:I,,0)</f>
        <v>3529.4</v>
      </c>
      <c r="J7" s="45">
        <f>_xlfn.XLOOKUP($A7,Inputs!$A:$A,Inputs!J:J,,0)</f>
        <v>2942.3</v>
      </c>
      <c r="K7" s="45">
        <f>_xlfn.XLOOKUP($A7,Inputs!$A:$A,Inputs!K:K,,0)</f>
        <v>2670.8</v>
      </c>
      <c r="L7" s="45">
        <f>_xlfn.XLOOKUP($A7,Inputs!$A:$A,Inputs!L:L,,0)</f>
        <v>1991.7</v>
      </c>
      <c r="M7" s="45">
        <f>_xlfn.XLOOKUP($A7,Inputs!$A:$A,Inputs!M:M,,0)</f>
        <v>1108.3</v>
      </c>
    </row>
    <row r="8" spans="1:13" ht="13">
      <c r="A8" s="102" t="s">
        <v>686</v>
      </c>
      <c r="B8" s="47">
        <f>IFERROR(B7/B$5,"-")</f>
        <v>0.50367403481298567</v>
      </c>
      <c r="C8" s="47">
        <f t="shared" ref="C8:M8" si="2">IFERROR(C7/C$5,"-")</f>
        <v>0.50462306666948775</v>
      </c>
      <c r="D8" s="47">
        <f t="shared" si="2"/>
        <v>0.5327014862765993</v>
      </c>
      <c r="E8" s="47">
        <f t="shared" si="2"/>
        <v>0.51840416023401314</v>
      </c>
      <c r="F8" s="47">
        <f t="shared" si="2"/>
        <v>0.49762090249895125</v>
      </c>
      <c r="G8" s="47">
        <f t="shared" si="2"/>
        <v>0.50252587481517985</v>
      </c>
      <c r="H8" s="47">
        <f t="shared" si="2"/>
        <v>0.5032564271588662</v>
      </c>
      <c r="I8" s="47">
        <f t="shared" si="2"/>
        <v>0.48140216872399921</v>
      </c>
      <c r="J8" s="47">
        <f t="shared" si="2"/>
        <v>0.44931586341701796</v>
      </c>
      <c r="K8" s="47">
        <f t="shared" si="2"/>
        <v>0.44306569343065694</v>
      </c>
      <c r="L8" s="47">
        <f t="shared" si="2"/>
        <v>0.40916654682909798</v>
      </c>
      <c r="M8" s="48">
        <f t="shared" si="2"/>
        <v>0.39637352026036266</v>
      </c>
    </row>
    <row r="9" spans="1:13">
      <c r="A9" s="101" t="s">
        <v>687</v>
      </c>
      <c r="B9" s="45">
        <f t="shared" ref="B9:M9" si="3">B5-B11</f>
        <v>6792.0999999999995</v>
      </c>
      <c r="C9" s="45">
        <f t="shared" si="3"/>
        <v>6609.7000000000007</v>
      </c>
      <c r="D9" s="45">
        <f t="shared" si="3"/>
        <v>6489.0000000000009</v>
      </c>
      <c r="E9" s="45">
        <f t="shared" si="3"/>
        <v>5823.7999999999993</v>
      </c>
      <c r="F9" s="45">
        <f t="shared" si="3"/>
        <v>6189</v>
      </c>
      <c r="G9" s="45">
        <f t="shared" si="3"/>
        <v>5703.8</v>
      </c>
      <c r="H9" s="45">
        <f t="shared" si="3"/>
        <v>5300.5</v>
      </c>
      <c r="I9" s="45">
        <f t="shared" si="3"/>
        <v>4932.1000000000004</v>
      </c>
      <c r="J9" s="45">
        <f t="shared" si="3"/>
        <v>4783.2999999999993</v>
      </c>
      <c r="K9" s="45">
        <f t="shared" si="3"/>
        <v>4527.8</v>
      </c>
      <c r="L9" s="45">
        <f t="shared" si="3"/>
        <v>4072</v>
      </c>
      <c r="M9" s="46">
        <f t="shared" si="3"/>
        <v>2273.1999999999998</v>
      </c>
    </row>
    <row r="10" spans="1:13" ht="13">
      <c r="A10" s="102" t="s">
        <v>686</v>
      </c>
      <c r="B10" s="47">
        <f>IFERROR(B9/B$5,"-")</f>
        <v>0.68181453151036964</v>
      </c>
      <c r="C10" s="47">
        <f t="shared" ref="C10:M10" si="4">IFERROR(C9/C$5,"-")</f>
        <v>0.69924676808497133</v>
      </c>
      <c r="D10" s="47">
        <f t="shared" si="4"/>
        <v>0.73565590032537109</v>
      </c>
      <c r="E10" s="47">
        <f t="shared" si="4"/>
        <v>0.67601481154743526</v>
      </c>
      <c r="F10" s="47">
        <f t="shared" si="4"/>
        <v>0.74177503445796134</v>
      </c>
      <c r="G10" s="47">
        <f t="shared" si="4"/>
        <v>0.70278462296697886</v>
      </c>
      <c r="H10" s="47">
        <f t="shared" si="4"/>
        <v>0.69881344759393538</v>
      </c>
      <c r="I10" s="47">
        <f t="shared" si="4"/>
        <v>0.67272727272727273</v>
      </c>
      <c r="J10" s="47">
        <f t="shared" si="4"/>
        <v>0.73045324048622562</v>
      </c>
      <c r="K10" s="47">
        <f t="shared" si="4"/>
        <v>0.75112806901128071</v>
      </c>
      <c r="L10" s="47">
        <f t="shared" si="4"/>
        <v>0.83653470838383637</v>
      </c>
      <c r="M10" s="48">
        <f t="shared" si="4"/>
        <v>0.81298952111870104</v>
      </c>
    </row>
    <row r="11" spans="1:13">
      <c r="A11" s="101" t="s">
        <v>312</v>
      </c>
      <c r="B11" s="45">
        <f>_xlfn.XLOOKUP($A11,Inputs!$A:$A,Inputs!B:B,,0)</f>
        <v>3169.7</v>
      </c>
      <c r="C11" s="45">
        <f>_xlfn.XLOOKUP($A11,Inputs!$A:$A,Inputs!C:C,,0)</f>
        <v>2842.9</v>
      </c>
      <c r="D11" s="45">
        <f>_xlfn.XLOOKUP($A11,Inputs!$A:$A,Inputs!D:D,,0)</f>
        <v>2331.6999999999998</v>
      </c>
      <c r="E11" s="45">
        <f>_xlfn.XLOOKUP($A11,Inputs!$A:$A,Inputs!E:E,,0)</f>
        <v>2791.1</v>
      </c>
      <c r="F11" s="45">
        <f>_xlfn.XLOOKUP($A11,Inputs!$A:$A,Inputs!F:F,,0)</f>
        <v>2154.5</v>
      </c>
      <c r="G11" s="45">
        <f>_xlfn.XLOOKUP($A11,Inputs!$A:$A,Inputs!G:G,,0)</f>
        <v>2412.1999999999998</v>
      </c>
      <c r="H11" s="45">
        <f>_xlfn.XLOOKUP($A11,Inputs!$A:$A,Inputs!H:H,,0)</f>
        <v>2284.5</v>
      </c>
      <c r="I11" s="45">
        <f>_xlfn.XLOOKUP($A11,Inputs!$A:$A,Inputs!I:I,,0)</f>
        <v>2399.4</v>
      </c>
      <c r="J11" s="45">
        <f>_xlfn.XLOOKUP($A11,Inputs!$A:$A,Inputs!J:J,,0)</f>
        <v>1765.1</v>
      </c>
      <c r="K11" s="45">
        <f>_xlfn.XLOOKUP($A11,Inputs!$A:$A,Inputs!K:K,,0)</f>
        <v>1500.2</v>
      </c>
      <c r="L11" s="45">
        <f>_xlfn.XLOOKUP($A11,Inputs!$A:$A,Inputs!L:L,,0)</f>
        <v>795.69999999999982</v>
      </c>
      <c r="M11" s="45">
        <f>_xlfn.XLOOKUP($A11,Inputs!$A:$A,Inputs!M:M,,0)</f>
        <v>522.9</v>
      </c>
    </row>
    <row r="12" spans="1:13" ht="13">
      <c r="A12" s="102" t="s">
        <v>129</v>
      </c>
      <c r="B12" s="47">
        <f t="shared" ref="B12:M12" si="5">IFERROR(B11/B$5,"-")</f>
        <v>0.31818546848963042</v>
      </c>
      <c r="C12" s="47">
        <f t="shared" si="5"/>
        <v>0.30075323191502867</v>
      </c>
      <c r="D12" s="47">
        <f t="shared" si="5"/>
        <v>0.26434409967462896</v>
      </c>
      <c r="E12" s="47">
        <f t="shared" si="5"/>
        <v>0.32398518845256474</v>
      </c>
      <c r="F12" s="47">
        <f t="shared" si="5"/>
        <v>0.25822496554203872</v>
      </c>
      <c r="G12" s="47">
        <f t="shared" si="5"/>
        <v>0.29721537703302114</v>
      </c>
      <c r="H12" s="47">
        <f t="shared" si="5"/>
        <v>0.30118655240606462</v>
      </c>
      <c r="I12" s="47">
        <f t="shared" si="5"/>
        <v>0.32727272727272727</v>
      </c>
      <c r="J12" s="47">
        <f t="shared" si="5"/>
        <v>0.26954675951377438</v>
      </c>
      <c r="K12" s="47">
        <f t="shared" si="5"/>
        <v>0.24887193098871932</v>
      </c>
      <c r="L12" s="47">
        <f t="shared" si="5"/>
        <v>0.16346529161616366</v>
      </c>
      <c r="M12" s="48">
        <f t="shared" si="5"/>
        <v>0.18701047888129896</v>
      </c>
    </row>
    <row r="13" spans="1:13" ht="13">
      <c r="A13" s="101" t="s">
        <v>688</v>
      </c>
      <c r="B13" s="47">
        <f t="shared" ref="B13" si="6">IFERROR(B12/C12-1,"-")</f>
        <v>5.7961926006922626E-2</v>
      </c>
      <c r="C13" s="47">
        <f t="shared" ref="C13" si="7">IFERROR(C12/D12-1,"-")</f>
        <v>0.13773385630779855</v>
      </c>
      <c r="D13" s="47">
        <f t="shared" ref="D13" si="8">IFERROR(D12/E12-1,"-")</f>
        <v>-0.18408584992047539</v>
      </c>
      <c r="E13" s="47">
        <f t="shared" ref="E13" si="9">IFERROR(E12/F12-1,"-")</f>
        <v>0.25466252952145463</v>
      </c>
      <c r="F13" s="47">
        <f t="shared" ref="F13" si="10">IFERROR(F12/G12-1,"-")</f>
        <v>-0.13118571414510127</v>
      </c>
      <c r="G13" s="47">
        <f t="shared" ref="G13" si="11">IFERROR(G12/H12-1,"-")</f>
        <v>-1.3185101862348336E-2</v>
      </c>
      <c r="H13" s="47">
        <f t="shared" ref="H13" si="12">IFERROR(H12/I12-1,"-")</f>
        <v>-7.9707756537024776E-2</v>
      </c>
      <c r="I13" s="47">
        <f t="shared" ref="I13" si="13">IFERROR(I12/J12-1,"-")</f>
        <v>0.21415938319229899</v>
      </c>
      <c r="J13" s="47">
        <f t="shared" ref="J13" si="14">IFERROR(J12/K12-1,"-")</f>
        <v>8.3074167676997712E-2</v>
      </c>
      <c r="K13" s="47">
        <f t="shared" ref="K13" si="15">IFERROR(K12/L12-1,"-")</f>
        <v>0.52247567987154619</v>
      </c>
      <c r="L13" s="47">
        <f t="shared" ref="L13" si="16">IFERROR(L12/M12-1,"-")</f>
        <v>-0.12590303712381867</v>
      </c>
      <c r="M13" s="48" t="str">
        <f>IFERROR(M12/#REF!-1,"-")</f>
        <v>-</v>
      </c>
    </row>
    <row r="14" spans="1:13">
      <c r="A14" s="103" t="s">
        <v>313</v>
      </c>
      <c r="B14" s="45">
        <f>_xlfn.XLOOKUP($A14,Inputs!$A:$A,Inputs!B:B,,0)</f>
        <v>-435.4</v>
      </c>
      <c r="C14" s="45">
        <f>_xlfn.XLOOKUP($A14,Inputs!$A:$A,Inputs!C:C,,0)</f>
        <v>-398.7</v>
      </c>
      <c r="D14" s="45">
        <f>_xlfn.XLOOKUP($A14,Inputs!$A:$A,Inputs!D:D,,0)</f>
        <v>-356.4</v>
      </c>
      <c r="E14" s="45">
        <f>_xlfn.XLOOKUP($A14,Inputs!$A:$A,Inputs!E:E,,0)</f>
        <v>-385.7</v>
      </c>
      <c r="F14" s="45">
        <f>_xlfn.XLOOKUP($A14,Inputs!$A:$A,Inputs!F:F,,0)</f>
        <v>-431.09999999999997</v>
      </c>
      <c r="G14" s="45">
        <f>_xlfn.XLOOKUP($A14,Inputs!$A:$A,Inputs!G:G,,0)</f>
        <v>-367.1</v>
      </c>
      <c r="H14" s="45">
        <f>_xlfn.XLOOKUP($A14,Inputs!$A:$A,Inputs!H:H,,0)</f>
        <v>-429</v>
      </c>
      <c r="I14" s="45">
        <f>_xlfn.XLOOKUP($A14,Inputs!$A:$A,Inputs!I:I,,0)</f>
        <v>-333.3</v>
      </c>
      <c r="J14" s="45">
        <f>_xlfn.XLOOKUP($A14,Inputs!$A:$A,Inputs!J:J,,0)</f>
        <v>-315</v>
      </c>
      <c r="K14" s="45">
        <f>_xlfn.XLOOKUP($A14,Inputs!$A:$A,Inputs!K:K,,0)</f>
        <v>-342.09999999999997</v>
      </c>
      <c r="L14" s="45">
        <f>_xlfn.XLOOKUP($A14,Inputs!$A:$A,Inputs!L:L,,0)</f>
        <v>-323.2</v>
      </c>
      <c r="M14" s="45">
        <f>_xlfn.XLOOKUP($A14,Inputs!$A:$A,Inputs!M:M,,0)</f>
        <v>-239.6</v>
      </c>
    </row>
    <row r="15" spans="1:13">
      <c r="A15" s="101" t="s">
        <v>689</v>
      </c>
      <c r="B15" s="45">
        <f>_xlfn.XLOOKUP($A15,Inputs!$A:$A,Inputs!B:B,,0)</f>
        <v>-512.5</v>
      </c>
      <c r="C15" s="45">
        <f>_xlfn.XLOOKUP($A15,Inputs!$A:$A,Inputs!C:C,,0)</f>
        <v>-2060.6</v>
      </c>
      <c r="D15" s="45">
        <f>_xlfn.XLOOKUP($A15,Inputs!$A:$A,Inputs!D:D,,0)</f>
        <v>-1664.9</v>
      </c>
      <c r="E15" s="45">
        <f>_xlfn.XLOOKUP($A15,Inputs!$A:$A,Inputs!E:E,,0)</f>
        <v>137.5</v>
      </c>
      <c r="F15" s="45">
        <f>_xlfn.XLOOKUP($A15,Inputs!$A:$A,Inputs!F:F,,0)</f>
        <v>-2668.6</v>
      </c>
      <c r="G15" s="45">
        <f>_xlfn.XLOOKUP($A15,Inputs!$A:$A,Inputs!G:G,,0)</f>
        <v>2099.9</v>
      </c>
      <c r="H15" s="45">
        <f>_xlfn.XLOOKUP($A15,Inputs!$A:$A,Inputs!H:H,,0)</f>
        <v>487.2</v>
      </c>
      <c r="I15" s="45">
        <f>_xlfn.XLOOKUP($A15,Inputs!$A:$A,Inputs!I:I,,0)</f>
        <v>27.3</v>
      </c>
      <c r="J15" s="45">
        <f>_xlfn.XLOOKUP($A15,Inputs!$A:$A,Inputs!J:J,,0)</f>
        <v>51.1</v>
      </c>
      <c r="K15" s="45">
        <f>_xlfn.XLOOKUP($A15,Inputs!$A:$A,Inputs!K:K,,0)</f>
        <v>21.5</v>
      </c>
      <c r="L15" s="45">
        <f>_xlfn.XLOOKUP($A15,Inputs!$A:$A,Inputs!L:L,,0)</f>
        <v>1729.8</v>
      </c>
      <c r="M15" s="45">
        <f>_xlfn.XLOOKUP($A15,Inputs!$A:$A,Inputs!M:M,,0)</f>
        <v>233.1</v>
      </c>
    </row>
    <row r="16" spans="1:13">
      <c r="A16" s="103" t="s">
        <v>63</v>
      </c>
      <c r="B16" s="45">
        <f>B11-B15</f>
        <v>3682.2</v>
      </c>
      <c r="C16" s="45">
        <f t="shared" ref="C16:M16" si="17">C11-C15</f>
        <v>4903.5</v>
      </c>
      <c r="D16" s="45">
        <f t="shared" si="17"/>
        <v>3996.6</v>
      </c>
      <c r="E16" s="45">
        <f t="shared" si="17"/>
        <v>2653.6</v>
      </c>
      <c r="F16" s="45">
        <f t="shared" si="17"/>
        <v>4823.1000000000004</v>
      </c>
      <c r="G16" s="45">
        <f t="shared" si="17"/>
        <v>312.29999999999973</v>
      </c>
      <c r="H16" s="45">
        <f t="shared" si="17"/>
        <v>1797.3</v>
      </c>
      <c r="I16" s="45">
        <f t="shared" si="17"/>
        <v>2372.1</v>
      </c>
      <c r="J16" s="45">
        <f t="shared" si="17"/>
        <v>1714</v>
      </c>
      <c r="K16" s="45">
        <f t="shared" si="17"/>
        <v>1478.7</v>
      </c>
      <c r="L16" s="45">
        <f t="shared" si="17"/>
        <v>-934.10000000000014</v>
      </c>
      <c r="M16" s="46">
        <f t="shared" si="17"/>
        <v>289.79999999999995</v>
      </c>
    </row>
    <row r="17" spans="1:13">
      <c r="A17" s="101" t="s">
        <v>58</v>
      </c>
      <c r="B17" s="45">
        <f>_xlfn.XLOOKUP($A17,Inputs!$A:$A,Inputs!B:B,,0)</f>
        <v>429.2</v>
      </c>
      <c r="C17" s="45">
        <f>_xlfn.XLOOKUP($A17,Inputs!$A:$A,Inputs!C:C,,0)</f>
        <v>400</v>
      </c>
      <c r="D17" s="45">
        <f>_xlfn.XLOOKUP($A17,Inputs!$A:$A,Inputs!D:D,,0)</f>
        <v>342.4</v>
      </c>
      <c r="E17" s="45">
        <f>_xlfn.XLOOKUP($A17,Inputs!$A:$A,Inputs!E:E,,0)</f>
        <v>305.10000000000002</v>
      </c>
      <c r="F17" s="45">
        <f>_xlfn.XLOOKUP($A17,Inputs!$A:$A,Inputs!F:F,,0)</f>
        <v>343.2</v>
      </c>
      <c r="G17" s="45">
        <f>_xlfn.XLOOKUP($A17,Inputs!$A:$A,Inputs!G:G,,0)</f>
        <v>447.1</v>
      </c>
      <c r="H17" s="45">
        <f>_xlfn.XLOOKUP($A17,Inputs!$A:$A,Inputs!H:H,,0)</f>
        <v>386.5</v>
      </c>
      <c r="I17" s="45">
        <f>_xlfn.XLOOKUP($A17,Inputs!$A:$A,Inputs!I:I,,0)</f>
        <v>293.89999999999998</v>
      </c>
      <c r="J17" s="45">
        <f>_xlfn.XLOOKUP($A17,Inputs!$A:$A,Inputs!J:J,,0)</f>
        <v>221</v>
      </c>
      <c r="K17" s="45">
        <f>_xlfn.XLOOKUP($A17,Inputs!$A:$A,Inputs!K:K,,0)</f>
        <v>202</v>
      </c>
      <c r="L17" s="45">
        <f>_xlfn.XLOOKUP($A17,Inputs!$A:$A,Inputs!L:L,,0)</f>
        <v>166.9</v>
      </c>
      <c r="M17" s="45">
        <f>_xlfn.XLOOKUP($A17,Inputs!$A:$A,Inputs!M:M,,0)</f>
        <v>120.2</v>
      </c>
    </row>
    <row r="18" spans="1:13">
      <c r="A18" s="103" t="s">
        <v>690</v>
      </c>
      <c r="B18" s="45">
        <f>_xlfn.XLOOKUP($A18,Inputs!$A:$A,Inputs!B:B,,0)</f>
        <v>41.100000000000477</v>
      </c>
      <c r="C18" s="45">
        <f>_xlfn.XLOOKUP($A18,Inputs!$A:$A,Inputs!C:C,,0)</f>
        <v>-37.199999999999932</v>
      </c>
      <c r="D18" s="45">
        <f>_xlfn.XLOOKUP($A18,Inputs!$A:$A,Inputs!D:D,,0)</f>
        <v>-883.30000000000052</v>
      </c>
      <c r="E18" s="45">
        <f>_xlfn.XLOOKUP($A18,Inputs!$A:$A,Inputs!E:E,,0)</f>
        <v>223.90000000000055</v>
      </c>
      <c r="F18" s="45">
        <f>_xlfn.XLOOKUP($A18,Inputs!$A:$A,Inputs!F:F,,0)</f>
        <v>664.29999999999984</v>
      </c>
      <c r="G18" s="45">
        <f>_xlfn.XLOOKUP($A18,Inputs!$A:$A,Inputs!G:G,,0)</f>
        <v>-917.50000000000034</v>
      </c>
      <c r="H18" s="45">
        <f>_xlfn.XLOOKUP($A18,Inputs!$A:$A,Inputs!H:H,,0)</f>
        <v>989.1</v>
      </c>
      <c r="I18" s="45">
        <f>_xlfn.XLOOKUP($A18,Inputs!$A:$A,Inputs!I:I,,0)</f>
        <v>-267.19999999999959</v>
      </c>
      <c r="J18" s="45">
        <f>_xlfn.XLOOKUP($A18,Inputs!$A:$A,Inputs!J:J,,0)</f>
        <v>-1047.8000000000006</v>
      </c>
      <c r="K18" s="45">
        <f>_xlfn.XLOOKUP($A18,Inputs!$A:$A,Inputs!K:K,,0)</f>
        <v>1012.4000000000004</v>
      </c>
      <c r="L18" s="45">
        <f>_xlfn.XLOOKUP($A18,Inputs!$A:$A,Inputs!L:L,,0)</f>
        <v>-804.19999999999993</v>
      </c>
      <c r="M18" s="45">
        <f>_xlfn.XLOOKUP($A18,Inputs!$A:$A,Inputs!M:M,,0)</f>
        <v>703.99999999999955</v>
      </c>
    </row>
    <row r="19" spans="1:13">
      <c r="A19" s="101" t="s">
        <v>54</v>
      </c>
      <c r="B19" s="45">
        <f>B11-B15+B17</f>
        <v>4111.3999999999996</v>
      </c>
      <c r="C19" s="45">
        <f t="shared" ref="C19:M19" si="18">C11-C15+C17</f>
        <v>5303.5</v>
      </c>
      <c r="D19" s="45">
        <f t="shared" si="18"/>
        <v>4339</v>
      </c>
      <c r="E19" s="45">
        <f t="shared" si="18"/>
        <v>2958.7</v>
      </c>
      <c r="F19" s="45">
        <f t="shared" si="18"/>
        <v>5166.3</v>
      </c>
      <c r="G19" s="45">
        <f>G11-G15+G17</f>
        <v>759.39999999999975</v>
      </c>
      <c r="H19" s="45">
        <f t="shared" si="18"/>
        <v>2183.8000000000002</v>
      </c>
      <c r="I19" s="45">
        <f t="shared" si="18"/>
        <v>2666</v>
      </c>
      <c r="J19" s="45">
        <f t="shared" si="18"/>
        <v>1935</v>
      </c>
      <c r="K19" s="45">
        <f t="shared" si="18"/>
        <v>1680.7</v>
      </c>
      <c r="L19" s="45">
        <f t="shared" si="18"/>
        <v>-767.20000000000016</v>
      </c>
      <c r="M19" s="46">
        <f t="shared" si="18"/>
        <v>409.99999999999994</v>
      </c>
    </row>
    <row r="20" spans="1:13" ht="13">
      <c r="A20" s="102" t="s">
        <v>691</v>
      </c>
      <c r="B20" s="47">
        <f t="shared" ref="B20" si="19">IFERROR(B19/B$5,"-")</f>
        <v>0.41271657732538297</v>
      </c>
      <c r="C20" s="47">
        <f t="shared" ref="C20" si="20">IFERROR(C19/C$5,"-")</f>
        <v>0.56106256479698702</v>
      </c>
      <c r="D20" s="47">
        <f t="shared" ref="D20" si="21">IFERROR(D19/D$5,"-")</f>
        <v>0.49191107281735008</v>
      </c>
      <c r="E20" s="47">
        <f t="shared" ref="E20" si="22">IFERROR(E19/E$5,"-")</f>
        <v>0.3434398542060848</v>
      </c>
      <c r="F20" s="47">
        <f t="shared" ref="F20" si="23">IFERROR(F19/F$5,"-")</f>
        <v>0.61920057529813632</v>
      </c>
      <c r="G20" s="47">
        <f t="shared" ref="G20" si="24">IFERROR(G19/G$5,"-")</f>
        <v>9.3568260226712635E-2</v>
      </c>
      <c r="H20" s="47">
        <f t="shared" ref="H20" si="25">IFERROR(H19/H$5,"-")</f>
        <v>0.28791034937376403</v>
      </c>
      <c r="I20" s="47">
        <f t="shared" ref="I20" si="26">IFERROR(I19/I$5,"-")</f>
        <v>0.36363636363636365</v>
      </c>
      <c r="J20" s="47">
        <f t="shared" ref="J20" si="27">IFERROR(J19/J$5,"-")</f>
        <v>0.2954920285871358</v>
      </c>
      <c r="K20" s="47">
        <f t="shared" ref="K20" si="28">IFERROR(K19/K$5,"-")</f>
        <v>0.27881552753815531</v>
      </c>
      <c r="L20" s="47">
        <f t="shared" ref="L20" si="29">IFERROR(L19/L$5,"-")</f>
        <v>-0.15761037040080536</v>
      </c>
      <c r="M20" s="48">
        <f t="shared" ref="M20" si="30">IFERROR(M19/M$5,"-")</f>
        <v>0.1466328099853367</v>
      </c>
    </row>
    <row r="21" spans="1:13">
      <c r="A21" s="101" t="s">
        <v>314</v>
      </c>
      <c r="B21" s="45">
        <f>_xlfn.XLOOKUP($A21,Inputs!$A:$A,Inputs!B:B,,0)</f>
        <v>-456.6</v>
      </c>
      <c r="C21" s="45">
        <f>_xlfn.XLOOKUP($A21,Inputs!$A:$A,Inputs!C:C,,0)</f>
        <v>-422.1</v>
      </c>
      <c r="D21" s="45">
        <f>_xlfn.XLOOKUP($A21,Inputs!$A:$A,Inputs!D:D,,0)</f>
        <v>-309.39999999999998</v>
      </c>
      <c r="E21" s="45">
        <f>_xlfn.XLOOKUP($A21,Inputs!$A:$A,Inputs!E:E,,0)</f>
        <v>-511.1</v>
      </c>
      <c r="F21" s="45">
        <f>_xlfn.XLOOKUP($A21,Inputs!$A:$A,Inputs!F:F,,0)</f>
        <v>966.6</v>
      </c>
      <c r="G21" s="45">
        <f>_xlfn.XLOOKUP($A21,Inputs!$A:$A,Inputs!G:G,,0)</f>
        <v>-685.9</v>
      </c>
      <c r="H21" s="45">
        <f>_xlfn.XLOOKUP($A21,Inputs!$A:$A,Inputs!H:H,,0)</f>
        <v>-11.9</v>
      </c>
      <c r="I21" s="45">
        <f>_xlfn.XLOOKUP($A21,Inputs!$A:$A,Inputs!I:I,,0)</f>
        <v>-554.20000000000005</v>
      </c>
      <c r="J21" s="45">
        <f>_xlfn.XLOOKUP($A21,Inputs!$A:$A,Inputs!J:J,,0)</f>
        <v>-440.6</v>
      </c>
      <c r="K21" s="45">
        <f>_xlfn.XLOOKUP($A21,Inputs!$A:$A,Inputs!K:K,,0)</f>
        <v>-343.4</v>
      </c>
      <c r="L21" s="45">
        <f>_xlfn.XLOOKUP($A21,Inputs!$A:$A,Inputs!L:L,,0)</f>
        <v>-259.2</v>
      </c>
      <c r="M21" s="45">
        <f>_xlfn.XLOOKUP($A21,Inputs!$A:$A,Inputs!M:M,,0)</f>
        <v>-128.6</v>
      </c>
    </row>
    <row r="22" spans="1:13" ht="13">
      <c r="A22" s="102" t="s">
        <v>692</v>
      </c>
      <c r="B22" s="47">
        <f t="shared" ref="B22" si="31">IFERROR(B21/B$5,"-")</f>
        <v>-4.5835090043967963E-2</v>
      </c>
      <c r="C22" s="47">
        <f t="shared" ref="C22" si="32">IFERROR(C21/C$5,"-")</f>
        <v>-4.4654380805281085E-2</v>
      </c>
      <c r="D22" s="47">
        <f t="shared" ref="D22" si="33">IFERROR(D21/D$5,"-")</f>
        <v>-3.5076581223712398E-2</v>
      </c>
      <c r="E22" s="47">
        <f t="shared" ref="E22" si="34">IFERROR(E21/E$5,"-")</f>
        <v>-5.9327444311599677E-2</v>
      </c>
      <c r="F22" s="47">
        <f t="shared" ref="F22" si="35">IFERROR(F21/F$5,"-")</f>
        <v>0.11585066219212561</v>
      </c>
      <c r="G22" s="47">
        <f t="shared" ref="G22" si="36">IFERROR(G21/G$5,"-")</f>
        <v>-8.4512074913750609E-2</v>
      </c>
      <c r="H22" s="47">
        <f t="shared" ref="H22" si="37">IFERROR(H21/H$5,"-")</f>
        <v>-1.5688859591298616E-3</v>
      </c>
      <c r="I22" s="47">
        <f t="shared" ref="I22" si="38">IFERROR(I21/I$5,"-")</f>
        <v>-7.5591625179022029E-2</v>
      </c>
      <c r="J22" s="47">
        <f t="shared" ref="J22" si="39">IFERROR(J21/J$5,"-")</f>
        <v>-6.7283611263820181E-2</v>
      </c>
      <c r="K22" s="47">
        <f t="shared" ref="K22" si="40">IFERROR(K21/K$5,"-")</f>
        <v>-5.6967485069674847E-2</v>
      </c>
      <c r="L22" s="47">
        <f t="shared" ref="L22" si="41">IFERROR(L21/L$5,"-")</f>
        <v>-5.324896768494361E-2</v>
      </c>
      <c r="M22" s="48">
        <f t="shared" ref="M22" si="42">IFERROR(M21/M$5,"-")</f>
        <v>-4.5992632595400734E-2</v>
      </c>
    </row>
    <row r="23" spans="1:13">
      <c r="A23" s="101" t="s">
        <v>67</v>
      </c>
      <c r="B23" s="45">
        <f>_xlfn.XLOOKUP($A23,Inputs!$A:$A,Inputs!B:B,,0)</f>
        <v>1765.2</v>
      </c>
      <c r="C23" s="45">
        <f>_xlfn.XLOOKUP($A23,Inputs!$A:$A,Inputs!C:C,,0)</f>
        <v>-38.5</v>
      </c>
      <c r="D23" s="45">
        <f>_xlfn.XLOOKUP($A23,Inputs!$A:$A,Inputs!D:D,,0)</f>
        <v>1</v>
      </c>
      <c r="E23" s="45">
        <f>_xlfn.XLOOKUP($A23,Inputs!$A:$A,Inputs!E:E,,0)</f>
        <v>2031.8</v>
      </c>
      <c r="F23" s="45">
        <f>_xlfn.XLOOKUP($A23,Inputs!$A:$A,Inputs!F:F,,0)</f>
        <v>21.4</v>
      </c>
      <c r="G23" s="45">
        <f>_xlfn.XLOOKUP($A23,Inputs!$A:$A,Inputs!G:G,,0)</f>
        <v>3459.1</v>
      </c>
      <c r="H23" s="45">
        <f>_xlfn.XLOOKUP($A23,Inputs!$A:$A,Inputs!H:H,,0)</f>
        <v>2330.8000000000002</v>
      </c>
      <c r="I23" s="45">
        <f>_xlfn.XLOOKUP($A23,Inputs!$A:$A,Inputs!I:I,,0)</f>
        <v>1539.2</v>
      </c>
      <c r="J23" s="45">
        <f>_xlfn.XLOOKUP($A23,Inputs!$A:$A,Inputs!J:J,,0)</f>
        <v>1060.5999999999999</v>
      </c>
      <c r="K23" s="45">
        <f>_xlfn.XLOOKUP($A23,Inputs!$A:$A,Inputs!K:K,,0)</f>
        <v>836.2</v>
      </c>
      <c r="L23" s="45">
        <f>_xlfn.XLOOKUP($A23,Inputs!$A:$A,Inputs!L:L,,0)</f>
        <v>1943.1</v>
      </c>
      <c r="M23" s="45">
        <f>_xlfn.XLOOKUP($A23,Inputs!$A:$A,Inputs!M:M,,0)</f>
        <v>387.8</v>
      </c>
    </row>
    <row r="24" spans="1:13" ht="13">
      <c r="A24" s="102" t="s">
        <v>275</v>
      </c>
      <c r="B24" s="47">
        <f t="shared" ref="B24" si="43">IFERROR(B23/B$5,"-")</f>
        <v>0.17719689212792872</v>
      </c>
      <c r="C24" s="47">
        <f t="shared" ref="C24" si="44">IFERROR(C23/C$5,"-")</f>
        <v>-4.0729534731185069E-3</v>
      </c>
      <c r="D24" s="47">
        <f t="shared" ref="D24" si="45">IFERROR(D23/D$5,"-")</f>
        <v>1.1336968721303297E-4</v>
      </c>
      <c r="E24" s="47">
        <f t="shared" ref="E24" si="46">IFERROR(E23/E$5,"-")</f>
        <v>0.23584719497614598</v>
      </c>
      <c r="F24" s="47">
        <f t="shared" ref="F24" si="47">IFERROR(F23/F$5,"-")</f>
        <v>2.5648708575537844E-3</v>
      </c>
      <c r="G24" s="47">
        <f t="shared" ref="G24" si="48">IFERROR(G23/G$5,"-")</f>
        <v>0.42620749137506159</v>
      </c>
      <c r="H24" s="47">
        <f t="shared" ref="H24" si="49">IFERROR(H23/H$5,"-")</f>
        <v>0.30729070533948583</v>
      </c>
      <c r="I24" s="47">
        <f t="shared" ref="I24" si="50">IFERROR(I23/I$5,"-")</f>
        <v>0.20994339493964401</v>
      </c>
      <c r="J24" s="47">
        <f t="shared" ref="J24" si="51">IFERROR(J23/J$5,"-")</f>
        <v>0.16196322765866469</v>
      </c>
      <c r="K24" s="47">
        <f t="shared" ref="K24" si="52">IFERROR(K23/K$5,"-")</f>
        <v>0.13871930988719311</v>
      </c>
      <c r="L24" s="47">
        <f t="shared" ref="L24" si="53">IFERROR(L23/L$5,"-")</f>
        <v>0.39918236538817098</v>
      </c>
      <c r="M24" s="48">
        <f t="shared" ref="M24" si="54">IFERROR(M23/M$5,"-")</f>
        <v>0.13869317978613069</v>
      </c>
    </row>
    <row r="25" spans="1:13" ht="13">
      <c r="A25" s="101" t="s">
        <v>684</v>
      </c>
      <c r="B25" s="47">
        <f t="shared" ref="B25" si="55">IFERROR(B24/C24-1,"-")</f>
        <v>-44.505749156583356</v>
      </c>
      <c r="C25" s="47">
        <f t="shared" ref="C25" si="56">IFERROR(C24/D24-1,"-")</f>
        <v>-36.926300700336419</v>
      </c>
      <c r="D25" s="47">
        <f t="shared" ref="D25" si="57">IFERROR(D24/E24-1,"-")</f>
        <v>-0.99951930873197581</v>
      </c>
      <c r="E25" s="47">
        <f t="shared" ref="E25" si="58">IFERROR(E24/F24-1,"-")</f>
        <v>90.952853798293177</v>
      </c>
      <c r="F25" s="47">
        <f t="shared" ref="F25" si="59">IFERROR(F24/G24-1,"-")</f>
        <v>-0.99398210751932392</v>
      </c>
      <c r="G25" s="47">
        <f t="shared" ref="G25" si="60">IFERROR(G24/H24-1,"-")</f>
        <v>0.38698464993986703</v>
      </c>
      <c r="H25" s="47">
        <f t="shared" ref="H25" si="61">IFERROR(H24/I24-1,"-")</f>
        <v>0.46368360589685564</v>
      </c>
      <c r="I25" s="47">
        <f t="shared" ref="I25" si="62">IFERROR(I24/J24-1,"-")</f>
        <v>0.29624111580498291</v>
      </c>
      <c r="J25" s="47">
        <f t="shared" ref="J25" si="63">IFERROR(J24/K24-1,"-")</f>
        <v>0.16756079445877869</v>
      </c>
      <c r="K25" s="47">
        <f t="shared" ref="K25" si="64">IFERROR(K24/L24-1,"-")</f>
        <v>-0.65249138760851733</v>
      </c>
      <c r="L25" s="47">
        <f t="shared" ref="L25" si="65">IFERROR(L24/M24-1,"-")</f>
        <v>1.8781686742183208</v>
      </c>
      <c r="M25" s="48" t="str">
        <f>IFERROR(M24/#REF!-1,"-")</f>
        <v>-</v>
      </c>
    </row>
    <row r="26" spans="1:13">
      <c r="A26" s="102" t="s">
        <v>693</v>
      </c>
      <c r="B26" s="49">
        <f>B39-C39</f>
        <v>18.900000000000006</v>
      </c>
      <c r="C26" s="49">
        <f t="shared" ref="C26:M26" si="66">C39-D39</f>
        <v>-65.900000000000006</v>
      </c>
      <c r="D26" s="49">
        <f t="shared" si="66"/>
        <v>-261.20000000000005</v>
      </c>
      <c r="E26" s="49">
        <f t="shared" si="66"/>
        <v>379.20000000000005</v>
      </c>
      <c r="F26" s="49">
        <f t="shared" si="66"/>
        <v>-12.199999999999989</v>
      </c>
      <c r="G26" s="49">
        <f t="shared" si="66"/>
        <v>3.2999999999999972</v>
      </c>
      <c r="H26" s="49">
        <f t="shared" si="66"/>
        <v>-87.100000000000009</v>
      </c>
      <c r="I26" s="49">
        <f t="shared" si="66"/>
        <v>94.300000000000011</v>
      </c>
      <c r="J26" s="49">
        <f t="shared" si="66"/>
        <v>-27</v>
      </c>
      <c r="K26" s="49">
        <f t="shared" si="66"/>
        <v>46.199999999999996</v>
      </c>
      <c r="L26" s="49">
        <f t="shared" si="66"/>
        <v>-267.60000000000002</v>
      </c>
      <c r="M26" s="46">
        <f t="shared" si="66"/>
        <v>331.5</v>
      </c>
    </row>
    <row r="27" spans="1:13">
      <c r="A27" s="101" t="s">
        <v>139</v>
      </c>
      <c r="B27" s="45">
        <f>_xlfn.XLOOKUP($A27,Inputs!$A:$A,Inputs!B:B,,0)</f>
        <v>-653.79999999999995</v>
      </c>
      <c r="C27" s="45">
        <f>_xlfn.XLOOKUP($A27,Inputs!$A:$A,Inputs!C:C,,0)</f>
        <v>-587.70000000000005</v>
      </c>
      <c r="D27" s="45">
        <f>_xlfn.XLOOKUP($A27,Inputs!$A:$A,Inputs!D:D,,0)</f>
        <v>-573</v>
      </c>
      <c r="E27" s="45">
        <f>_xlfn.XLOOKUP($A27,Inputs!$A:$A,Inputs!E:E,,0)</f>
        <v>-575</v>
      </c>
      <c r="F27" s="45">
        <f>_xlfn.XLOOKUP($A27,Inputs!$A:$A,Inputs!F:F,,0)</f>
        <v>-569.20000000000005</v>
      </c>
      <c r="G27" s="45">
        <f>_xlfn.XLOOKUP($A27,Inputs!$A:$A,Inputs!G:G,,0)</f>
        <v>-557.70000000000005</v>
      </c>
      <c r="H27" s="45">
        <f>_xlfn.XLOOKUP($A27,Inputs!$A:$A,Inputs!H:H,,0)</f>
        <v>-400.1</v>
      </c>
      <c r="I27" s="45">
        <f>_xlfn.XLOOKUP($A27,Inputs!$A:$A,Inputs!I:I,,0)</f>
        <v>-315.10000000000002</v>
      </c>
      <c r="J27" s="45">
        <f>_xlfn.XLOOKUP($A27,Inputs!$A:$A,Inputs!J:J,,0)</f>
        <v>-241.6</v>
      </c>
      <c r="K27" s="45">
        <f>_xlfn.XLOOKUP($A27,Inputs!$A:$A,Inputs!K:K,,0)</f>
        <v>0</v>
      </c>
      <c r="L27" s="45">
        <f>_xlfn.XLOOKUP($A27,Inputs!$A:$A,Inputs!L:L,,0)</f>
        <v>0</v>
      </c>
      <c r="M27" s="45">
        <f>_xlfn.XLOOKUP($A27,Inputs!$A:$A,Inputs!M:M,,0)</f>
        <v>0</v>
      </c>
    </row>
    <row r="28" spans="1:13">
      <c r="A28" s="103" t="s">
        <v>694</v>
      </c>
      <c r="B28" s="45">
        <f>_xlfn.XLOOKUP($A28,Inputs!$A:$A,Inputs!B:B,,0)</f>
        <v>-249.7</v>
      </c>
      <c r="C28" s="45">
        <f>_xlfn.XLOOKUP($A28,Inputs!$A:$A,Inputs!C:C,,0)</f>
        <v>-1700.2</v>
      </c>
      <c r="D28" s="45">
        <f>_xlfn.XLOOKUP($A28,Inputs!$A:$A,Inputs!D:D,,0)</f>
        <v>-1390.5</v>
      </c>
      <c r="E28" s="45">
        <f>_xlfn.XLOOKUP($A28,Inputs!$A:$A,Inputs!E:E,,0)</f>
        <v>-1045.9000000000001</v>
      </c>
      <c r="F28" s="45">
        <f>_xlfn.XLOOKUP($A28,Inputs!$A:$A,Inputs!F:F,,0)</f>
        <v>-1045.9000000000001</v>
      </c>
      <c r="G28" s="45">
        <f>_xlfn.XLOOKUP($A28,Inputs!$A:$A,Inputs!G:G,,0)</f>
        <v>-995.9</v>
      </c>
      <c r="H28" s="45">
        <f>_xlfn.XLOOKUP($A28,Inputs!$A:$A,Inputs!H:H,,0)</f>
        <v>-512.79999999999995</v>
      </c>
      <c r="I28" s="45">
        <f>_xlfn.XLOOKUP($A28,Inputs!$A:$A,Inputs!I:I,,0)</f>
        <v>-453.1</v>
      </c>
      <c r="J28" s="45">
        <f>_xlfn.XLOOKUP($A28,Inputs!$A:$A,Inputs!J:J,,0)</f>
        <v>-330.5</v>
      </c>
      <c r="K28" s="45">
        <f>_xlfn.XLOOKUP($A28,Inputs!$A:$A,Inputs!K:K,,0)</f>
        <v>-796.7</v>
      </c>
      <c r="L28" s="45">
        <f>_xlfn.XLOOKUP($A28,Inputs!$A:$A,Inputs!L:L,,0)</f>
        <v>0</v>
      </c>
      <c r="M28" s="45">
        <f>_xlfn.XLOOKUP($A28,Inputs!$A:$A,Inputs!M:M,,0)</f>
        <v>-383</v>
      </c>
    </row>
    <row r="29" spans="1:13">
      <c r="A29" s="101" t="s">
        <v>131</v>
      </c>
      <c r="B29" s="49">
        <f>SUM(B26:B28)</f>
        <v>-884.59999999999991</v>
      </c>
      <c r="C29" s="49">
        <f t="shared" ref="C29:M29" si="67">SUM(C26:C28)</f>
        <v>-2353.8000000000002</v>
      </c>
      <c r="D29" s="49">
        <f t="shared" si="67"/>
        <v>-2224.6999999999998</v>
      </c>
      <c r="E29" s="49">
        <f t="shared" si="67"/>
        <v>-1241.7</v>
      </c>
      <c r="F29" s="49">
        <f t="shared" si="67"/>
        <v>-1627.3000000000002</v>
      </c>
      <c r="G29" s="49">
        <f t="shared" si="67"/>
        <v>-1550.3000000000002</v>
      </c>
      <c r="H29" s="49">
        <f t="shared" si="67"/>
        <v>-1000</v>
      </c>
      <c r="I29" s="49">
        <f t="shared" si="67"/>
        <v>-673.90000000000009</v>
      </c>
      <c r="J29" s="49">
        <f t="shared" si="67"/>
        <v>-599.1</v>
      </c>
      <c r="K29" s="49">
        <f t="shared" si="67"/>
        <v>-750.5</v>
      </c>
      <c r="L29" s="49">
        <f t="shared" si="67"/>
        <v>-267.60000000000002</v>
      </c>
      <c r="M29" s="46">
        <f t="shared" si="67"/>
        <v>-51.5</v>
      </c>
    </row>
    <row r="30" spans="1:13">
      <c r="A30" s="103" t="s">
        <v>695</v>
      </c>
      <c r="B30" s="49">
        <f>+B29-(B58-C29)</f>
        <v>-15813.800000000001</v>
      </c>
      <c r="C30" s="49">
        <f t="shared" ref="C30:M30" si="68">+C29-(C58-D29)</f>
        <v>-17575.2</v>
      </c>
      <c r="D30" s="49">
        <f t="shared" si="68"/>
        <v>-14440.5</v>
      </c>
      <c r="E30" s="49">
        <f t="shared" si="68"/>
        <v>-13866.7</v>
      </c>
      <c r="F30" s="49">
        <f t="shared" si="68"/>
        <v>-15947.099999999999</v>
      </c>
      <c r="G30" s="49">
        <f t="shared" si="68"/>
        <v>-16166.8</v>
      </c>
      <c r="H30" s="49">
        <f t="shared" si="68"/>
        <v>-11860.6</v>
      </c>
      <c r="I30" s="49">
        <f t="shared" si="68"/>
        <v>-10511.1</v>
      </c>
      <c r="J30" s="49">
        <f t="shared" si="68"/>
        <v>-9430.8000000000011</v>
      </c>
      <c r="K30" s="49">
        <f t="shared" si="68"/>
        <v>-8314.6</v>
      </c>
      <c r="L30" s="49">
        <f t="shared" si="68"/>
        <v>-7282.4000000000005</v>
      </c>
      <c r="M30" s="46">
        <f t="shared" si="68"/>
        <v>-3356.9</v>
      </c>
    </row>
    <row r="31" spans="1:13">
      <c r="A31" s="101" t="s">
        <v>696</v>
      </c>
      <c r="B31" s="49">
        <f>+B30+B33</f>
        <v>-15766.000000000002</v>
      </c>
      <c r="C31" s="49">
        <f t="shared" ref="C31:L31" si="69">+C30+C33</f>
        <v>-17546.400000000001</v>
      </c>
      <c r="D31" s="49">
        <f t="shared" si="69"/>
        <v>-14451.6</v>
      </c>
      <c r="E31" s="49">
        <f t="shared" si="69"/>
        <v>-13109.5</v>
      </c>
      <c r="F31" s="49">
        <f t="shared" si="69"/>
        <v>-15760.3</v>
      </c>
      <c r="G31" s="49">
        <f t="shared" si="69"/>
        <v>-20183.7</v>
      </c>
      <c r="H31" s="49">
        <f t="shared" si="69"/>
        <v>-12221.6</v>
      </c>
      <c r="I31" s="49">
        <f t="shared" si="69"/>
        <v>-11046.800000000001</v>
      </c>
      <c r="J31" s="49">
        <f t="shared" si="69"/>
        <v>-10747.2</v>
      </c>
      <c r="K31" s="49">
        <f t="shared" si="69"/>
        <v>-8624.9</v>
      </c>
      <c r="L31" s="49">
        <f t="shared" si="69"/>
        <v>-11963.7</v>
      </c>
      <c r="M31" s="46">
        <f t="shared" ref="M31" si="70">+M30+M33</f>
        <v>-3516.2000000000003</v>
      </c>
    </row>
    <row r="32" spans="1:13">
      <c r="A32" s="103" t="s">
        <v>136</v>
      </c>
      <c r="B32" s="45">
        <f>_xlfn.XLOOKUP($A32,Inputs!$A:$A,Inputs!B:B,,0)</f>
        <v>-1269.0999999999999</v>
      </c>
      <c r="C32" s="45">
        <f>_xlfn.XLOOKUP($A32,Inputs!$A:$A,Inputs!C:C,,0)</f>
        <v>-1028.7</v>
      </c>
      <c r="D32" s="45">
        <f>_xlfn.XLOOKUP($A32,Inputs!$A:$A,Inputs!D:D,,0)</f>
        <v>-1022.6999999999999</v>
      </c>
      <c r="E32" s="45">
        <f>_xlfn.XLOOKUP($A32,Inputs!$A:$A,Inputs!E:E,,0)</f>
        <v>-845.7</v>
      </c>
      <c r="F32" s="45">
        <f>_xlfn.XLOOKUP($A32,Inputs!$A:$A,Inputs!F:F,,0)</f>
        <v>-718.2</v>
      </c>
      <c r="G32" s="45">
        <f>_xlfn.XLOOKUP($A32,Inputs!$A:$A,Inputs!G:G,,0)</f>
        <v>-814</v>
      </c>
      <c r="H32" s="45">
        <f>_xlfn.XLOOKUP($A32,Inputs!$A:$A,Inputs!H:H,,0)</f>
        <v>-1052.0999999999999</v>
      </c>
      <c r="I32" s="45">
        <f>_xlfn.XLOOKUP($A32,Inputs!$A:$A,Inputs!I:I,,0)</f>
        <v>-907.4</v>
      </c>
      <c r="J32" s="45">
        <f>_xlfn.XLOOKUP($A32,Inputs!$A:$A,Inputs!J:J,,0)</f>
        <v>-891.3</v>
      </c>
      <c r="K32" s="45">
        <f>_xlfn.XLOOKUP($A32,Inputs!$A:$A,Inputs!K:K,,0)</f>
        <v>-719.4</v>
      </c>
      <c r="L32" s="45">
        <f>_xlfn.XLOOKUP($A32,Inputs!$A:$A,Inputs!L:L,,0)</f>
        <v>-223.5</v>
      </c>
      <c r="M32" s="45">
        <f>_xlfn.XLOOKUP($A32,Inputs!$A:$A,Inputs!M:M,,0)</f>
        <v>-62.1</v>
      </c>
    </row>
    <row r="33" spans="1:13">
      <c r="A33" s="101" t="s">
        <v>137</v>
      </c>
      <c r="B33" s="45">
        <f>_xlfn.XLOOKUP($A33,Inputs!$A:$A,Inputs!B:B,,0)</f>
        <v>47.8</v>
      </c>
      <c r="C33" s="45">
        <f>_xlfn.XLOOKUP($A33,Inputs!$A:$A,Inputs!C:C,,0)</f>
        <v>28.799999999999997</v>
      </c>
      <c r="D33" s="45">
        <f>_xlfn.XLOOKUP($A33,Inputs!$A:$A,Inputs!D:D,,0)</f>
        <v>-11.099999999999989</v>
      </c>
      <c r="E33" s="45">
        <f>_xlfn.XLOOKUP($A33,Inputs!$A:$A,Inputs!E:E,,0)</f>
        <v>757.2</v>
      </c>
      <c r="F33" s="45">
        <f>_xlfn.XLOOKUP($A33,Inputs!$A:$A,Inputs!F:F,,0)</f>
        <v>186.8</v>
      </c>
      <c r="G33" s="45">
        <f>_xlfn.XLOOKUP($A33,Inputs!$A:$A,Inputs!G:G,,0)</f>
        <v>-4016.9000000000005</v>
      </c>
      <c r="H33" s="45">
        <f>_xlfn.XLOOKUP($A33,Inputs!$A:$A,Inputs!H:H,,0)</f>
        <v>-361</v>
      </c>
      <c r="I33" s="45">
        <f>_xlfn.XLOOKUP($A33,Inputs!$A:$A,Inputs!I:I,,0)</f>
        <v>-535.70000000000005</v>
      </c>
      <c r="J33" s="45">
        <f>_xlfn.XLOOKUP($A33,Inputs!$A:$A,Inputs!J:J,,0)</f>
        <v>-1316.4</v>
      </c>
      <c r="K33" s="45">
        <f>_xlfn.XLOOKUP($A33,Inputs!$A:$A,Inputs!K:K,,0)</f>
        <v>-310.3</v>
      </c>
      <c r="L33" s="45">
        <f>_xlfn.XLOOKUP($A33,Inputs!$A:$A,Inputs!L:L,,0)</f>
        <v>-4681.3</v>
      </c>
      <c r="M33" s="45">
        <f>_xlfn.XLOOKUP($A33,Inputs!$A:$A,Inputs!M:M,,0)</f>
        <v>-159.30000000000001</v>
      </c>
    </row>
    <row r="34" spans="1:13">
      <c r="A34" s="102" t="s">
        <v>132</v>
      </c>
      <c r="B34" s="49">
        <f t="shared" ref="B34:M34" si="71">+B32+B33</f>
        <v>-1221.3</v>
      </c>
      <c r="C34" s="49">
        <f t="shared" si="71"/>
        <v>-999.90000000000009</v>
      </c>
      <c r="D34" s="49">
        <f t="shared" si="71"/>
        <v>-1033.8</v>
      </c>
      <c r="E34" s="49">
        <f t="shared" si="71"/>
        <v>-88.5</v>
      </c>
      <c r="F34" s="49">
        <f t="shared" si="71"/>
        <v>-531.40000000000009</v>
      </c>
      <c r="G34" s="49">
        <f t="shared" si="71"/>
        <v>-4830.9000000000005</v>
      </c>
      <c r="H34" s="49">
        <f t="shared" si="71"/>
        <v>-1413.1</v>
      </c>
      <c r="I34" s="49">
        <f t="shared" si="71"/>
        <v>-1443.1</v>
      </c>
      <c r="J34" s="49">
        <f t="shared" si="71"/>
        <v>-2207.6999999999998</v>
      </c>
      <c r="K34" s="49">
        <f t="shared" si="71"/>
        <v>-1029.7</v>
      </c>
      <c r="L34" s="49">
        <f t="shared" si="71"/>
        <v>-4904.8</v>
      </c>
      <c r="M34" s="50">
        <f t="shared" si="71"/>
        <v>-221.4</v>
      </c>
    </row>
    <row r="35" spans="1:13">
      <c r="A35" s="101" t="s">
        <v>130</v>
      </c>
      <c r="B35" s="49">
        <f t="shared" ref="B35:M35" si="72">+B27+B28</f>
        <v>-903.5</v>
      </c>
      <c r="C35" s="49">
        <f t="shared" si="72"/>
        <v>-2287.9</v>
      </c>
      <c r="D35" s="49">
        <f t="shared" si="72"/>
        <v>-1963.5</v>
      </c>
      <c r="E35" s="49">
        <f t="shared" si="72"/>
        <v>-1620.9</v>
      </c>
      <c r="F35" s="49">
        <f t="shared" si="72"/>
        <v>-1615.1000000000001</v>
      </c>
      <c r="G35" s="49">
        <f t="shared" si="72"/>
        <v>-1553.6</v>
      </c>
      <c r="H35" s="49">
        <f t="shared" si="72"/>
        <v>-912.9</v>
      </c>
      <c r="I35" s="49">
        <f t="shared" si="72"/>
        <v>-768.2</v>
      </c>
      <c r="J35" s="49">
        <f t="shared" si="72"/>
        <v>-572.1</v>
      </c>
      <c r="K35" s="49">
        <f t="shared" si="72"/>
        <v>-796.7</v>
      </c>
      <c r="L35" s="49">
        <f t="shared" si="72"/>
        <v>0</v>
      </c>
      <c r="M35" s="50">
        <f t="shared" si="72"/>
        <v>-383</v>
      </c>
    </row>
    <row r="36" spans="1:13" ht="13">
      <c r="A36" s="103" t="s">
        <v>697</v>
      </c>
      <c r="B36" s="47">
        <f>IFERROR(B35/B23,"-")</f>
        <v>-0.51184001812825741</v>
      </c>
      <c r="C36" s="47">
        <f t="shared" ref="C36:M36" si="73">IFERROR(C35/C23,"-")</f>
        <v>59.425974025974028</v>
      </c>
      <c r="D36" s="47">
        <f t="shared" si="73"/>
        <v>-1963.5</v>
      </c>
      <c r="E36" s="47">
        <f t="shared" si="73"/>
        <v>-0.79776552810315982</v>
      </c>
      <c r="F36" s="47">
        <f t="shared" si="73"/>
        <v>-75.471962616822438</v>
      </c>
      <c r="G36" s="47">
        <f t="shared" si="73"/>
        <v>-0.44913416784712784</v>
      </c>
      <c r="H36" s="47">
        <f t="shared" si="73"/>
        <v>-0.39166809679080139</v>
      </c>
      <c r="I36" s="47">
        <f t="shared" si="73"/>
        <v>-0.49909043659043661</v>
      </c>
      <c r="J36" s="47">
        <f t="shared" si="73"/>
        <v>-0.53941165378087885</v>
      </c>
      <c r="K36" s="47">
        <f t="shared" si="73"/>
        <v>-0.95276249701028459</v>
      </c>
      <c r="L36" s="47">
        <f t="shared" si="73"/>
        <v>0</v>
      </c>
      <c r="M36" s="48">
        <f t="shared" si="73"/>
        <v>-0.98762248581743162</v>
      </c>
    </row>
    <row r="37" spans="1:13">
      <c r="A37" s="3"/>
      <c r="B37" s="38"/>
      <c r="C37" s="38"/>
      <c r="D37" s="38"/>
      <c r="E37" s="38"/>
      <c r="F37" s="38"/>
      <c r="G37" s="38"/>
      <c r="H37" s="38"/>
      <c r="I37" s="38"/>
      <c r="J37" s="38"/>
      <c r="K37" s="38"/>
      <c r="L37" s="38"/>
      <c r="M37" s="38"/>
    </row>
    <row r="38" spans="1:13" ht="20">
      <c r="A38" s="1479" t="s">
        <v>698</v>
      </c>
      <c r="B38" s="1479"/>
      <c r="C38" s="1479"/>
      <c r="D38" s="1479"/>
      <c r="E38" s="1479"/>
      <c r="F38" s="1479"/>
      <c r="G38" s="1479"/>
      <c r="H38" s="1479"/>
      <c r="I38" s="1479"/>
      <c r="J38" s="1479"/>
      <c r="K38" s="1479"/>
      <c r="L38" s="1479"/>
      <c r="M38" s="1479"/>
    </row>
    <row r="39" spans="1:13">
      <c r="A39" s="104" t="s">
        <v>317</v>
      </c>
      <c r="B39" s="45">
        <f>_xlfn.XLOOKUP($A39,Inputs!$A:$A,Inputs!B:B,,0)</f>
        <v>152.4</v>
      </c>
      <c r="C39" s="45">
        <f>_xlfn.XLOOKUP($A39,Inputs!$A:$A,Inputs!C:C,,0)</f>
        <v>133.5</v>
      </c>
      <c r="D39" s="45">
        <f>_xlfn.XLOOKUP($A39,Inputs!$A:$A,Inputs!D:D,,0)</f>
        <v>199.4</v>
      </c>
      <c r="E39" s="45">
        <f>_xlfn.XLOOKUP($A39,Inputs!$A:$A,Inputs!E:E,,0)</f>
        <v>460.6</v>
      </c>
      <c r="F39" s="45">
        <f>_xlfn.XLOOKUP($A39,Inputs!$A:$A,Inputs!F:F,,0)</f>
        <v>81.400000000000006</v>
      </c>
      <c r="G39" s="45">
        <f>_xlfn.XLOOKUP($A39,Inputs!$A:$A,Inputs!G:G,,0)</f>
        <v>93.6</v>
      </c>
      <c r="H39" s="45">
        <f>_xlfn.XLOOKUP($A39,Inputs!$A:$A,Inputs!H:H,,0)</f>
        <v>90.3</v>
      </c>
      <c r="I39" s="45">
        <f>_xlfn.XLOOKUP($A39,Inputs!$A:$A,Inputs!I:I,,0)</f>
        <v>177.4</v>
      </c>
      <c r="J39" s="45">
        <f>_xlfn.XLOOKUP($A39,Inputs!$A:$A,Inputs!J:J,,0)</f>
        <v>83.1</v>
      </c>
      <c r="K39" s="45">
        <f>_xlfn.XLOOKUP($A39,Inputs!$A:$A,Inputs!K:K,,0)</f>
        <v>110.1</v>
      </c>
      <c r="L39" s="45">
        <f>_xlfn.XLOOKUP($A39,Inputs!$A:$A,Inputs!L:L,,0)</f>
        <v>63.9</v>
      </c>
      <c r="M39" s="45">
        <f>_xlfn.XLOOKUP($A39,Inputs!$A:$A,Inputs!M:M,,0)</f>
        <v>331.5</v>
      </c>
    </row>
    <row r="40" spans="1:13">
      <c r="A40" s="102" t="s">
        <v>699</v>
      </c>
      <c r="B40" s="45">
        <f>_xlfn.XLOOKUP($A40,Inputs!$A:$A,Inputs!B:B,,0)</f>
        <v>832.8</v>
      </c>
      <c r="C40" s="45">
        <f>_xlfn.XLOOKUP($A40,Inputs!$A:$A,Inputs!C:C,,0)</f>
        <v>901.6</v>
      </c>
      <c r="D40" s="45">
        <f>_xlfn.XLOOKUP($A40,Inputs!$A:$A,Inputs!D:D,,0)</f>
        <v>899</v>
      </c>
      <c r="E40" s="45">
        <f>_xlfn.XLOOKUP($A40,Inputs!$A:$A,Inputs!E:E,,0)</f>
        <v>785.3</v>
      </c>
      <c r="F40" s="45">
        <f>_xlfn.XLOOKUP($A40,Inputs!$A:$A,Inputs!F:F,,0)</f>
        <v>864.8</v>
      </c>
      <c r="G40" s="45">
        <f>_xlfn.XLOOKUP($A40,Inputs!$A:$A,Inputs!G:G,,0)</f>
        <v>846.9</v>
      </c>
      <c r="H40" s="45">
        <f>_xlfn.XLOOKUP($A40,Inputs!$A:$A,Inputs!H:H,,0)</f>
        <v>776.2</v>
      </c>
      <c r="I40" s="45">
        <f>_xlfn.XLOOKUP($A40,Inputs!$A:$A,Inputs!I:I,,0)</f>
        <v>737</v>
      </c>
      <c r="J40" s="45">
        <f>_xlfn.XLOOKUP($A40,Inputs!$A:$A,Inputs!J:J,,0)</f>
        <v>732.5</v>
      </c>
      <c r="K40" s="45">
        <f>_xlfn.XLOOKUP($A40,Inputs!$A:$A,Inputs!K:K,,0)</f>
        <v>598.9</v>
      </c>
      <c r="L40" s="45">
        <f>_xlfn.XLOOKUP($A40,Inputs!$A:$A,Inputs!L:L,,0)</f>
        <v>626.20000000000005</v>
      </c>
      <c r="M40" s="45">
        <f>_xlfn.XLOOKUP($A40,Inputs!$A:$A,Inputs!M:M,,0)</f>
        <v>471.9</v>
      </c>
    </row>
    <row r="41" spans="1:13">
      <c r="A41" s="104" t="s">
        <v>319</v>
      </c>
      <c r="B41" s="45">
        <f>_xlfn.XLOOKUP($A41,Inputs!$A:$A,Inputs!B:B,,0)</f>
        <v>2078.3000000000002</v>
      </c>
      <c r="C41" s="45">
        <f>_xlfn.XLOOKUP($A41,Inputs!$A:$A,Inputs!C:C,,0)</f>
        <v>1898.7</v>
      </c>
      <c r="D41" s="45">
        <f>_xlfn.XLOOKUP($A41,Inputs!$A:$A,Inputs!D:D,,0)</f>
        <v>1573.2</v>
      </c>
      <c r="E41" s="45">
        <f>_xlfn.XLOOKUP($A41,Inputs!$A:$A,Inputs!E:E,,0)</f>
        <v>1291.0999999999999</v>
      </c>
      <c r="F41" s="45">
        <f>_xlfn.XLOOKUP($A41,Inputs!$A:$A,Inputs!F:F,,0)</f>
        <v>1373.6</v>
      </c>
      <c r="G41" s="45">
        <f>_xlfn.XLOOKUP($A41,Inputs!$A:$A,Inputs!G:G,,0)</f>
        <v>2130.4</v>
      </c>
      <c r="H41" s="45">
        <f>_xlfn.XLOOKUP($A41,Inputs!$A:$A,Inputs!H:H,,0)</f>
        <v>2084</v>
      </c>
      <c r="I41" s="45">
        <f>_xlfn.XLOOKUP($A41,Inputs!$A:$A,Inputs!I:I,,0)</f>
        <v>1955.1</v>
      </c>
      <c r="J41" s="45">
        <f>_xlfn.XLOOKUP($A41,Inputs!$A:$A,Inputs!J:J,,0)</f>
        <v>1851.6</v>
      </c>
      <c r="K41" s="45">
        <f>_xlfn.XLOOKUP($A41,Inputs!$A:$A,Inputs!K:K,,0)</f>
        <v>1827.2</v>
      </c>
      <c r="L41" s="45">
        <f>_xlfn.XLOOKUP($A41,Inputs!$A:$A,Inputs!L:L,,0)</f>
        <v>1743.8</v>
      </c>
      <c r="M41" s="45">
        <f>_xlfn.XLOOKUP($A41,Inputs!$A:$A,Inputs!M:M,,0)</f>
        <v>1480.9</v>
      </c>
    </row>
    <row r="42" spans="1:13">
      <c r="A42" s="102" t="s">
        <v>700</v>
      </c>
      <c r="B42" s="45">
        <f>_xlfn.XLOOKUP($A42,Inputs!$A:$A,Inputs!B:B,,0)</f>
        <v>8055.2</v>
      </c>
      <c r="C42" s="45">
        <f>_xlfn.XLOOKUP($A42,Inputs!$A:$A,Inputs!C:C,,0)</f>
        <v>6865.2</v>
      </c>
      <c r="D42" s="45">
        <f>_xlfn.XLOOKUP($A42,Inputs!$A:$A,Inputs!D:D,,0)</f>
        <v>6059.6</v>
      </c>
      <c r="E42" s="45">
        <f>_xlfn.XLOOKUP($A42,Inputs!$A:$A,Inputs!E:E,,0)</f>
        <v>5821.6</v>
      </c>
      <c r="F42" s="45">
        <f>_xlfn.XLOOKUP($A42,Inputs!$A:$A,Inputs!F:F,,0)</f>
        <v>5333</v>
      </c>
      <c r="G42" s="45">
        <f>_xlfn.XLOOKUP($A42,Inputs!$A:$A,Inputs!G:G,,0)</f>
        <v>5267.3</v>
      </c>
      <c r="H42" s="45">
        <f>_xlfn.XLOOKUP($A42,Inputs!$A:$A,Inputs!H:H,,0)</f>
        <v>4789.7</v>
      </c>
      <c r="I42" s="45">
        <f>_xlfn.XLOOKUP($A42,Inputs!$A:$A,Inputs!I:I,,0)</f>
        <v>3932.8</v>
      </c>
      <c r="J42" s="45">
        <f>_xlfn.XLOOKUP($A42,Inputs!$A:$A,Inputs!J:J,,0)</f>
        <v>3333.4</v>
      </c>
      <c r="K42" s="45">
        <f>_xlfn.XLOOKUP($A42,Inputs!$A:$A,Inputs!K:K,,0)</f>
        <v>2681.6</v>
      </c>
      <c r="L42" s="45">
        <f>_xlfn.XLOOKUP($A42,Inputs!$A:$A,Inputs!L:L,,0)</f>
        <v>2014.3</v>
      </c>
      <c r="M42" s="45">
        <f>_xlfn.XLOOKUP($A42,Inputs!$A:$A,Inputs!M:M,,0)</f>
        <v>1229</v>
      </c>
    </row>
    <row r="43" spans="1:13">
      <c r="A43" s="104" t="s">
        <v>701</v>
      </c>
      <c r="B43" s="45">
        <f>_xlfn.XLOOKUP($A43,Inputs!$A:$A,Inputs!B:B,,0)</f>
        <v>13787.1</v>
      </c>
      <c r="C43" s="45">
        <f>_xlfn.XLOOKUP($A43,Inputs!$A:$A,Inputs!C:C,,0)</f>
        <v>13757.5</v>
      </c>
      <c r="D43" s="45">
        <f>_xlfn.XLOOKUP($A43,Inputs!$A:$A,Inputs!D:D,,0)</f>
        <v>13956.999999999996</v>
      </c>
      <c r="E43" s="45">
        <f>_xlfn.XLOOKUP($A43,Inputs!$A:$A,Inputs!E:E,,0)</f>
        <v>15479.9</v>
      </c>
      <c r="F43" s="45">
        <f>_xlfn.XLOOKUP($A43,Inputs!$A:$A,Inputs!F:F,,0)</f>
        <v>16095.100000000002</v>
      </c>
      <c r="G43" s="45">
        <f>_xlfn.XLOOKUP($A43,Inputs!$A:$A,Inputs!G:G,,0)</f>
        <v>16868.2</v>
      </c>
      <c r="H43" s="45">
        <f>_xlfn.XLOOKUP($A43,Inputs!$A:$A,Inputs!H:H,,0)</f>
        <v>12117.800000000001</v>
      </c>
      <c r="I43" s="45">
        <f>_xlfn.XLOOKUP($A43,Inputs!$A:$A,Inputs!I:I,,0)</f>
        <v>11224.800000000001</v>
      </c>
      <c r="J43" s="45">
        <f>_xlfn.XLOOKUP($A43,Inputs!$A:$A,Inputs!J:J,,0)</f>
        <v>10532.9</v>
      </c>
      <c r="K43" s="45">
        <f>_xlfn.XLOOKUP($A43,Inputs!$A:$A,Inputs!K:K,,0)</f>
        <v>9409.2000000000007</v>
      </c>
      <c r="L43" s="45">
        <f>_xlfn.XLOOKUP($A43,Inputs!$A:$A,Inputs!L:L,,0)</f>
        <v>9374.6</v>
      </c>
      <c r="M43" s="45">
        <f>_xlfn.XLOOKUP($A43,Inputs!$A:$A,Inputs!M:M,,0)</f>
        <v>3537.8</v>
      </c>
    </row>
    <row r="44" spans="1:13" ht="13">
      <c r="A44" s="105" t="s">
        <v>43</v>
      </c>
      <c r="B44" s="51">
        <f>_xlfn.XLOOKUP($A44,Inputs!$A:$A,Inputs!B:B,,0)</f>
        <v>25691.7</v>
      </c>
      <c r="C44" s="51">
        <f>_xlfn.XLOOKUP($A44,Inputs!$A:$A,Inputs!C:C,,0)</f>
        <v>24662.3</v>
      </c>
      <c r="D44" s="51">
        <f>_xlfn.XLOOKUP($A44,Inputs!$A:$A,Inputs!D:D,,0)</f>
        <v>25855.8</v>
      </c>
      <c r="E44" s="51">
        <f>_xlfn.XLOOKUP($A44,Inputs!$A:$A,Inputs!E:E,,0)</f>
        <v>27104.799999999999</v>
      </c>
      <c r="F44" s="51">
        <f>_xlfn.XLOOKUP($A44,Inputs!$A:$A,Inputs!F:F,,0)</f>
        <v>27323.200000000001</v>
      </c>
      <c r="G44" s="51">
        <f>_xlfn.XLOOKUP($A44,Inputs!$A:$A,Inputs!G:G,,0)</f>
        <v>29231.5</v>
      </c>
      <c r="H44" s="51">
        <f>_xlfn.XLOOKUP($A44,Inputs!$A:$A,Inputs!H:H,,0)</f>
        <v>20538.7</v>
      </c>
      <c r="I44" s="51">
        <f>_xlfn.XLOOKUP($A44,Inputs!$A:$A,Inputs!I:I,,0)</f>
        <v>18602.400000000001</v>
      </c>
      <c r="J44" s="51">
        <f>_xlfn.XLOOKUP($A44,Inputs!$A:$A,Inputs!J:J,,0)</f>
        <v>16965</v>
      </c>
      <c r="K44" s="51">
        <f>_xlfn.XLOOKUP($A44,Inputs!$A:$A,Inputs!K:K,,0)</f>
        <v>15093</v>
      </c>
      <c r="L44" s="51">
        <f>_xlfn.XLOOKUP($A44,Inputs!$A:$A,Inputs!L:L,,0)</f>
        <v>14302.1</v>
      </c>
      <c r="M44" s="51">
        <f>_xlfn.XLOOKUP($A44,Inputs!$A:$A,Inputs!M:M,,0)</f>
        <v>7638.1</v>
      </c>
    </row>
    <row r="45" spans="1:13">
      <c r="B45"/>
      <c r="C45"/>
      <c r="D45"/>
      <c r="E45"/>
      <c r="F45"/>
      <c r="G45"/>
      <c r="H45"/>
      <c r="I45"/>
      <c r="J45"/>
      <c r="K45"/>
      <c r="L45"/>
      <c r="M45"/>
    </row>
    <row r="46" spans="1:13">
      <c r="B46"/>
      <c r="C46"/>
      <c r="D46"/>
      <c r="E46"/>
      <c r="F46"/>
      <c r="G46"/>
      <c r="H46"/>
      <c r="I46"/>
      <c r="J46"/>
      <c r="K46"/>
      <c r="L46"/>
      <c r="M46"/>
    </row>
    <row r="47" spans="1:13" ht="20">
      <c r="A47" s="1479" t="s">
        <v>702</v>
      </c>
      <c r="B47" s="1479"/>
      <c r="C47" s="1479"/>
      <c r="D47" s="1479"/>
      <c r="E47" s="1479"/>
      <c r="F47" s="1479"/>
      <c r="G47" s="1479"/>
      <c r="H47" s="1479"/>
      <c r="I47" s="1479"/>
      <c r="J47" s="1479"/>
      <c r="K47" s="1479"/>
      <c r="L47" s="1479"/>
      <c r="M47" s="1479"/>
    </row>
    <row r="48" spans="1:13" ht="13">
      <c r="A48" s="106" t="s">
        <v>323</v>
      </c>
      <c r="B48" s="51">
        <f>_xlfn.XLOOKUP($A48,Inputs!$A:$A,Inputs!B:B,,0)</f>
        <v>3141.7</v>
      </c>
      <c r="C48" s="51">
        <f>_xlfn.XLOOKUP($A48,Inputs!$A:$A,Inputs!C:C,,0)</f>
        <v>2968.3</v>
      </c>
      <c r="D48" s="51">
        <f>_xlfn.XLOOKUP($A48,Inputs!$A:$A,Inputs!D:D,,0)</f>
        <v>2698.8</v>
      </c>
      <c r="E48" s="51">
        <f>_xlfn.XLOOKUP($A48,Inputs!$A:$A,Inputs!E:E,,0)</f>
        <v>1269.0999999999999</v>
      </c>
      <c r="F48" s="51">
        <f>_xlfn.XLOOKUP($A48,Inputs!$A:$A,Inputs!F:F,,0)</f>
        <v>2311.8000000000002</v>
      </c>
      <c r="G48" s="51">
        <f>_xlfn.XLOOKUP($A48,Inputs!$A:$A,Inputs!G:G,,0)</f>
        <v>3163.8</v>
      </c>
      <c r="H48" s="51">
        <f>_xlfn.XLOOKUP($A48,Inputs!$A:$A,Inputs!H:H,,0)</f>
        <v>2039.6</v>
      </c>
      <c r="I48" s="51">
        <f>_xlfn.XLOOKUP($A48,Inputs!$A:$A,Inputs!I:I,,0)</f>
        <v>2697.6</v>
      </c>
      <c r="J48" s="51">
        <f>_xlfn.XLOOKUP($A48,Inputs!$A:$A,Inputs!J:J,,0)</f>
        <v>2272.3000000000002</v>
      </c>
      <c r="K48" s="51">
        <f>_xlfn.XLOOKUP($A48,Inputs!$A:$A,Inputs!K:K,,0)</f>
        <v>1130.7</v>
      </c>
      <c r="L48" s="51">
        <f>_xlfn.XLOOKUP($A48,Inputs!$A:$A,Inputs!L:L,,0)</f>
        <v>2025.7</v>
      </c>
      <c r="M48" s="51">
        <f>_xlfn.XLOOKUP($A48,Inputs!$A:$A,Inputs!M:M,,0)</f>
        <v>677.9</v>
      </c>
    </row>
    <row r="49" spans="1:15">
      <c r="A49" s="107" t="s">
        <v>703</v>
      </c>
      <c r="B49" s="45">
        <f>_xlfn.XLOOKUP($A49,Inputs!$A:$A,Inputs!B:B,,0)</f>
        <v>1198.2</v>
      </c>
      <c r="C49" s="45">
        <f>_xlfn.XLOOKUP($A49,Inputs!$A:$A,Inputs!C:C,,0)</f>
        <v>1185.2</v>
      </c>
      <c r="D49" s="45">
        <f>_xlfn.XLOOKUP($A49,Inputs!$A:$A,Inputs!D:D,,0)</f>
        <v>928.3</v>
      </c>
      <c r="E49" s="45">
        <f>_xlfn.XLOOKUP($A49,Inputs!$A:$A,Inputs!E:E,,0)</f>
        <v>29.2</v>
      </c>
      <c r="F49" s="45">
        <f>_xlfn.XLOOKUP($A49,Inputs!$A:$A,Inputs!F:F,,0)</f>
        <v>973.8</v>
      </c>
      <c r="G49" s="45">
        <f>_xlfn.XLOOKUP($A49,Inputs!$A:$A,Inputs!G:G,,0)</f>
        <v>1856.7</v>
      </c>
      <c r="H49" s="45">
        <f>_xlfn.XLOOKUP($A49,Inputs!$A:$A,Inputs!H:H,,0)</f>
        <v>769.1</v>
      </c>
      <c r="I49" s="45">
        <f>_xlfn.XLOOKUP($A49,Inputs!$A:$A,Inputs!I:I,,0)</f>
        <v>1517.4</v>
      </c>
      <c r="J49" s="45">
        <f>_xlfn.XLOOKUP($A49,Inputs!$A:$A,Inputs!J:J,,0)</f>
        <v>1265</v>
      </c>
      <c r="K49" s="45">
        <f>_xlfn.XLOOKUP($A49,Inputs!$A:$A,Inputs!K:K,,0)</f>
        <v>210.5</v>
      </c>
      <c r="L49" s="45">
        <f>_xlfn.XLOOKUP($A49,Inputs!$A:$A,Inputs!L:L,,0)</f>
        <v>590</v>
      </c>
      <c r="M49" s="45">
        <f>_xlfn.XLOOKUP($A49,Inputs!$A:$A,Inputs!M:M,,0)</f>
        <v>27.6</v>
      </c>
    </row>
    <row r="50" spans="1:15">
      <c r="A50" s="101" t="s">
        <v>704</v>
      </c>
      <c r="B50" s="45">
        <f>_xlfn.XLOOKUP($A50,Inputs!$A:$A,Inputs!B:B,,0)</f>
        <v>97.1</v>
      </c>
      <c r="C50" s="45">
        <f>_xlfn.XLOOKUP($A50,Inputs!$A:$A,Inputs!C:C,,0)</f>
        <v>90.9</v>
      </c>
      <c r="D50" s="45">
        <f>_xlfn.XLOOKUP($A50,Inputs!$A:$A,Inputs!D:D,,0)</f>
        <v>86.7</v>
      </c>
      <c r="E50" s="45">
        <f>_xlfn.XLOOKUP($A50,Inputs!$A:$A,Inputs!E:E,,0)</f>
        <v>73.400000000000006</v>
      </c>
      <c r="F50" s="45">
        <f>_xlfn.XLOOKUP($A50,Inputs!$A:$A,Inputs!F:F,,0)</f>
        <v>88.3</v>
      </c>
      <c r="G50" s="45">
        <f>_xlfn.XLOOKUP($A50,Inputs!$A:$A,Inputs!G:G,,0)</f>
        <v>0</v>
      </c>
      <c r="H50" s="45">
        <f>_xlfn.XLOOKUP($A50,Inputs!$A:$A,Inputs!H:H,,0)</f>
        <v>0</v>
      </c>
      <c r="I50" s="45">
        <f>_xlfn.XLOOKUP($A50,Inputs!$A:$A,Inputs!I:I,,0)</f>
        <v>0</v>
      </c>
      <c r="J50" s="45">
        <f>_xlfn.XLOOKUP($A50,Inputs!$A:$A,Inputs!J:J,,0)</f>
        <v>0</v>
      </c>
      <c r="K50" s="45">
        <f>_xlfn.XLOOKUP($A50,Inputs!$A:$A,Inputs!K:K,,0)</f>
        <v>0</v>
      </c>
      <c r="L50" s="45">
        <f>_xlfn.XLOOKUP($A50,Inputs!$A:$A,Inputs!L:L,,0)</f>
        <v>0</v>
      </c>
      <c r="M50" s="45">
        <f>_xlfn.XLOOKUP($A50,Inputs!$A:$A,Inputs!M:M,,0)</f>
        <v>0</v>
      </c>
    </row>
    <row r="51" spans="1:15">
      <c r="A51" s="102" t="s">
        <v>705</v>
      </c>
      <c r="B51" s="45">
        <f>_xlfn.XLOOKUP($A51,Inputs!$A:$A,Inputs!B:B,,0)</f>
        <v>739.29999999999973</v>
      </c>
      <c r="C51" s="45">
        <f>_xlfn.XLOOKUP($A51,Inputs!$A:$A,Inputs!C:C,,0)</f>
        <v>750.70000000000027</v>
      </c>
      <c r="D51" s="45">
        <f>_xlfn.XLOOKUP($A51,Inputs!$A:$A,Inputs!D:D,,0)</f>
        <v>784.60000000000014</v>
      </c>
      <c r="E51" s="45">
        <f>_xlfn.XLOOKUP($A51,Inputs!$A:$A,Inputs!E:E,,0)</f>
        <v>706.49999999999989</v>
      </c>
      <c r="F51" s="45">
        <f>_xlfn.XLOOKUP($A51,Inputs!$A:$A,Inputs!F:F,,0)</f>
        <v>692.10000000000014</v>
      </c>
      <c r="G51" s="45">
        <f>_xlfn.XLOOKUP($A51,Inputs!$A:$A,Inputs!G:G,,0)</f>
        <v>690.40000000000009</v>
      </c>
      <c r="H51" s="45">
        <f>_xlfn.XLOOKUP($A51,Inputs!$A:$A,Inputs!H:H,,0)</f>
        <v>678.29999999999973</v>
      </c>
      <c r="I51" s="45">
        <f>_xlfn.XLOOKUP($A51,Inputs!$A:$A,Inputs!I:I,,0)</f>
        <v>620.40000000000009</v>
      </c>
      <c r="J51" s="45">
        <f>_xlfn.XLOOKUP($A51,Inputs!$A:$A,Inputs!J:J,,0)</f>
        <v>578.00000000000023</v>
      </c>
      <c r="K51" s="45">
        <f>_xlfn.XLOOKUP($A51,Inputs!$A:$A,Inputs!K:K,,0)</f>
        <v>634.40000000000009</v>
      </c>
      <c r="L51" s="45">
        <f>_xlfn.XLOOKUP($A51,Inputs!$A:$A,Inputs!L:L,,0)</f>
        <v>1140.5</v>
      </c>
      <c r="M51" s="45">
        <f>_xlfn.XLOOKUP($A51,Inputs!$A:$A,Inputs!M:M,,0)</f>
        <v>441.29999999999995</v>
      </c>
    </row>
    <row r="52" spans="1:15" ht="13">
      <c r="A52" s="106" t="s">
        <v>706</v>
      </c>
      <c r="B52" s="51">
        <f>_xlfn.XLOOKUP($A52,Inputs!$A:$A,Inputs!B:B,,0)</f>
        <v>12485.4</v>
      </c>
      <c r="C52" s="51">
        <f>_xlfn.XLOOKUP($A52,Inputs!$A:$A,Inputs!C:C,,0)</f>
        <v>12960.099999999999</v>
      </c>
      <c r="D52" s="51">
        <f>_xlfn.XLOOKUP($A52,Inputs!$A:$A,Inputs!D:D,,0)</f>
        <v>11109.2</v>
      </c>
      <c r="E52" s="51">
        <f>_xlfn.XLOOKUP($A52,Inputs!$A:$A,Inputs!E:E,,0)</f>
        <v>11906.6</v>
      </c>
      <c r="F52" s="51">
        <f>_xlfn.XLOOKUP($A52,Inputs!$A:$A,Inputs!F:F,,0)</f>
        <v>12537.099999999999</v>
      </c>
      <c r="G52" s="51">
        <f>_xlfn.XLOOKUP($A52,Inputs!$A:$A,Inputs!G:G,,0)</f>
        <v>13230.5</v>
      </c>
      <c r="H52" s="51">
        <f>_xlfn.XLOOKUP($A52,Inputs!$A:$A,Inputs!H:H,,0)</f>
        <v>10507.4</v>
      </c>
      <c r="I52" s="51">
        <f>_xlfn.XLOOKUP($A52,Inputs!$A:$A,Inputs!I:I,,0)</f>
        <v>9020</v>
      </c>
      <c r="J52" s="51">
        <f>_xlfn.XLOOKUP($A52,Inputs!$A:$A,Inputs!J:J,,0)</f>
        <v>8000.9000000000005</v>
      </c>
      <c r="K52" s="51">
        <f>_xlfn.XLOOKUP($A52,Inputs!$A:$A,Inputs!K:K,,0)</f>
        <v>8081.0000000000009</v>
      </c>
      <c r="L52" s="51">
        <f>_xlfn.XLOOKUP($A52,Inputs!$A:$A,Inputs!L:L,,0)</f>
        <v>7295.0999999999995</v>
      </c>
      <c r="M52" s="51">
        <f>_xlfn.XLOOKUP($A52,Inputs!$A:$A,Inputs!M:M,,0)</f>
        <v>4099.9000000000005</v>
      </c>
    </row>
    <row r="53" spans="1:15">
      <c r="A53" s="107" t="s">
        <v>707</v>
      </c>
      <c r="B53" s="45">
        <f>_xlfn.XLOOKUP($A53,Inputs!$A:$A,Inputs!B:B,,0)</f>
        <v>10681.1</v>
      </c>
      <c r="C53" s="45">
        <f>_xlfn.XLOOKUP($A53,Inputs!$A:$A,Inputs!C:C,,0)</f>
        <v>11286.5</v>
      </c>
      <c r="D53" s="45">
        <f>_xlfn.XLOOKUP($A53,Inputs!$A:$A,Inputs!D:D,,0)</f>
        <v>9488.2000000000007</v>
      </c>
      <c r="E53" s="45">
        <f>_xlfn.XLOOKUP($A53,Inputs!$A:$A,Inputs!E:E,,0)</f>
        <v>10413.1</v>
      </c>
      <c r="F53" s="45">
        <f>_xlfn.XLOOKUP($A53,Inputs!$A:$A,Inputs!F:F,,0)</f>
        <v>11210.8</v>
      </c>
      <c r="G53" s="45">
        <f>_xlfn.XLOOKUP($A53,Inputs!$A:$A,Inputs!G:G,,0)</f>
        <v>11759.8</v>
      </c>
      <c r="H53" s="45">
        <f>_xlfn.XLOOKUP($A53,Inputs!$A:$A,Inputs!H:H,,0)</f>
        <v>9417.6</v>
      </c>
      <c r="I53" s="45">
        <f>_xlfn.XLOOKUP($A53,Inputs!$A:$A,Inputs!I:I,,0)</f>
        <v>7720.7</v>
      </c>
      <c r="J53" s="45">
        <f>_xlfn.XLOOKUP($A53,Inputs!$A:$A,Inputs!J:J,,0)</f>
        <v>6816.2</v>
      </c>
      <c r="K53" s="45">
        <f>_xlfn.XLOOKUP($A53,Inputs!$A:$A,Inputs!K:K,,0)</f>
        <v>7086</v>
      </c>
      <c r="L53" s="45">
        <f>_xlfn.XLOOKUP($A53,Inputs!$A:$A,Inputs!L:L,,0)</f>
        <v>6373.3</v>
      </c>
      <c r="M53" s="45">
        <f>_xlfn.XLOOKUP($A53,Inputs!$A:$A,Inputs!M:M,,0)</f>
        <v>3277.8</v>
      </c>
    </row>
    <row r="54" spans="1:15">
      <c r="A54" s="101" t="s">
        <v>708</v>
      </c>
      <c r="B54" s="45">
        <f>_xlfn.XLOOKUP($A54,Inputs!$A:$A,Inputs!B:B,,0)</f>
        <v>599</v>
      </c>
      <c r="C54" s="45">
        <f>_xlfn.XLOOKUP($A54,Inputs!$A:$A,Inputs!C:C,,0)</f>
        <v>434.1</v>
      </c>
      <c r="D54" s="45">
        <f>_xlfn.XLOOKUP($A54,Inputs!$A:$A,Inputs!D:D,,0)</f>
        <v>470.9</v>
      </c>
      <c r="E54" s="45">
        <f>_xlfn.XLOOKUP($A54,Inputs!$A:$A,Inputs!E:E,,0)</f>
        <v>482</v>
      </c>
      <c r="F54" s="45">
        <f>_xlfn.XLOOKUP($A54,Inputs!$A:$A,Inputs!F:F,,0)</f>
        <v>496.6</v>
      </c>
      <c r="G54" s="45">
        <f>_xlfn.XLOOKUP($A54,Inputs!$A:$A,Inputs!G:G,,0)</f>
        <v>0</v>
      </c>
      <c r="H54" s="45">
        <f>_xlfn.XLOOKUP($A54,Inputs!$A:$A,Inputs!H:H,,0)</f>
        <v>0</v>
      </c>
      <c r="I54" s="45">
        <f>_xlfn.XLOOKUP($A54,Inputs!$A:$A,Inputs!I:I,,0)</f>
        <v>0</v>
      </c>
      <c r="J54" s="45">
        <f>_xlfn.XLOOKUP($A54,Inputs!$A:$A,Inputs!J:J,,0)</f>
        <v>0</v>
      </c>
      <c r="K54" s="45">
        <f>_xlfn.XLOOKUP($A54,Inputs!$A:$A,Inputs!K:K,,0)</f>
        <v>0</v>
      </c>
      <c r="L54" s="45">
        <f>_xlfn.XLOOKUP($A54,Inputs!$A:$A,Inputs!L:L,,0)</f>
        <v>0</v>
      </c>
      <c r="M54" s="45">
        <f>_xlfn.XLOOKUP($A54,Inputs!$A:$A,Inputs!M:M,,0)</f>
        <v>0</v>
      </c>
    </row>
    <row r="55" spans="1:15">
      <c r="A55" s="102" t="s">
        <v>709</v>
      </c>
      <c r="B55" s="45">
        <f>_xlfn.XLOOKUP($A55,Inputs!$A:$A,Inputs!B:B,,0)</f>
        <v>1205.2999999999993</v>
      </c>
      <c r="C55" s="45">
        <f>_xlfn.XLOOKUP($A55,Inputs!$A:$A,Inputs!C:C,,0)</f>
        <v>1239.4999999999982</v>
      </c>
      <c r="D55" s="45">
        <f>_xlfn.XLOOKUP($A55,Inputs!$A:$A,Inputs!D:D,,0)</f>
        <v>1150.1000000000004</v>
      </c>
      <c r="E55" s="45">
        <f>_xlfn.XLOOKUP($A55,Inputs!$A:$A,Inputs!E:E,,0)</f>
        <v>1011.5</v>
      </c>
      <c r="F55" s="45">
        <f>_xlfn.XLOOKUP($A55,Inputs!$A:$A,Inputs!F:F,,0)</f>
        <v>829.69999999999891</v>
      </c>
      <c r="G55" s="45">
        <f>_xlfn.XLOOKUP($A55,Inputs!$A:$A,Inputs!G:G,,0)</f>
        <v>1470.7000000000007</v>
      </c>
      <c r="H55" s="45">
        <f>_xlfn.XLOOKUP($A55,Inputs!$A:$A,Inputs!H:H,,0)</f>
        <v>1089.7999999999993</v>
      </c>
      <c r="I55" s="45">
        <f>_xlfn.XLOOKUP($A55,Inputs!$A:$A,Inputs!I:I,,0)</f>
        <v>1299.3000000000002</v>
      </c>
      <c r="J55" s="45">
        <f>_xlfn.XLOOKUP($A55,Inputs!$A:$A,Inputs!J:J,,0)</f>
        <v>1184.7000000000007</v>
      </c>
      <c r="K55" s="45">
        <f>_xlfn.XLOOKUP($A55,Inputs!$A:$A,Inputs!K:K,,0)</f>
        <v>995.00000000000091</v>
      </c>
      <c r="L55" s="45">
        <f>_xlfn.XLOOKUP($A55,Inputs!$A:$A,Inputs!L:L,,0)</f>
        <v>921.79999999999927</v>
      </c>
      <c r="M55" s="45">
        <f>_xlfn.XLOOKUP($A55,Inputs!$A:$A,Inputs!M:M,,0)</f>
        <v>822.10000000000036</v>
      </c>
    </row>
    <row r="56" spans="1:15" ht="13">
      <c r="A56" s="106" t="s">
        <v>49</v>
      </c>
      <c r="B56" s="51">
        <f>_xlfn.XLOOKUP($A56,Inputs!$A:$A,Inputs!B:B,,0)</f>
        <v>15627.1</v>
      </c>
      <c r="C56" s="51">
        <f>_xlfn.XLOOKUP($A56,Inputs!$A:$A,Inputs!C:C,,0)</f>
        <v>15928.4</v>
      </c>
      <c r="D56" s="51">
        <f>_xlfn.XLOOKUP($A56,Inputs!$A:$A,Inputs!D:D,,0)</f>
        <v>13808</v>
      </c>
      <c r="E56" s="51">
        <f>_xlfn.XLOOKUP($A56,Inputs!$A:$A,Inputs!E:E,,0)</f>
        <v>13175.7</v>
      </c>
      <c r="F56" s="51">
        <f>_xlfn.XLOOKUP($A56,Inputs!$A:$A,Inputs!F:F,,0)</f>
        <v>14848.9</v>
      </c>
      <c r="G56" s="51">
        <f>_xlfn.XLOOKUP($A56,Inputs!$A:$A,Inputs!G:G,,0)</f>
        <v>16394.3</v>
      </c>
      <c r="H56" s="51">
        <f>_xlfn.XLOOKUP($A56,Inputs!$A:$A,Inputs!H:H,,0)</f>
        <v>12547</v>
      </c>
      <c r="I56" s="51">
        <f>_xlfn.XLOOKUP($A56,Inputs!$A:$A,Inputs!I:I,,0)</f>
        <v>11717.6</v>
      </c>
      <c r="J56" s="51">
        <f>_xlfn.XLOOKUP($A56,Inputs!$A:$A,Inputs!J:J,,0)</f>
        <v>10273.200000000001</v>
      </c>
      <c r="K56" s="51">
        <f>_xlfn.XLOOKUP($A56,Inputs!$A:$A,Inputs!K:K,,0)</f>
        <v>9211.7000000000007</v>
      </c>
      <c r="L56" s="51">
        <f>_xlfn.XLOOKUP($A56,Inputs!$A:$A,Inputs!L:L,,0)</f>
        <v>9320.7999999999993</v>
      </c>
      <c r="M56" s="51">
        <f>_xlfn.XLOOKUP($A56,Inputs!$A:$A,Inputs!M:M,,0)</f>
        <v>4777.8</v>
      </c>
    </row>
    <row r="57" spans="1:15">
      <c r="B57"/>
      <c r="C57"/>
      <c r="D57"/>
      <c r="E57"/>
      <c r="F57"/>
      <c r="G57"/>
      <c r="H57"/>
      <c r="I57"/>
      <c r="J57"/>
      <c r="K57"/>
      <c r="L57"/>
      <c r="M57"/>
    </row>
    <row r="58" spans="1:15" ht="13">
      <c r="A58" s="106" t="s">
        <v>324</v>
      </c>
      <c r="B58" s="51">
        <f>B49+B53+B50+B54</f>
        <v>12575.400000000001</v>
      </c>
      <c r="C58" s="51">
        <f t="shared" ref="C58:M58" si="74">C49+C53+C50+C54</f>
        <v>12996.7</v>
      </c>
      <c r="D58" s="51">
        <f t="shared" si="74"/>
        <v>10974.1</v>
      </c>
      <c r="E58" s="51">
        <f t="shared" si="74"/>
        <v>10997.7</v>
      </c>
      <c r="F58" s="51">
        <f t="shared" si="74"/>
        <v>12769.499999999998</v>
      </c>
      <c r="G58" s="51">
        <f t="shared" si="74"/>
        <v>13616.5</v>
      </c>
      <c r="H58" s="51">
        <f t="shared" si="74"/>
        <v>10186.700000000001</v>
      </c>
      <c r="I58" s="51">
        <f t="shared" si="74"/>
        <v>9238.1</v>
      </c>
      <c r="J58" s="51">
        <f t="shared" si="74"/>
        <v>8081.2</v>
      </c>
      <c r="K58" s="51">
        <f t="shared" si="74"/>
        <v>7296.5</v>
      </c>
      <c r="L58" s="51">
        <f t="shared" si="74"/>
        <v>6963.3</v>
      </c>
      <c r="M58" s="51">
        <f t="shared" si="74"/>
        <v>3305.4</v>
      </c>
    </row>
    <row r="59" spans="1:15" ht="13">
      <c r="A59" s="107" t="s">
        <v>71</v>
      </c>
      <c r="B59" s="47">
        <f>IFERROR(B58/B44,"-")</f>
        <v>0.48947325400810382</v>
      </c>
      <c r="C59" s="47">
        <f t="shared" ref="C59:M59" si="75">IFERROR(C58/C44,"-")</f>
        <v>0.52698653410265872</v>
      </c>
      <c r="D59" s="47">
        <f t="shared" si="75"/>
        <v>0.42443474964998185</v>
      </c>
      <c r="E59" s="47">
        <f t="shared" si="75"/>
        <v>0.40574732150762971</v>
      </c>
      <c r="F59" s="47">
        <f t="shared" si="75"/>
        <v>0.46735009076535683</v>
      </c>
      <c r="G59" s="47">
        <f t="shared" si="75"/>
        <v>0.46581598617929287</v>
      </c>
      <c r="H59" s="47">
        <f t="shared" si="75"/>
        <v>0.49597588941851239</v>
      </c>
      <c r="I59" s="47">
        <f t="shared" si="75"/>
        <v>0.4966079645637122</v>
      </c>
      <c r="J59" s="47">
        <f t="shared" si="75"/>
        <v>0.47634541703507222</v>
      </c>
      <c r="K59" s="47">
        <f t="shared" si="75"/>
        <v>0.48343602994765783</v>
      </c>
      <c r="L59" s="47">
        <f t="shared" si="75"/>
        <v>0.48687255717691807</v>
      </c>
      <c r="M59" s="47">
        <f t="shared" si="75"/>
        <v>0.43275160052892736</v>
      </c>
    </row>
    <row r="60" spans="1:15" ht="13">
      <c r="A60" s="106" t="s">
        <v>710</v>
      </c>
      <c r="B60" s="51">
        <f>B58-B39</f>
        <v>12423.000000000002</v>
      </c>
      <c r="C60" s="51">
        <f t="shared" ref="C60:M60" si="76">C58-C39</f>
        <v>12863.2</v>
      </c>
      <c r="D60" s="51">
        <f t="shared" si="76"/>
        <v>10774.7</v>
      </c>
      <c r="E60" s="51">
        <f t="shared" si="76"/>
        <v>10537.1</v>
      </c>
      <c r="F60" s="51">
        <f t="shared" si="76"/>
        <v>12688.099999999999</v>
      </c>
      <c r="G60" s="51">
        <f t="shared" si="76"/>
        <v>13522.9</v>
      </c>
      <c r="H60" s="51">
        <f t="shared" si="76"/>
        <v>10096.400000000001</v>
      </c>
      <c r="I60" s="51">
        <f t="shared" si="76"/>
        <v>9060.7000000000007</v>
      </c>
      <c r="J60" s="51">
        <f t="shared" si="76"/>
        <v>7998.0999999999995</v>
      </c>
      <c r="K60" s="51">
        <f t="shared" si="76"/>
        <v>7186.4</v>
      </c>
      <c r="L60" s="51">
        <f t="shared" si="76"/>
        <v>6899.4000000000005</v>
      </c>
      <c r="M60" s="51">
        <f t="shared" si="76"/>
        <v>2973.9</v>
      </c>
    </row>
    <row r="61" spans="1:15">
      <c r="B61"/>
      <c r="C61"/>
      <c r="D61"/>
      <c r="E61"/>
      <c r="F61"/>
      <c r="G61"/>
      <c r="H61"/>
      <c r="I61"/>
      <c r="J61"/>
      <c r="K61"/>
      <c r="L61"/>
      <c r="M61"/>
      <c r="N61" s="39"/>
      <c r="O61" s="39"/>
    </row>
    <row r="62" spans="1:15" s="39" customFormat="1" ht="13">
      <c r="A62" s="106" t="s">
        <v>711</v>
      </c>
      <c r="B62" s="51">
        <f>_xlfn.XLOOKUP($A62,Inputs!$A:$A,Inputs!B:B,,0)</f>
        <v>321.5</v>
      </c>
      <c r="C62" s="51">
        <f>_xlfn.XLOOKUP($A62,Inputs!$A:$A,Inputs!C:C,,0)</f>
        <v>320.3</v>
      </c>
      <c r="D62" s="51">
        <f>_xlfn.XLOOKUP($A62,Inputs!$A:$A,Inputs!D:D,,0)</f>
        <v>315.89999999999998</v>
      </c>
      <c r="E62" s="51">
        <f>_xlfn.XLOOKUP($A62,Inputs!$A:$A,Inputs!E:E,,0)</f>
        <v>330.2</v>
      </c>
      <c r="F62" s="51">
        <f>_xlfn.XLOOKUP($A62,Inputs!$A:$A,Inputs!F:F,,0)</f>
        <v>342.5</v>
      </c>
      <c r="G62" s="51">
        <f>_xlfn.XLOOKUP($A62,Inputs!$A:$A,Inputs!G:G,,0)</f>
        <v>286.2</v>
      </c>
      <c r="H62" s="51">
        <f>_xlfn.XLOOKUP($A62,Inputs!$A:$A,Inputs!H:H,,0)</f>
        <v>16.600000000000001</v>
      </c>
      <c r="I62" s="51">
        <f>_xlfn.XLOOKUP($A62,Inputs!$A:$A,Inputs!I:I,,0)</f>
        <v>-6.4</v>
      </c>
      <c r="J62" s="51">
        <f>_xlfn.XLOOKUP($A62,Inputs!$A:$A,Inputs!J:J,,0)</f>
        <v>132.19999999999999</v>
      </c>
      <c r="K62" s="51">
        <f>_xlfn.XLOOKUP($A62,Inputs!$A:$A,Inputs!K:K,,0)</f>
        <v>110.6</v>
      </c>
      <c r="L62" s="51">
        <f>_xlfn.XLOOKUP($A62,Inputs!$A:$A,Inputs!L:L,,0)</f>
        <v>0</v>
      </c>
      <c r="M62" s="51">
        <f>_xlfn.XLOOKUP($A62,Inputs!$A:$A,Inputs!M:M,,0)</f>
        <v>0</v>
      </c>
      <c r="N62" s="34"/>
      <c r="O62" s="34"/>
    </row>
    <row r="63" spans="1:15">
      <c r="B63"/>
      <c r="C63"/>
      <c r="D63"/>
      <c r="E63"/>
      <c r="F63"/>
      <c r="G63"/>
      <c r="H63"/>
      <c r="I63"/>
      <c r="J63"/>
      <c r="K63"/>
      <c r="L63"/>
      <c r="M63"/>
    </row>
    <row r="64" spans="1:15" ht="13">
      <c r="A64" s="106" t="s">
        <v>712</v>
      </c>
      <c r="B64" s="51">
        <f>_xlfn.XLOOKUP($A64,Inputs!$A:$A,Inputs!B:B,,0)</f>
        <v>9743.1</v>
      </c>
      <c r="C64" s="51">
        <f>_xlfn.XLOOKUP($A64,Inputs!$A:$A,Inputs!C:C,,0)</f>
        <v>8413.6</v>
      </c>
      <c r="D64" s="51">
        <f>_xlfn.XLOOKUP($A64,Inputs!$A:$A,Inputs!D:D,,0)</f>
        <v>11731.9</v>
      </c>
      <c r="E64" s="51">
        <f>_xlfn.XLOOKUP($A64,Inputs!$A:$A,Inputs!E:E,,0)</f>
        <v>13598.899999999998</v>
      </c>
      <c r="F64" s="51">
        <f>_xlfn.XLOOKUP($A64,Inputs!$A:$A,Inputs!F:F,,0)</f>
        <v>12131.800000000001</v>
      </c>
      <c r="G64" s="51">
        <f>_xlfn.XLOOKUP($A64,Inputs!$A:$A,Inputs!G:G,,0)</f>
        <v>12551</v>
      </c>
      <c r="H64" s="51">
        <f>_xlfn.XLOOKUP($A64,Inputs!$A:$A,Inputs!H:H,,0)</f>
        <v>7975.1</v>
      </c>
      <c r="I64" s="51">
        <f>_xlfn.XLOOKUP($A64,Inputs!$A:$A,Inputs!I:I,,0)</f>
        <v>6891.2000000000007</v>
      </c>
      <c r="J64" s="51">
        <f>_xlfn.XLOOKUP($A64,Inputs!$A:$A,Inputs!J:J,,0)</f>
        <v>6559.5999999999995</v>
      </c>
      <c r="K64" s="51">
        <f>_xlfn.XLOOKUP($A64,Inputs!$A:$A,Inputs!K:K,,0)</f>
        <v>5770.6999999999989</v>
      </c>
      <c r="L64" s="51">
        <f>_xlfn.XLOOKUP($A64,Inputs!$A:$A,Inputs!L:L,,0)</f>
        <v>4981.3000000000011</v>
      </c>
      <c r="M64" s="51">
        <f>_xlfn.XLOOKUP($A64,Inputs!$A:$A,Inputs!M:M,,0)</f>
        <v>2860.3</v>
      </c>
    </row>
    <row r="66" spans="1:13" ht="20">
      <c r="A66" s="1479" t="s">
        <v>133</v>
      </c>
      <c r="B66" s="1479"/>
      <c r="C66" s="1479"/>
      <c r="D66" s="1479"/>
      <c r="E66" s="1479"/>
      <c r="F66" s="1479"/>
      <c r="G66" s="1479"/>
      <c r="H66" s="1479"/>
      <c r="I66" s="1479"/>
      <c r="J66" s="1479"/>
      <c r="K66" s="1479"/>
      <c r="L66" s="1479"/>
      <c r="M66" s="1479"/>
    </row>
    <row r="67" spans="1:13" ht="13">
      <c r="A67" s="106" t="s">
        <v>134</v>
      </c>
      <c r="B67" s="51">
        <f>_xlfn.XLOOKUP($A67,Inputs!$A:$A,Inputs!B:B,,0)</f>
        <v>2780</v>
      </c>
      <c r="C67" s="51">
        <f>_xlfn.XLOOKUP($A67,Inputs!$A:$A,Inputs!C:C,,0)</f>
        <v>2756.9</v>
      </c>
      <c r="D67" s="51">
        <f>_xlfn.XLOOKUP($A67,Inputs!$A:$A,Inputs!D:D,,0)</f>
        <v>2705.4</v>
      </c>
      <c r="E67" s="51">
        <f>_xlfn.XLOOKUP($A67,Inputs!$A:$A,Inputs!E:E,,0)</f>
        <v>2806.5</v>
      </c>
      <c r="F67" s="51">
        <f>_xlfn.XLOOKUP($A67,Inputs!$A:$A,Inputs!F:F,,0)</f>
        <v>2551.1</v>
      </c>
      <c r="G67" s="51">
        <f>_xlfn.XLOOKUP($A67,Inputs!$A:$A,Inputs!G:G,,0)</f>
        <v>2246.3000000000002</v>
      </c>
      <c r="H67" s="51">
        <f>_xlfn.XLOOKUP($A67,Inputs!$A:$A,Inputs!H:H,,0)</f>
        <v>1931.4</v>
      </c>
      <c r="I67" s="51">
        <f>_xlfn.XLOOKUP($A67,Inputs!$A:$A,Inputs!I:I,,0)</f>
        <v>1696</v>
      </c>
      <c r="J67" s="51">
        <f>_xlfn.XLOOKUP($A67,Inputs!$A:$A,Inputs!J:J,,0)</f>
        <v>1413.7</v>
      </c>
      <c r="K67" s="51">
        <f>_xlfn.XLOOKUP($A67,Inputs!$A:$A,Inputs!K:K,,0)</f>
        <v>1081</v>
      </c>
      <c r="L67" s="51">
        <f>_xlfn.XLOOKUP($A67,Inputs!$A:$A,Inputs!L:L,,0)</f>
        <v>826.2</v>
      </c>
      <c r="M67" s="51">
        <f>_xlfn.XLOOKUP($A67,Inputs!$A:$A,Inputs!M:M,,0)</f>
        <v>556.29999999999995</v>
      </c>
    </row>
    <row r="68" spans="1:13" ht="13">
      <c r="A68" s="106" t="s">
        <v>135</v>
      </c>
      <c r="B68" s="51">
        <f>_xlfn.XLOOKUP($A68,Inputs!$A:$A,Inputs!B:B,,0)</f>
        <v>-1285.9000000000001</v>
      </c>
      <c r="C68" s="51">
        <f>_xlfn.XLOOKUP($A68,Inputs!$A:$A,Inputs!C:C,,0)</f>
        <v>-999.4</v>
      </c>
      <c r="D68" s="51">
        <f>_xlfn.XLOOKUP($A68,Inputs!$A:$A,Inputs!D:D,,0)</f>
        <v>-1035.8</v>
      </c>
      <c r="E68" s="51">
        <f>_xlfn.XLOOKUP($A68,Inputs!$A:$A,Inputs!E:E,,0)</f>
        <v>-87.9</v>
      </c>
      <c r="F68" s="51">
        <f>_xlfn.XLOOKUP($A68,Inputs!$A:$A,Inputs!F:F,,0)</f>
        <v>-531</v>
      </c>
      <c r="G68" s="51">
        <f>_xlfn.XLOOKUP($A68,Inputs!$A:$A,Inputs!G:G,,0)</f>
        <v>-4831.8</v>
      </c>
      <c r="H68" s="51">
        <f>_xlfn.XLOOKUP($A68,Inputs!$A:$A,Inputs!H:H,,0)</f>
        <v>-1423.1</v>
      </c>
      <c r="I68" s="51">
        <f>_xlfn.XLOOKUP($A68,Inputs!$A:$A,Inputs!I:I,,0)</f>
        <v>-1461.8</v>
      </c>
      <c r="J68" s="51">
        <f>_xlfn.XLOOKUP($A68,Inputs!$A:$A,Inputs!J:J,,0)</f>
        <v>-2207.4</v>
      </c>
      <c r="K68" s="51">
        <f>_xlfn.XLOOKUP($A68,Inputs!$A:$A,Inputs!K:K,,0)</f>
        <v>-1015.9</v>
      </c>
      <c r="L68" s="51">
        <f>_xlfn.XLOOKUP($A68,Inputs!$A:$A,Inputs!L:L,,0)</f>
        <v>-4863.8</v>
      </c>
      <c r="M68" s="51">
        <f>_xlfn.XLOOKUP($A68,Inputs!$A:$A,Inputs!M:M,,0)</f>
        <v>-206.8</v>
      </c>
    </row>
    <row r="69" spans="1:13">
      <c r="A69" s="102" t="s">
        <v>136</v>
      </c>
      <c r="B69" s="45">
        <f>_xlfn.XLOOKUP($A69,Inputs!$A:$A,Inputs!B:B,,0)</f>
        <v>-1269.0999999999999</v>
      </c>
      <c r="C69" s="45">
        <f>_xlfn.XLOOKUP($A69,Inputs!$A:$A,Inputs!C:C,,0)</f>
        <v>-1028.7</v>
      </c>
      <c r="D69" s="45">
        <f>_xlfn.XLOOKUP($A69,Inputs!$A:$A,Inputs!D:D,,0)</f>
        <v>-1022.6999999999999</v>
      </c>
      <c r="E69" s="45">
        <f>_xlfn.XLOOKUP($A69,Inputs!$A:$A,Inputs!E:E,,0)</f>
        <v>-845.7</v>
      </c>
      <c r="F69" s="45">
        <f>_xlfn.XLOOKUP($A69,Inputs!$A:$A,Inputs!F:F,,0)</f>
        <v>-718.2</v>
      </c>
      <c r="G69" s="45">
        <f>_xlfn.XLOOKUP($A69,Inputs!$A:$A,Inputs!G:G,,0)</f>
        <v>-814</v>
      </c>
      <c r="H69" s="45">
        <f>_xlfn.XLOOKUP($A69,Inputs!$A:$A,Inputs!H:H,,0)</f>
        <v>-1052.0999999999999</v>
      </c>
      <c r="I69" s="45">
        <f>_xlfn.XLOOKUP($A69,Inputs!$A:$A,Inputs!I:I,,0)</f>
        <v>-907.4</v>
      </c>
      <c r="J69" s="45">
        <f>_xlfn.XLOOKUP($A69,Inputs!$A:$A,Inputs!J:J,,0)</f>
        <v>-891.3</v>
      </c>
      <c r="K69" s="45">
        <f>_xlfn.XLOOKUP($A69,Inputs!$A:$A,Inputs!K:K,,0)</f>
        <v>-719.4</v>
      </c>
      <c r="L69" s="45">
        <f>_xlfn.XLOOKUP($A69,Inputs!$A:$A,Inputs!L:L,,0)</f>
        <v>-223.5</v>
      </c>
      <c r="M69" s="45">
        <f>_xlfn.XLOOKUP($A69,Inputs!$A:$A,Inputs!M:M,,0)</f>
        <v>-62.1</v>
      </c>
    </row>
    <row r="70" spans="1:13">
      <c r="A70" s="102" t="s">
        <v>137</v>
      </c>
      <c r="B70" s="45">
        <f>_xlfn.XLOOKUP($A70,Inputs!$A:$A,Inputs!B:B,,0)</f>
        <v>47.8</v>
      </c>
      <c r="C70" s="45">
        <f>_xlfn.XLOOKUP($A70,Inputs!$A:$A,Inputs!C:C,,0)</f>
        <v>28.799999999999997</v>
      </c>
      <c r="D70" s="45">
        <f>_xlfn.XLOOKUP($A70,Inputs!$A:$A,Inputs!D:D,,0)</f>
        <v>-11.099999999999989</v>
      </c>
      <c r="E70" s="45">
        <f>_xlfn.XLOOKUP($A70,Inputs!$A:$A,Inputs!E:E,,0)</f>
        <v>757.2</v>
      </c>
      <c r="F70" s="45">
        <f>_xlfn.XLOOKUP($A70,Inputs!$A:$A,Inputs!F:F,,0)</f>
        <v>186.8</v>
      </c>
      <c r="G70" s="45">
        <f>_xlfn.XLOOKUP($A70,Inputs!$A:$A,Inputs!G:G,,0)</f>
        <v>-4016.9000000000005</v>
      </c>
      <c r="H70" s="45">
        <f>_xlfn.XLOOKUP($A70,Inputs!$A:$A,Inputs!H:H,,0)</f>
        <v>-361</v>
      </c>
      <c r="I70" s="45">
        <f>_xlfn.XLOOKUP($A70,Inputs!$A:$A,Inputs!I:I,,0)</f>
        <v>-535.70000000000005</v>
      </c>
      <c r="J70" s="45">
        <f>_xlfn.XLOOKUP($A70,Inputs!$A:$A,Inputs!J:J,,0)</f>
        <v>-1316.4</v>
      </c>
      <c r="K70" s="45">
        <f>_xlfn.XLOOKUP($A70,Inputs!$A:$A,Inputs!K:K,,0)</f>
        <v>-310.3</v>
      </c>
      <c r="L70" s="45">
        <f>_xlfn.XLOOKUP($A70,Inputs!$A:$A,Inputs!L:L,,0)</f>
        <v>-4681.3</v>
      </c>
      <c r="M70" s="45">
        <f>_xlfn.XLOOKUP($A70,Inputs!$A:$A,Inputs!M:M,,0)</f>
        <v>-159.30000000000001</v>
      </c>
    </row>
    <row r="71" spans="1:13" ht="13">
      <c r="A71" s="106" t="s">
        <v>138</v>
      </c>
      <c r="B71" s="51">
        <f>_xlfn.XLOOKUP($A71,Inputs!$A:$A,Inputs!B:B,,0)</f>
        <v>-1474.6</v>
      </c>
      <c r="C71" s="51">
        <f>_xlfn.XLOOKUP($A71,Inputs!$A:$A,Inputs!C:C,,0)</f>
        <v>-1819.9</v>
      </c>
      <c r="D71" s="51">
        <f>_xlfn.XLOOKUP($A71,Inputs!$A:$A,Inputs!D:D,,0)</f>
        <v>-1929.5</v>
      </c>
      <c r="E71" s="51">
        <f>_xlfn.XLOOKUP($A71,Inputs!$A:$A,Inputs!E:E,,0)</f>
        <v>-2346.6</v>
      </c>
      <c r="F71" s="51">
        <f>_xlfn.XLOOKUP($A71,Inputs!$A:$A,Inputs!F:F,,0)</f>
        <v>-2031.4</v>
      </c>
      <c r="G71" s="51">
        <f>_xlfn.XLOOKUP($A71,Inputs!$A:$A,Inputs!G:G,,0)</f>
        <v>2593.3000000000002</v>
      </c>
      <c r="H71" s="51">
        <f>_xlfn.XLOOKUP($A71,Inputs!$A:$A,Inputs!H:H,,0)</f>
        <v>-601.20000000000005</v>
      </c>
      <c r="I71" s="51">
        <f>_xlfn.XLOOKUP($A71,Inputs!$A:$A,Inputs!I:I,,0)</f>
        <v>-134.80000000000001</v>
      </c>
      <c r="J71" s="51">
        <f>_xlfn.XLOOKUP($A71,Inputs!$A:$A,Inputs!J:J,,0)</f>
        <v>776</v>
      </c>
      <c r="K71" s="51">
        <f>_xlfn.XLOOKUP($A71,Inputs!$A:$A,Inputs!K:K,,0)</f>
        <v>-16.399999999999999</v>
      </c>
      <c r="L71" s="51">
        <f>_xlfn.XLOOKUP($A71,Inputs!$A:$A,Inputs!L:L,,0)</f>
        <v>3777</v>
      </c>
      <c r="M71" s="51">
        <f>_xlfn.XLOOKUP($A71,Inputs!$A:$A,Inputs!M:M,,0)</f>
        <v>-98.7</v>
      </c>
    </row>
    <row r="72" spans="1:13">
      <c r="A72" s="102" t="s">
        <v>139</v>
      </c>
      <c r="B72" s="45">
        <f>_xlfn.XLOOKUP($A72,Inputs!$A:$A,Inputs!B:B,,0)</f>
        <v>-653.79999999999995</v>
      </c>
      <c r="C72" s="45">
        <f>_xlfn.XLOOKUP($A72,Inputs!$A:$A,Inputs!C:C,,0)</f>
        <v>-587.70000000000005</v>
      </c>
      <c r="D72" s="45">
        <f>_xlfn.XLOOKUP($A72,Inputs!$A:$A,Inputs!D:D,,0)</f>
        <v>-573</v>
      </c>
      <c r="E72" s="45">
        <f>_xlfn.XLOOKUP($A72,Inputs!$A:$A,Inputs!E:E,,0)</f>
        <v>-575</v>
      </c>
      <c r="F72" s="45">
        <f>_xlfn.XLOOKUP($A72,Inputs!$A:$A,Inputs!F:F,,0)</f>
        <v>-569.20000000000005</v>
      </c>
      <c r="G72" s="45">
        <f>_xlfn.XLOOKUP($A72,Inputs!$A:$A,Inputs!G:G,,0)</f>
        <v>-557.70000000000005</v>
      </c>
      <c r="H72" s="45">
        <f>_xlfn.XLOOKUP($A72,Inputs!$A:$A,Inputs!H:H,,0)</f>
        <v>-400.1</v>
      </c>
      <c r="I72" s="45">
        <f>_xlfn.XLOOKUP($A72,Inputs!$A:$A,Inputs!I:I,,0)</f>
        <v>-315.10000000000002</v>
      </c>
      <c r="J72" s="45">
        <f>_xlfn.XLOOKUP($A72,Inputs!$A:$A,Inputs!J:J,,0)</f>
        <v>-241.6</v>
      </c>
      <c r="K72" s="45">
        <f>_xlfn.XLOOKUP($A72,Inputs!$A:$A,Inputs!K:K,,0)</f>
        <v>0</v>
      </c>
      <c r="L72" s="45">
        <f>_xlfn.XLOOKUP($A72,Inputs!$A:$A,Inputs!L:L,,0)</f>
        <v>0</v>
      </c>
      <c r="M72" s="45">
        <f>_xlfn.XLOOKUP($A72,Inputs!$A:$A,Inputs!M:M,,0)</f>
        <v>0</v>
      </c>
    </row>
    <row r="73" spans="1:13">
      <c r="A73" s="102" t="s">
        <v>694</v>
      </c>
      <c r="B73" s="45">
        <f>_xlfn.XLOOKUP($A73,Inputs!$A:$A,Inputs!B:B,,0)</f>
        <v>-249.7</v>
      </c>
      <c r="C73" s="45">
        <f>_xlfn.XLOOKUP($A73,Inputs!$A:$A,Inputs!C:C,,0)</f>
        <v>-1700.2</v>
      </c>
      <c r="D73" s="45">
        <f>_xlfn.XLOOKUP($A73,Inputs!$A:$A,Inputs!D:D,,0)</f>
        <v>-1390.5</v>
      </c>
      <c r="E73" s="45">
        <f>_xlfn.XLOOKUP($A73,Inputs!$A:$A,Inputs!E:E,,0)</f>
        <v>-1045.9000000000001</v>
      </c>
      <c r="F73" s="45">
        <f>_xlfn.XLOOKUP($A73,Inputs!$A:$A,Inputs!F:F,,0)</f>
        <v>-1045.9000000000001</v>
      </c>
      <c r="G73" s="45">
        <f>_xlfn.XLOOKUP($A73,Inputs!$A:$A,Inputs!G:G,,0)</f>
        <v>-995.9</v>
      </c>
      <c r="H73" s="45">
        <f>_xlfn.XLOOKUP($A73,Inputs!$A:$A,Inputs!H:H,,0)</f>
        <v>-512.79999999999995</v>
      </c>
      <c r="I73" s="45">
        <f>_xlfn.XLOOKUP($A73,Inputs!$A:$A,Inputs!I:I,,0)</f>
        <v>-453.1</v>
      </c>
      <c r="J73" s="45">
        <f>_xlfn.XLOOKUP($A73,Inputs!$A:$A,Inputs!J:J,,0)</f>
        <v>-330.5</v>
      </c>
      <c r="K73" s="45">
        <f>_xlfn.XLOOKUP($A73,Inputs!$A:$A,Inputs!K:K,,0)</f>
        <v>-796.7</v>
      </c>
      <c r="L73" s="45">
        <f>_xlfn.XLOOKUP($A73,Inputs!$A:$A,Inputs!L:L,,0)</f>
        <v>0</v>
      </c>
      <c r="M73" s="45">
        <f>_xlfn.XLOOKUP($A73,Inputs!$A:$A,Inputs!M:M,,0)</f>
        <v>-383</v>
      </c>
    </row>
    <row r="74" spans="1:13" ht="13">
      <c r="A74" s="106" t="s">
        <v>142</v>
      </c>
      <c r="B74" s="51">
        <f>_xlfn.XLOOKUP($A74,Inputs!$A:$A,Inputs!B:B,,0)</f>
        <v>-0.6</v>
      </c>
      <c r="C74" s="51">
        <f>_xlfn.XLOOKUP($A74,Inputs!$A:$A,Inputs!C:C,,0)</f>
        <v>-3.5</v>
      </c>
      <c r="D74" s="51">
        <f>_xlfn.XLOOKUP($A74,Inputs!$A:$A,Inputs!D:D,,0)</f>
        <v>-1.3</v>
      </c>
      <c r="E74" s="51">
        <f>_xlfn.XLOOKUP($A74,Inputs!$A:$A,Inputs!E:E,,0)</f>
        <v>7.2</v>
      </c>
      <c r="F74" s="51">
        <f>_xlfn.XLOOKUP($A74,Inputs!$A:$A,Inputs!F:F,,0)</f>
        <v>-0.9</v>
      </c>
      <c r="G74" s="51">
        <f>_xlfn.XLOOKUP($A74,Inputs!$A:$A,Inputs!G:G,,0)</f>
        <v>-4.5</v>
      </c>
      <c r="H74" s="51">
        <f>_xlfn.XLOOKUP($A74,Inputs!$A:$A,Inputs!H:H,,0)</f>
        <v>5.8</v>
      </c>
      <c r="I74" s="51">
        <f>_xlfn.XLOOKUP($A74,Inputs!$A:$A,Inputs!I:I,,0)</f>
        <v>-5.0999999999999996</v>
      </c>
      <c r="J74" s="51">
        <f>_xlfn.XLOOKUP($A74,Inputs!$A:$A,Inputs!J:J,,0)</f>
        <v>-9.3000000000000007</v>
      </c>
      <c r="K74" s="51">
        <f>_xlfn.XLOOKUP($A74,Inputs!$A:$A,Inputs!K:K,,0)</f>
        <v>-2.5</v>
      </c>
      <c r="L74" s="51">
        <f>_xlfn.XLOOKUP($A74,Inputs!$A:$A,Inputs!L:L,,0)</f>
        <v>-7</v>
      </c>
      <c r="M74" s="51">
        <f>_xlfn.XLOOKUP($A74,Inputs!$A:$A,Inputs!M:M,,0)</f>
        <v>-5.0999999999999996</v>
      </c>
    </row>
    <row r="75" spans="1:13" ht="13">
      <c r="A75" s="106" t="s">
        <v>713</v>
      </c>
      <c r="B75" s="51">
        <f>_xlfn.XLOOKUP($A75,Inputs!$A:$A,Inputs!B:B,,0)</f>
        <v>18.899999999999999</v>
      </c>
      <c r="C75" s="51">
        <f>_xlfn.XLOOKUP($A75,Inputs!$A:$A,Inputs!C:C,,0)</f>
        <v>-65.900000000000091</v>
      </c>
      <c r="D75" s="51">
        <f>_xlfn.XLOOKUP($A75,Inputs!$A:$A,Inputs!D:D,,0)</f>
        <v>-261.19999999999987</v>
      </c>
      <c r="E75" s="51">
        <f>_xlfn.XLOOKUP($A75,Inputs!$A:$A,Inputs!E:E,,0)</f>
        <v>379.2</v>
      </c>
      <c r="F75" s="51">
        <f>_xlfn.XLOOKUP($A75,Inputs!$A:$A,Inputs!F:F,,0)</f>
        <v>-12.200000000000182</v>
      </c>
      <c r="G75" s="51">
        <f>_xlfn.XLOOKUP($A75,Inputs!$A:$A,Inputs!G:G,,0)</f>
        <v>3.3000000000001819</v>
      </c>
      <c r="H75" s="51">
        <f>_xlfn.XLOOKUP($A75,Inputs!$A:$A,Inputs!H:H,,0)</f>
        <v>-87.099999999999866</v>
      </c>
      <c r="I75" s="51">
        <f>_xlfn.XLOOKUP($A75,Inputs!$A:$A,Inputs!I:I,,0)</f>
        <v>94.30000000000004</v>
      </c>
      <c r="J75" s="51">
        <f>_xlfn.XLOOKUP($A75,Inputs!$A:$A,Inputs!J:J,,0)</f>
        <v>-27.000000000000046</v>
      </c>
      <c r="K75" s="51">
        <f>_xlfn.XLOOKUP($A75,Inputs!$A:$A,Inputs!K:K,,0)</f>
        <v>46.200000000000024</v>
      </c>
      <c r="L75" s="51">
        <f>_xlfn.XLOOKUP($A75,Inputs!$A:$A,Inputs!L:L,,0)</f>
        <v>-267.60000000000036</v>
      </c>
      <c r="M75" s="51">
        <f>_xlfn.XLOOKUP($A75,Inputs!$A:$A,Inputs!M:M,,0)</f>
        <v>245.69999999999996</v>
      </c>
    </row>
    <row r="76" spans="1:13">
      <c r="K76" s="35"/>
      <c r="L76" s="35"/>
      <c r="M76" s="35"/>
    </row>
    <row r="77" spans="1:13" ht="20">
      <c r="A77" s="1479" t="s">
        <v>714</v>
      </c>
      <c r="B77" s="1479"/>
      <c r="C77" s="1479"/>
      <c r="D77" s="1479"/>
      <c r="E77" s="1479"/>
      <c r="F77" s="1479"/>
      <c r="G77" s="1479"/>
      <c r="H77" s="1479"/>
      <c r="I77" s="1479"/>
      <c r="J77" s="1479"/>
      <c r="K77" s="1479"/>
      <c r="L77" s="1479"/>
      <c r="M77" s="1479"/>
    </row>
    <row r="78" spans="1:13">
      <c r="A78" s="101" t="s">
        <v>715</v>
      </c>
      <c r="B78" s="45" t="e">
        <f>_xlfn.XLOOKUP($A78,Inputs!$A:$A,Inputs!C:C,,0)</f>
        <v>#N/A</v>
      </c>
      <c r="C78" s="45" t="e">
        <f>_xlfn.XLOOKUP($A78,Inputs!$A:$A,Inputs!D:D,,0)</f>
        <v>#N/A</v>
      </c>
      <c r="D78" s="45" t="e">
        <f>_xlfn.XLOOKUP($A78,Inputs!$A:$A,Inputs!E:E,,0)</f>
        <v>#N/A</v>
      </c>
      <c r="E78" s="45" t="e">
        <f>_xlfn.XLOOKUP($A78,Inputs!$A:$A,Inputs!F:F,,0)</f>
        <v>#N/A</v>
      </c>
      <c r="F78" s="45" t="e">
        <f>_xlfn.XLOOKUP($A78,Inputs!$A:$A,Inputs!G:G,,0)</f>
        <v>#N/A</v>
      </c>
      <c r="G78" s="45" t="e">
        <f>_xlfn.XLOOKUP($A78,Inputs!$A:$A,Inputs!H:H,,0)</f>
        <v>#N/A</v>
      </c>
      <c r="H78" s="45" t="e">
        <f>_xlfn.XLOOKUP($A78,Inputs!$A:$A,Inputs!I:I,,0)</f>
        <v>#N/A</v>
      </c>
      <c r="I78" s="45" t="e">
        <f>_xlfn.XLOOKUP($A78,Inputs!$A:$A,Inputs!J:J,,0)</f>
        <v>#N/A</v>
      </c>
      <c r="J78" s="45" t="e">
        <f>_xlfn.XLOOKUP($A78,Inputs!$A:$A,Inputs!K:K,,0)</f>
        <v>#N/A</v>
      </c>
      <c r="K78" s="45" t="e">
        <f>_xlfn.XLOOKUP($A78,Inputs!$A:$A,Inputs!L:L,,0)</f>
        <v>#N/A</v>
      </c>
      <c r="L78" s="45" t="e">
        <f>_xlfn.XLOOKUP($A78,Inputs!$A:$A,Inputs!M:M,,0)</f>
        <v>#N/A</v>
      </c>
      <c r="M78" s="45" t="e">
        <f>_xlfn.XLOOKUP($A78,Inputs!$A:$A,Inputs!N:N,,0)</f>
        <v>#N/A</v>
      </c>
    </row>
    <row r="79" spans="1:13">
      <c r="A79" s="107" t="s">
        <v>716</v>
      </c>
      <c r="B79" s="45" t="e">
        <f>_xlfn.XLOOKUP($A79,Inputs!$A:$A,Inputs!C:C,,0)</f>
        <v>#N/A</v>
      </c>
      <c r="C79" s="45" t="e">
        <f>_xlfn.XLOOKUP($A79,Inputs!$A:$A,Inputs!D:D,,0)</f>
        <v>#N/A</v>
      </c>
      <c r="D79" s="45" t="e">
        <f>_xlfn.XLOOKUP($A79,Inputs!$A:$A,Inputs!E:E,,0)</f>
        <v>#N/A</v>
      </c>
      <c r="E79" s="45" t="e">
        <f>_xlfn.XLOOKUP($A79,Inputs!$A:$A,Inputs!F:F,,0)</f>
        <v>#N/A</v>
      </c>
      <c r="F79" s="45" t="e">
        <f>_xlfn.XLOOKUP($A79,Inputs!$A:$A,Inputs!G:G,,0)</f>
        <v>#N/A</v>
      </c>
      <c r="G79" s="45" t="e">
        <f>_xlfn.XLOOKUP($A79,Inputs!$A:$A,Inputs!H:H,,0)</f>
        <v>#N/A</v>
      </c>
      <c r="H79" s="45" t="e">
        <f>_xlfn.XLOOKUP($A79,Inputs!$A:$A,Inputs!I:I,,0)</f>
        <v>#N/A</v>
      </c>
      <c r="I79" s="45" t="e">
        <f>_xlfn.XLOOKUP($A79,Inputs!$A:$A,Inputs!J:J,,0)</f>
        <v>#N/A</v>
      </c>
      <c r="J79" s="45" t="e">
        <f>_xlfn.XLOOKUP($A79,Inputs!$A:$A,Inputs!K:K,,0)</f>
        <v>#N/A</v>
      </c>
      <c r="K79" s="45" t="e">
        <f>_xlfn.XLOOKUP($A79,Inputs!$A:$A,Inputs!L:L,,0)</f>
        <v>#N/A</v>
      </c>
      <c r="L79" s="45" t="e">
        <f>_xlfn.XLOOKUP($A79,Inputs!$A:$A,Inputs!M:M,,0)</f>
        <v>#N/A</v>
      </c>
      <c r="M79" s="45" t="e">
        <f>_xlfn.XLOOKUP($A79,Inputs!$A:$A,Inputs!N:N,,0)</f>
        <v>#N/A</v>
      </c>
    </row>
    <row r="80" spans="1:13">
      <c r="A80" s="101" t="s">
        <v>47</v>
      </c>
      <c r="B80" s="45">
        <f>_xlfn.XLOOKUP($A80,Inputs!$A:$A,Inputs!C:C,,0)</f>
        <v>0</v>
      </c>
      <c r="C80" s="45" t="str">
        <f>_xlfn.XLOOKUP($A80,Inputs!$A:$A,Inputs!D:D,,0)</f>
        <v>Yahoo finance</v>
      </c>
      <c r="D80" s="45">
        <f>_xlfn.XLOOKUP($A80,Inputs!$A:$A,Inputs!E:E,,0)</f>
        <v>0</v>
      </c>
      <c r="E80" s="45">
        <f>_xlfn.XLOOKUP($A80,Inputs!$A:$A,Inputs!F:F,,0)</f>
        <v>0</v>
      </c>
      <c r="F80" s="45">
        <f>_xlfn.XLOOKUP($A80,Inputs!$A:$A,Inputs!G:G,,0)</f>
        <v>0</v>
      </c>
      <c r="G80" s="45">
        <f>_xlfn.XLOOKUP($A80,Inputs!$A:$A,Inputs!H:H,,0)</f>
        <v>0</v>
      </c>
      <c r="H80" s="45">
        <f>_xlfn.XLOOKUP($A80,Inputs!$A:$A,Inputs!I:I,,0)</f>
        <v>0</v>
      </c>
      <c r="I80" s="45">
        <f>_xlfn.XLOOKUP($A80,Inputs!$A:$A,Inputs!J:J,,0)</f>
        <v>0</v>
      </c>
      <c r="J80" s="45">
        <f>_xlfn.XLOOKUP($A80,Inputs!$A:$A,Inputs!K:K,,0)</f>
        <v>0</v>
      </c>
      <c r="K80" s="45">
        <f>_xlfn.XLOOKUP($A80,Inputs!$A:$A,Inputs!L:L,,0)</f>
        <v>0</v>
      </c>
      <c r="L80" s="45">
        <f>_xlfn.XLOOKUP($A80,Inputs!$A:$A,Inputs!M:M,,0)</f>
        <v>0</v>
      </c>
      <c r="M80" s="45">
        <f>_xlfn.XLOOKUP($A80,Inputs!$A:$A,Inputs!N:N,,0)</f>
        <v>0</v>
      </c>
    </row>
    <row r="81" spans="1:13">
      <c r="A81" s="107" t="s">
        <v>51</v>
      </c>
      <c r="B81" s="45">
        <f>_xlfn.XLOOKUP($A81,Inputs!$A:$A,Inputs!C:C,,0)</f>
        <v>0</v>
      </c>
      <c r="C81" s="45" t="str">
        <f>_xlfn.XLOOKUP($A81,Inputs!$A:$A,Inputs!D:D,,0)</f>
        <v>Yahoo finance</v>
      </c>
      <c r="D81" s="45">
        <f>_xlfn.XLOOKUP($A81,Inputs!$A:$A,Inputs!E:E,,0)</f>
        <v>0</v>
      </c>
      <c r="E81" s="45">
        <f>_xlfn.XLOOKUP($A81,Inputs!$A:$A,Inputs!F:F,,0)</f>
        <v>0</v>
      </c>
      <c r="F81" s="45">
        <f>_xlfn.XLOOKUP($A81,Inputs!$A:$A,Inputs!G:G,,0)</f>
        <v>0</v>
      </c>
      <c r="G81" s="45">
        <f>_xlfn.XLOOKUP($A81,Inputs!$A:$A,Inputs!H:H,,0)</f>
        <v>0</v>
      </c>
      <c r="H81" s="45">
        <f>_xlfn.XLOOKUP($A81,Inputs!$A:$A,Inputs!I:I,,0)</f>
        <v>0</v>
      </c>
      <c r="I81" s="45">
        <f>_xlfn.XLOOKUP($A81,Inputs!$A:$A,Inputs!J:J,,0)</f>
        <v>0</v>
      </c>
      <c r="J81" s="45">
        <f>_xlfn.XLOOKUP($A81,Inputs!$A:$A,Inputs!K:K,,0)</f>
        <v>0</v>
      </c>
      <c r="K81" s="45">
        <f>_xlfn.XLOOKUP($A81,Inputs!$A:$A,Inputs!L:L,,0)</f>
        <v>0</v>
      </c>
      <c r="L81" s="45">
        <f>_xlfn.XLOOKUP($A81,Inputs!$A:$A,Inputs!M:M,,0)</f>
        <v>0</v>
      </c>
      <c r="M81" s="45">
        <f>_xlfn.XLOOKUP($A81,Inputs!$A:$A,Inputs!N:N,,0)</f>
        <v>0</v>
      </c>
    </row>
    <row r="82" spans="1:13">
      <c r="A82" s="101" t="s">
        <v>717</v>
      </c>
      <c r="B82" s="45">
        <f>_xlfn.XLOOKUP($A82,Inputs!$A:$A,Inputs!C:C,,0)</f>
        <v>0</v>
      </c>
      <c r="C82" s="45" t="str">
        <f>_xlfn.XLOOKUP($A82,Inputs!$A:$A,Inputs!D:D,,0)</f>
        <v>10-K</v>
      </c>
      <c r="D82" s="45">
        <f>_xlfn.XLOOKUP($A82,Inputs!$A:$A,Inputs!E:E,,0)</f>
        <v>0</v>
      </c>
      <c r="E82" s="45">
        <f>_xlfn.XLOOKUP($A82,Inputs!$A:$A,Inputs!F:F,,0)</f>
        <v>0</v>
      </c>
      <c r="F82" s="45">
        <f>_xlfn.XLOOKUP($A82,Inputs!$A:$A,Inputs!G:G,,0)</f>
        <v>0</v>
      </c>
      <c r="G82" s="45">
        <f>_xlfn.XLOOKUP($A82,Inputs!$A:$A,Inputs!H:H,,0)</f>
        <v>0</v>
      </c>
      <c r="H82" s="45">
        <f>_xlfn.XLOOKUP($A82,Inputs!$A:$A,Inputs!I:I,,0)</f>
        <v>0</v>
      </c>
      <c r="I82" s="45">
        <f>_xlfn.XLOOKUP($A82,Inputs!$A:$A,Inputs!J:J,,0)</f>
        <v>0</v>
      </c>
      <c r="J82" s="45">
        <f>_xlfn.XLOOKUP($A82,Inputs!$A:$A,Inputs!K:K,,0)</f>
        <v>0</v>
      </c>
      <c r="K82" s="45">
        <f>_xlfn.XLOOKUP($A82,Inputs!$A:$A,Inputs!L:L,,0)</f>
        <v>0</v>
      </c>
      <c r="L82" s="45">
        <f>_xlfn.XLOOKUP($A82,Inputs!$A:$A,Inputs!M:M,,0)</f>
        <v>0</v>
      </c>
      <c r="M82" s="45">
        <f>_xlfn.XLOOKUP($A82,Inputs!$A:$A,Inputs!N:N,,0)</f>
        <v>0</v>
      </c>
    </row>
    <row r="83" spans="1:13">
      <c r="A83" s="101" t="s">
        <v>718</v>
      </c>
      <c r="B83" s="45" t="e">
        <f>_xlfn.XLOOKUP($A83,Inputs!$A:$A,Inputs!C:C,,0)</f>
        <v>#N/A</v>
      </c>
      <c r="C83" s="45" t="e">
        <f>_xlfn.XLOOKUP($A83,Inputs!$A:$A,Inputs!D:D,,0)</f>
        <v>#N/A</v>
      </c>
      <c r="D83" s="45" t="e">
        <f>_xlfn.XLOOKUP($A83,Inputs!$A:$A,Inputs!E:E,,0)</f>
        <v>#N/A</v>
      </c>
      <c r="E83" s="45" t="e">
        <f>_xlfn.XLOOKUP($A83,Inputs!$A:$A,Inputs!F:F,,0)</f>
        <v>#N/A</v>
      </c>
      <c r="F83" s="45" t="e">
        <f>_xlfn.XLOOKUP($A83,Inputs!$A:$A,Inputs!G:G,,0)</f>
        <v>#N/A</v>
      </c>
      <c r="G83" s="45" t="e">
        <f>_xlfn.XLOOKUP($A83,Inputs!$A:$A,Inputs!H:H,,0)</f>
        <v>#N/A</v>
      </c>
      <c r="H83" s="45" t="e">
        <f>_xlfn.XLOOKUP($A83,Inputs!$A:$A,Inputs!I:I,,0)</f>
        <v>#N/A</v>
      </c>
      <c r="I83" s="45" t="e">
        <f>_xlfn.XLOOKUP($A83,Inputs!$A:$A,Inputs!J:J,,0)</f>
        <v>#N/A</v>
      </c>
      <c r="J83" s="45" t="e">
        <f>_xlfn.XLOOKUP($A83,Inputs!$A:$A,Inputs!K:K,,0)</f>
        <v>#N/A</v>
      </c>
      <c r="K83" s="45" t="e">
        <f>_xlfn.XLOOKUP($A83,Inputs!$A:$A,Inputs!L:L,,0)</f>
        <v>#N/A</v>
      </c>
      <c r="L83" s="45" t="e">
        <f>_xlfn.XLOOKUP($A83,Inputs!$A:$A,Inputs!M:M,,0)</f>
        <v>#N/A</v>
      </c>
      <c r="M83" s="45" t="e">
        <f>_xlfn.XLOOKUP($A83,Inputs!$A:$A,Inputs!N:N,,0)</f>
        <v>#N/A</v>
      </c>
    </row>
    <row r="84" spans="1:13">
      <c r="A84" s="107" t="s">
        <v>719</v>
      </c>
      <c r="B84" s="45">
        <f>_xlfn.XLOOKUP($A84,Inputs!$A:$A,Inputs!C:C,,0)</f>
        <v>0</v>
      </c>
      <c r="C84" s="45" t="str">
        <f>_xlfn.XLOOKUP($A84,Inputs!$A:$A,Inputs!D:D,,0)</f>
        <v>Yahoo Finance</v>
      </c>
      <c r="D84" s="45">
        <f>_xlfn.XLOOKUP($A84,Inputs!$A:$A,Inputs!E:E,,0)</f>
        <v>0</v>
      </c>
      <c r="E84" s="45">
        <f>_xlfn.XLOOKUP($A84,Inputs!$A:$A,Inputs!F:F,,0)</f>
        <v>0</v>
      </c>
      <c r="F84" s="45">
        <f>_xlfn.XLOOKUP($A84,Inputs!$A:$A,Inputs!G:G,,0)</f>
        <v>0</v>
      </c>
      <c r="G84" s="45">
        <f>_xlfn.XLOOKUP($A84,Inputs!$A:$A,Inputs!H:H,,0)</f>
        <v>0</v>
      </c>
      <c r="H84" s="45">
        <f>_xlfn.XLOOKUP($A84,Inputs!$A:$A,Inputs!I:I,,0)</f>
        <v>0</v>
      </c>
      <c r="I84" s="45">
        <f>_xlfn.XLOOKUP($A84,Inputs!$A:$A,Inputs!J:J,,0)</f>
        <v>0</v>
      </c>
      <c r="J84" s="45">
        <f>_xlfn.XLOOKUP($A84,Inputs!$A:$A,Inputs!K:K,,0)</f>
        <v>0</v>
      </c>
      <c r="K84" s="45">
        <f>_xlfn.XLOOKUP($A84,Inputs!$A:$A,Inputs!L:L,,0)</f>
        <v>0</v>
      </c>
      <c r="L84" s="45">
        <f>_xlfn.XLOOKUP($A84,Inputs!$A:$A,Inputs!M:M,,0)</f>
        <v>0</v>
      </c>
      <c r="M84" s="45">
        <f>_xlfn.XLOOKUP($A84,Inputs!$A:$A,Inputs!N:N,,0)</f>
        <v>0</v>
      </c>
    </row>
    <row r="85" spans="1:13">
      <c r="B85" s="37"/>
      <c r="C85" s="37"/>
      <c r="D85" s="37"/>
      <c r="E85" s="37"/>
      <c r="F85" s="37"/>
      <c r="G85" s="37"/>
      <c r="H85" s="37"/>
      <c r="I85" s="37"/>
      <c r="J85" s="37"/>
      <c r="K85" s="37"/>
      <c r="L85" s="37"/>
      <c r="M85" s="37"/>
    </row>
    <row r="86" spans="1:13">
      <c r="B86" s="36">
        <v>2020</v>
      </c>
      <c r="C86" s="36">
        <v>2021</v>
      </c>
      <c r="D86" s="36">
        <v>2022</v>
      </c>
      <c r="G86" s="36"/>
      <c r="H86" s="37"/>
      <c r="I86" s="37"/>
      <c r="J86" s="37"/>
      <c r="K86" s="37"/>
      <c r="L86" s="37"/>
      <c r="M86" s="37"/>
    </row>
    <row r="87" spans="1:13">
      <c r="A87" s="101" t="s">
        <v>720</v>
      </c>
      <c r="B87" s="49">
        <v>0</v>
      </c>
      <c r="C87" s="49">
        <v>0</v>
      </c>
      <c r="D87" s="50">
        <v>0</v>
      </c>
      <c r="G87" s="37"/>
      <c r="H87" s="37"/>
      <c r="I87" s="37"/>
      <c r="J87" s="37"/>
      <c r="K87" s="37"/>
      <c r="L87" s="37"/>
      <c r="M87" s="37"/>
    </row>
    <row r="88" spans="1:13">
      <c r="A88" s="107" t="s">
        <v>73</v>
      </c>
      <c r="B88" s="49">
        <v>0</v>
      </c>
      <c r="C88" s="49">
        <v>0</v>
      </c>
      <c r="D88" s="50">
        <v>0</v>
      </c>
    </row>
    <row r="90" spans="1:13" ht="13">
      <c r="A90" s="9" t="s">
        <v>721</v>
      </c>
      <c r="B90" s="36" t="s">
        <v>722</v>
      </c>
      <c r="C90" s="36" t="s">
        <v>723</v>
      </c>
      <c r="D90" s="36" t="s">
        <v>724</v>
      </c>
      <c r="E90" s="36" t="s">
        <v>725</v>
      </c>
      <c r="G90" s="36"/>
    </row>
    <row r="91" spans="1:13">
      <c r="B91" s="52" t="e">
        <f>VLOOKUP($A91,Inputs!$A$5:$N$98,MATCH(B$4,Inputs!$C$5:$N$5,0)+1,FALSE)</f>
        <v>#N/A</v>
      </c>
      <c r="C91" s="52" t="e">
        <f>VLOOKUP($A91,Inputs!$A$5:$N$98,MATCH(C$4,Inputs!$C$5:$N$5,0)+1,FALSE)</f>
        <v>#N/A</v>
      </c>
      <c r="D91" s="52" t="e">
        <f>VLOOKUP($A91,Inputs!$A$5:$N$98,MATCH(D$4,Inputs!$C$5:$N$5,0)+1,FALSE)</f>
        <v>#N/A</v>
      </c>
      <c r="E91" s="52" t="e">
        <f>VLOOKUP($A91,Inputs!$A$5:$N$98,MATCH(E$4,Inputs!$C$5:$N$5,0)+1,FALSE)</f>
        <v>#N/A</v>
      </c>
    </row>
  </sheetData>
  <mergeCells count="7">
    <mergeCell ref="A77:M77"/>
    <mergeCell ref="A1:M1"/>
    <mergeCell ref="A2:M2"/>
    <mergeCell ref="A3:M3"/>
    <mergeCell ref="A38:M38"/>
    <mergeCell ref="A47:M47"/>
    <mergeCell ref="A66:M66"/>
  </mergeCells>
  <phoneticPr fontId="80" type="noConversion"/>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2:XFD138"/>
  <sheetViews>
    <sheetView zoomScale="80" zoomScaleNormal="100" workbookViewId="0">
      <pane ySplit="5" topLeftCell="A6" activePane="bottomLeft" state="frozen"/>
      <selection pane="bottomLeft" activeCell="F80" sqref="F80:H81"/>
    </sheetView>
  </sheetViews>
  <sheetFormatPr defaultColWidth="10.453125" defaultRowHeight="14"/>
  <cols>
    <col min="1" max="1" width="40.26953125" style="14" bestFit="1" customWidth="1"/>
    <col min="2" max="2" width="13.7265625" style="14" customWidth="1"/>
    <col min="3" max="6" width="13.453125" style="14" customWidth="1"/>
    <col min="7" max="7" width="13.26953125" style="14" customWidth="1"/>
    <col min="8" max="8" width="13.7265625" style="14" customWidth="1"/>
    <col min="9" max="9" width="14.26953125" style="14" customWidth="1"/>
    <col min="10" max="10" width="13.7265625" style="14" customWidth="1"/>
    <col min="11" max="11" width="14.26953125" style="14" customWidth="1"/>
    <col min="12" max="12" width="15.26953125" style="16" customWidth="1"/>
    <col min="13" max="13" width="17" style="16" customWidth="1"/>
    <col min="14" max="14" width="14.26953125" style="14" customWidth="1"/>
    <col min="15" max="15" width="21.453125" style="14" bestFit="1" customWidth="1"/>
    <col min="16" max="16" width="32.26953125" style="14" customWidth="1"/>
    <col min="17" max="17" width="11.453125" style="14" customWidth="1"/>
    <col min="18" max="24" width="0" style="14" hidden="1" customWidth="1"/>
    <col min="25" max="25" width="15.453125" style="14" bestFit="1" customWidth="1"/>
    <col min="26" max="26" width="17.453125" style="14" bestFit="1" customWidth="1"/>
    <col min="27" max="34" width="0" style="14" hidden="1" customWidth="1"/>
    <col min="35" max="16384" width="10.453125" style="14"/>
  </cols>
  <sheetData>
    <row r="2" spans="1:34 16384:16384">
      <c r="H2" s="1484" t="s">
        <v>726</v>
      </c>
      <c r="I2" s="1484"/>
      <c r="J2" s="1484"/>
      <c r="K2" s="1484"/>
      <c r="L2" s="17"/>
      <c r="M2" s="17"/>
      <c r="N2" s="17"/>
      <c r="O2" s="17"/>
      <c r="P2" s="17"/>
    </row>
    <row r="3" spans="1:34 16384:16384">
      <c r="H3" s="14" t="s">
        <v>213</v>
      </c>
      <c r="I3" s="14" t="e" vm="1">
        <v>#VALUE!</v>
      </c>
      <c r="N3"/>
      <c r="O3"/>
      <c r="P3"/>
    </row>
    <row r="4" spans="1:34 16384:16384">
      <c r="E4" s="1484" t="s">
        <v>727</v>
      </c>
      <c r="F4" s="1484"/>
      <c r="G4" s="1484"/>
      <c r="H4" s="1484"/>
      <c r="I4" s="1484"/>
      <c r="J4" s="1484"/>
      <c r="K4" s="1484"/>
      <c r="L4" s="1484"/>
      <c r="M4" s="1484"/>
      <c r="N4" s="1484"/>
      <c r="O4"/>
      <c r="P4"/>
    </row>
    <row r="5" spans="1:34 16384:16384">
      <c r="A5" s="41" t="s">
        <v>728</v>
      </c>
      <c r="B5" s="323">
        <v>2024</v>
      </c>
      <c r="C5" s="323">
        <f>B5-1</f>
        <v>2023</v>
      </c>
      <c r="D5" s="323">
        <f>C5-1</f>
        <v>2022</v>
      </c>
      <c r="E5" s="323">
        <f t="shared" ref="E5:N5" si="0">D5-1</f>
        <v>2021</v>
      </c>
      <c r="F5" s="323">
        <f t="shared" si="0"/>
        <v>2020</v>
      </c>
      <c r="G5" s="323">
        <f t="shared" si="0"/>
        <v>2019</v>
      </c>
      <c r="H5" s="323">
        <f t="shared" si="0"/>
        <v>2018</v>
      </c>
      <c r="I5" s="323">
        <f t="shared" si="0"/>
        <v>2017</v>
      </c>
      <c r="J5" s="323">
        <f t="shared" si="0"/>
        <v>2016</v>
      </c>
      <c r="K5" s="323">
        <f t="shared" si="0"/>
        <v>2015</v>
      </c>
      <c r="L5" s="323">
        <f t="shared" si="0"/>
        <v>2014</v>
      </c>
      <c r="M5" s="323">
        <f t="shared" si="0"/>
        <v>2013</v>
      </c>
      <c r="N5" s="323">
        <f t="shared" si="0"/>
        <v>2012</v>
      </c>
      <c r="O5"/>
      <c r="P5"/>
      <c r="R5" s="5" t="s">
        <v>729</v>
      </c>
      <c r="S5" s="1485" t="s">
        <v>730</v>
      </c>
      <c r="T5" s="1485"/>
      <c r="U5" s="14" t="s">
        <v>731</v>
      </c>
      <c r="AA5" s="41">
        <v>2016</v>
      </c>
      <c r="AB5" s="41">
        <v>2015</v>
      </c>
      <c r="AC5" s="41">
        <v>2014</v>
      </c>
      <c r="AD5" s="41">
        <v>2013</v>
      </c>
      <c r="AE5" s="41">
        <v>2012</v>
      </c>
      <c r="AF5" s="41">
        <v>2011</v>
      </c>
      <c r="AG5" s="41">
        <v>2010</v>
      </c>
      <c r="AH5" s="41">
        <v>2009</v>
      </c>
    </row>
    <row r="6" spans="1:34 16384:16384">
      <c r="A6" s="18" t="s">
        <v>128</v>
      </c>
      <c r="B6" s="249">
        <v>9961.7999999999993</v>
      </c>
      <c r="C6" s="249">
        <v>9452.6</v>
      </c>
      <c r="D6" s="249">
        <v>8820.7000000000007</v>
      </c>
      <c r="E6" s="249">
        <v>8614.9</v>
      </c>
      <c r="F6" s="249">
        <v>8343.5</v>
      </c>
      <c r="G6" s="249">
        <v>8116</v>
      </c>
      <c r="H6" s="660">
        <v>7585</v>
      </c>
      <c r="I6" s="249">
        <v>7331.5</v>
      </c>
      <c r="J6" s="249">
        <f>6548.4</f>
        <v>6548.4</v>
      </c>
      <c r="K6" s="249">
        <v>6028</v>
      </c>
      <c r="L6" s="249">
        <f>4867.7</f>
        <v>4867.7</v>
      </c>
      <c r="M6" s="249">
        <f>2796.1</f>
        <v>2796.1</v>
      </c>
      <c r="N6" s="249">
        <f>2654.3</f>
        <v>2654.3</v>
      </c>
      <c r="O6" s="20" t="s">
        <v>732</v>
      </c>
      <c r="P6" t="s">
        <v>733</v>
      </c>
      <c r="Q6"/>
      <c r="R6" s="14" t="s">
        <v>734</v>
      </c>
      <c r="S6" s="14" t="s">
        <v>734</v>
      </c>
      <c r="Y6" s="21"/>
      <c r="Z6" s="21"/>
      <c r="AA6" s="19">
        <v>38537</v>
      </c>
      <c r="AB6" s="19">
        <v>47011</v>
      </c>
      <c r="AC6" s="19">
        <v>55184</v>
      </c>
      <c r="AD6" s="19">
        <v>55656</v>
      </c>
      <c r="AE6" s="19">
        <v>65875</v>
      </c>
      <c r="AF6" s="19">
        <v>60138</v>
      </c>
      <c r="AG6" s="19">
        <v>42588</v>
      </c>
      <c r="AH6" s="19">
        <v>32396</v>
      </c>
    </row>
    <row r="7" spans="1:34 16384:16384">
      <c r="A7" s="18" t="s">
        <v>685</v>
      </c>
      <c r="B7" s="249">
        <v>5017.5</v>
      </c>
      <c r="C7" s="249">
        <v>4770</v>
      </c>
      <c r="D7" s="249">
        <v>4698.8</v>
      </c>
      <c r="E7" s="249">
        <v>4466</v>
      </c>
      <c r="F7" s="249">
        <v>4151.8999999999996</v>
      </c>
      <c r="G7" s="249">
        <f>4078.5</f>
        <v>4078.5</v>
      </c>
      <c r="H7" s="249">
        <v>3817.2</v>
      </c>
      <c r="I7" s="249">
        <v>3529.4</v>
      </c>
      <c r="J7" s="249">
        <v>2942.3</v>
      </c>
      <c r="K7" s="249">
        <v>2670.8</v>
      </c>
      <c r="L7" s="249">
        <f>1991.7</f>
        <v>1991.7</v>
      </c>
      <c r="M7" s="249">
        <f>1108.3</f>
        <v>1108.3</v>
      </c>
      <c r="N7" s="249">
        <f>1062.1</f>
        <v>1062.0999999999999</v>
      </c>
      <c r="O7" s="20" t="s">
        <v>732</v>
      </c>
      <c r="P7" t="str">
        <f>+A7</f>
        <v>Gross Profit</v>
      </c>
      <c r="Q7"/>
      <c r="R7" s="14" t="s">
        <v>734</v>
      </c>
      <c r="S7" s="14" t="s">
        <v>735</v>
      </c>
      <c r="AA7" s="23">
        <f>AA6-28044</f>
        <v>10493</v>
      </c>
      <c r="AB7" s="23">
        <f>AB6-33546</f>
        <v>13465</v>
      </c>
      <c r="AC7" s="23">
        <f>AC6-40718</f>
        <v>14466</v>
      </c>
      <c r="AD7" s="23">
        <f>AD6-40727</f>
        <v>14929</v>
      </c>
      <c r="AE7" s="24">
        <f>+AE6-47055</f>
        <v>18820</v>
      </c>
      <c r="AF7" s="24">
        <f>+AF6-43578</f>
        <v>16560</v>
      </c>
      <c r="AG7" s="24">
        <f>+AG6-30367</f>
        <v>12221</v>
      </c>
      <c r="AH7" s="24">
        <f>+AH6-23886</f>
        <v>8510</v>
      </c>
    </row>
    <row r="8" spans="1:34 16384:16384">
      <c r="A8" s="18" t="s">
        <v>312</v>
      </c>
      <c r="B8" s="249">
        <v>3169.7</v>
      </c>
      <c r="C8" s="249">
        <v>2842.9</v>
      </c>
      <c r="D8" s="249">
        <v>2331.6999999999998</v>
      </c>
      <c r="E8" s="249">
        <v>2791.1</v>
      </c>
      <c r="F8" s="249">
        <v>2154.5</v>
      </c>
      <c r="G8" s="249">
        <v>2412.1999999999998</v>
      </c>
      <c r="H8" s="661">
        <f>2284.5</f>
        <v>2284.5</v>
      </c>
      <c r="I8" s="660">
        <f>2399.4</f>
        <v>2399.4</v>
      </c>
      <c r="J8" s="249">
        <v>1765.1</v>
      </c>
      <c r="K8" s="249">
        <v>1500.2</v>
      </c>
      <c r="L8" s="249">
        <f>2437.7-1642</f>
        <v>795.69999999999982</v>
      </c>
      <c r="M8" s="249">
        <f>522.9</f>
        <v>522.9</v>
      </c>
      <c r="N8" s="324">
        <f>486.5</f>
        <v>486.5</v>
      </c>
      <c r="O8" s="20" t="s">
        <v>732</v>
      </c>
      <c r="P8" t="s">
        <v>312</v>
      </c>
      <c r="Q8"/>
      <c r="R8" s="14" t="s">
        <v>734</v>
      </c>
      <c r="S8" s="25" t="s">
        <v>736</v>
      </c>
      <c r="AA8" s="23">
        <f>AA7-4383</f>
        <v>6110</v>
      </c>
      <c r="AB8" s="23">
        <f>AB7-4951</f>
        <v>8514</v>
      </c>
      <c r="AC8" s="23">
        <f>AC7-6529</f>
        <v>7937</v>
      </c>
      <c r="AD8" s="23">
        <f>AD7-5547</f>
        <v>9382</v>
      </c>
      <c r="AE8" s="24">
        <f>AE7-5919-2466-797-580-485</f>
        <v>8573</v>
      </c>
      <c r="AF8" s="24">
        <f>+AF7-5203-2297-826-1081</f>
        <v>7153</v>
      </c>
      <c r="AG8" s="24">
        <f>+AG7-4248-1905-914-1191</f>
        <v>3963</v>
      </c>
      <c r="AH8" s="24">
        <f>+AH7-3645-1421-1045-1822</f>
        <v>577</v>
      </c>
    </row>
    <row r="9" spans="1:34 16384:16384">
      <c r="A9" s="18" t="s">
        <v>689</v>
      </c>
      <c r="B9" s="249">
        <f>-511.8-0.7</f>
        <v>-512.5</v>
      </c>
      <c r="C9" s="655">
        <v>-2060.6</v>
      </c>
      <c r="D9" s="655">
        <v>-1664.9</v>
      </c>
      <c r="E9" s="249">
        <v>137.5</v>
      </c>
      <c r="F9" s="655">
        <v>-2668.6</v>
      </c>
      <c r="G9" s="655">
        <v>2099.9</v>
      </c>
      <c r="H9" s="249">
        <v>487.2</v>
      </c>
      <c r="I9" s="249">
        <f>27.3</f>
        <v>27.3</v>
      </c>
      <c r="J9" s="249">
        <v>51.1</v>
      </c>
      <c r="K9" s="249">
        <v>21.5</v>
      </c>
      <c r="L9" s="249">
        <f>87.8+1642</f>
        <v>1729.8</v>
      </c>
      <c r="M9" s="249">
        <f>233.1</f>
        <v>233.1</v>
      </c>
      <c r="N9" s="249">
        <v>228.5</v>
      </c>
      <c r="O9" s="20" t="s">
        <v>732</v>
      </c>
      <c r="P9" t="s">
        <v>737</v>
      </c>
      <c r="Q9"/>
      <c r="R9" s="14" t="s">
        <v>734</v>
      </c>
      <c r="S9" s="14" t="s">
        <v>738</v>
      </c>
      <c r="T9" s="14" t="s">
        <v>739</v>
      </c>
      <c r="U9" s="14" t="s">
        <v>740</v>
      </c>
      <c r="V9" s="14" t="s">
        <v>741</v>
      </c>
      <c r="W9" s="14" t="s">
        <v>742</v>
      </c>
      <c r="AA9" s="23">
        <f>1853+596+595+1904+6+8</f>
        <v>4962</v>
      </c>
      <c r="AB9" s="23">
        <f>2119+587+2023+11</f>
        <v>4740</v>
      </c>
      <c r="AC9" s="23">
        <f>2380+624+1619-8+16</f>
        <v>4631</v>
      </c>
      <c r="AD9" s="23">
        <f>2046+727+981+6+14</f>
        <v>3774</v>
      </c>
      <c r="AE9" s="24">
        <f>-14+41</f>
        <v>27</v>
      </c>
      <c r="AF9" s="23">
        <v>53</v>
      </c>
      <c r="AG9" s="23">
        <f>58+24</f>
        <v>82</v>
      </c>
      <c r="AH9" s="23">
        <f>12-68</f>
        <v>-56</v>
      </c>
    </row>
    <row r="10" spans="1:34 16384:16384">
      <c r="A10" s="18" t="s">
        <v>313</v>
      </c>
      <c r="B10" s="249">
        <v>-435.4</v>
      </c>
      <c r="C10" s="249">
        <v>-398.7</v>
      </c>
      <c r="D10" s="249">
        <v>-356.4</v>
      </c>
      <c r="E10" s="249">
        <v>-385.7</v>
      </c>
      <c r="F10" s="249">
        <f>-428.7-2.4</f>
        <v>-431.09999999999997</v>
      </c>
      <c r="G10" s="249">
        <v>-367.1</v>
      </c>
      <c r="H10" s="249">
        <f>-332-97</f>
        <v>-429</v>
      </c>
      <c r="I10" s="249">
        <v>-333.3</v>
      </c>
      <c r="J10" s="249">
        <v>-315</v>
      </c>
      <c r="K10" s="249">
        <v>-342.09999999999997</v>
      </c>
      <c r="L10" s="249">
        <f>-323.2</f>
        <v>-323.2</v>
      </c>
      <c r="M10" s="249">
        <f>-227.1-12.5</f>
        <v>-239.6</v>
      </c>
      <c r="N10" s="249">
        <f>-181</f>
        <v>-181</v>
      </c>
      <c r="O10" s="20" t="s">
        <v>732</v>
      </c>
      <c r="P10" t="s">
        <v>743</v>
      </c>
      <c r="Q10"/>
      <c r="R10" s="14" t="s">
        <v>734</v>
      </c>
      <c r="S10" s="14" t="s">
        <v>744</v>
      </c>
      <c r="AA10" s="23">
        <f>505+518</f>
        <v>1023</v>
      </c>
      <c r="AB10" s="23">
        <f>507-161</f>
        <v>346</v>
      </c>
      <c r="AC10" s="23">
        <f>484-322</f>
        <v>162</v>
      </c>
      <c r="AD10" s="23">
        <f>465+35</f>
        <v>500</v>
      </c>
      <c r="AE10" s="24">
        <f>467-130</f>
        <v>337</v>
      </c>
      <c r="AF10" s="23">
        <f>396+32</f>
        <v>428</v>
      </c>
      <c r="AG10" s="23">
        <f>343-130</f>
        <v>213</v>
      </c>
      <c r="AH10" s="23">
        <f>389-381</f>
        <v>8</v>
      </c>
    </row>
    <row r="11" spans="1:34 16384:16384">
      <c r="A11" s="18" t="s">
        <v>314</v>
      </c>
      <c r="B11" s="249">
        <v>-456.6</v>
      </c>
      <c r="C11" s="249">
        <v>-422.1</v>
      </c>
      <c r="D11" s="249">
        <v>-309.39999999999998</v>
      </c>
      <c r="E11" s="249">
        <v>-511.1</v>
      </c>
      <c r="F11" s="249">
        <v>966.6</v>
      </c>
      <c r="G11" s="249">
        <v>-685.9</v>
      </c>
      <c r="H11" s="249">
        <v>-11.9</v>
      </c>
      <c r="I11" s="249">
        <v>-554.20000000000005</v>
      </c>
      <c r="J11" s="249">
        <v>-440.6</v>
      </c>
      <c r="K11" s="249">
        <v>-343.4</v>
      </c>
      <c r="L11" s="249">
        <f>-259.2</f>
        <v>-259.2</v>
      </c>
      <c r="M11" s="249">
        <f>-128.6</f>
        <v>-128.6</v>
      </c>
      <c r="N11" s="249">
        <f>-89</f>
        <v>-89</v>
      </c>
      <c r="O11" s="20" t="s">
        <v>732</v>
      </c>
      <c r="P11" t="s">
        <v>314</v>
      </c>
      <c r="Q11"/>
      <c r="R11" s="14" t="s">
        <v>734</v>
      </c>
      <c r="S11" s="14" t="s">
        <v>745</v>
      </c>
      <c r="AA11" s="19">
        <v>192</v>
      </c>
      <c r="AB11" s="19">
        <v>916</v>
      </c>
      <c r="AC11" s="19">
        <v>692</v>
      </c>
      <c r="AD11" s="19">
        <v>1319</v>
      </c>
      <c r="AE11" s="22">
        <f>2528</f>
        <v>2528</v>
      </c>
      <c r="AF11" s="19">
        <f>1720</f>
        <v>1720</v>
      </c>
      <c r="AG11" s="19">
        <f>968</f>
        <v>968</v>
      </c>
      <c r="AH11" s="19">
        <f>-270</f>
        <v>-270</v>
      </c>
    </row>
    <row r="12" spans="1:34 16384:16384">
      <c r="A12" s="18" t="s">
        <v>67</v>
      </c>
      <c r="B12" s="249">
        <v>1765.2</v>
      </c>
      <c r="C12" s="249">
        <v>-38.5</v>
      </c>
      <c r="D12" s="249">
        <v>1</v>
      </c>
      <c r="E12" s="249">
        <v>2031.8</v>
      </c>
      <c r="F12" s="249">
        <v>21.4</v>
      </c>
      <c r="G12" s="249">
        <f>3459.1</f>
        <v>3459.1</v>
      </c>
      <c r="H12" s="249">
        <v>2330.8000000000002</v>
      </c>
      <c r="I12" s="249">
        <v>1539.2</v>
      </c>
      <c r="J12" s="249">
        <v>1060.5999999999999</v>
      </c>
      <c r="K12" s="249">
        <v>836.2</v>
      </c>
      <c r="L12" s="249">
        <f>1943.1</f>
        <v>1943.1</v>
      </c>
      <c r="M12" s="249">
        <f>387.8</f>
        <v>387.8</v>
      </c>
      <c r="N12" s="249">
        <f>445</f>
        <v>445</v>
      </c>
      <c r="O12" s="20" t="s">
        <v>732</v>
      </c>
      <c r="P12" t="s">
        <v>67</v>
      </c>
      <c r="Q12"/>
      <c r="R12" s="14" t="s">
        <v>746</v>
      </c>
      <c r="S12" s="14" t="s">
        <v>747</v>
      </c>
      <c r="AA12" s="19">
        <v>-67</v>
      </c>
      <c r="AB12" s="19">
        <v>2512</v>
      </c>
      <c r="AC12" s="19">
        <v>2452</v>
      </c>
      <c r="AD12" s="19">
        <v>3789</v>
      </c>
      <c r="AE12" s="19">
        <v>5681</v>
      </c>
      <c r="AF12" s="19">
        <f>4928+24</f>
        <v>4952</v>
      </c>
      <c r="AG12" s="19">
        <v>2700</v>
      </c>
      <c r="AH12" s="19">
        <v>895</v>
      </c>
    </row>
    <row r="13" spans="1:34 16384:16384">
      <c r="B13" s="325">
        <f>SUM(B8:B11)</f>
        <v>1765.1999999999998</v>
      </c>
      <c r="C13" s="325">
        <f>SUM(C8:C11)</f>
        <v>-38.499999999999829</v>
      </c>
      <c r="D13" s="325">
        <f t="shared" ref="D13:N13" si="1">SUM(D8:D11)</f>
        <v>0.99999999999977263</v>
      </c>
      <c r="E13" s="325">
        <f t="shared" si="1"/>
        <v>2031.8000000000002</v>
      </c>
      <c r="F13" s="325">
        <f t="shared" si="1"/>
        <v>21.400000000000205</v>
      </c>
      <c r="G13" s="325">
        <f t="shared" si="1"/>
        <v>3459.1</v>
      </c>
      <c r="H13" s="325">
        <f t="shared" si="1"/>
        <v>2330.7999999999997</v>
      </c>
      <c r="I13" s="325">
        <f t="shared" si="1"/>
        <v>1539.2</v>
      </c>
      <c r="J13" s="325">
        <f t="shared" si="1"/>
        <v>1060.5999999999999</v>
      </c>
      <c r="K13" s="325">
        <f t="shared" si="1"/>
        <v>836.20000000000016</v>
      </c>
      <c r="L13" s="325">
        <f t="shared" si="1"/>
        <v>1943.1000000000001</v>
      </c>
      <c r="M13" s="325">
        <f>SUM(M8:M11)</f>
        <v>387.79999999999995</v>
      </c>
      <c r="N13" s="325">
        <f t="shared" si="1"/>
        <v>445</v>
      </c>
      <c r="O13"/>
      <c r="P13"/>
      <c r="Q13"/>
      <c r="AA13" s="16">
        <f t="shared" ref="AA13:AH13" si="2">AA8-AA10-AA9-AA11</f>
        <v>-67</v>
      </c>
      <c r="AB13" s="16">
        <f t="shared" si="2"/>
        <v>2512</v>
      </c>
      <c r="AC13" s="16">
        <f t="shared" si="2"/>
        <v>2452</v>
      </c>
      <c r="AD13" s="16">
        <f t="shared" si="2"/>
        <v>3789</v>
      </c>
      <c r="AE13" s="16">
        <f t="shared" si="2"/>
        <v>5681</v>
      </c>
      <c r="AF13" s="16">
        <f t="shared" si="2"/>
        <v>4952</v>
      </c>
      <c r="AG13" s="16">
        <f t="shared" si="2"/>
        <v>2700</v>
      </c>
      <c r="AH13" s="16">
        <f t="shared" si="2"/>
        <v>895</v>
      </c>
    </row>
    <row r="14" spans="1:34 16384:16384">
      <c r="A14" s="41" t="s">
        <v>748</v>
      </c>
      <c r="B14" s="326">
        <f>B12-B13</f>
        <v>0</v>
      </c>
      <c r="C14" s="326">
        <f>C12-C13</f>
        <v>-1.7053025658242404E-13</v>
      </c>
      <c r="D14" s="326">
        <f t="shared" ref="D14:N14" si="3">D12-D13</f>
        <v>2.2737367544323206E-13</v>
      </c>
      <c r="E14" s="326">
        <f t="shared" si="3"/>
        <v>0</v>
      </c>
      <c r="F14" s="326">
        <f t="shared" si="3"/>
        <v>-2.0605739337042905E-13</v>
      </c>
      <c r="G14" s="326">
        <f t="shared" si="3"/>
        <v>0</v>
      </c>
      <c r="H14" s="326">
        <f>H12-H13</f>
        <v>0</v>
      </c>
      <c r="I14" s="326">
        <f t="shared" si="3"/>
        <v>0</v>
      </c>
      <c r="J14" s="326">
        <f t="shared" si="3"/>
        <v>0</v>
      </c>
      <c r="K14" s="326">
        <f t="shared" si="3"/>
        <v>0</v>
      </c>
      <c r="L14" s="326">
        <f t="shared" si="3"/>
        <v>0</v>
      </c>
      <c r="M14" s="326">
        <f t="shared" si="3"/>
        <v>0</v>
      </c>
      <c r="N14" s="326">
        <f t="shared" si="3"/>
        <v>0</v>
      </c>
      <c r="O14"/>
      <c r="P14"/>
      <c r="Q14"/>
      <c r="AA14" s="27">
        <f t="shared" ref="AA14:AH14" si="4">AA12-AA13</f>
        <v>0</v>
      </c>
      <c r="AB14" s="27">
        <f t="shared" si="4"/>
        <v>0</v>
      </c>
      <c r="AC14" s="27">
        <f t="shared" si="4"/>
        <v>0</v>
      </c>
      <c r="AD14" s="27">
        <f t="shared" si="4"/>
        <v>0</v>
      </c>
      <c r="AE14" s="27">
        <f t="shared" si="4"/>
        <v>0</v>
      </c>
      <c r="AF14" s="27">
        <f t="shared" si="4"/>
        <v>0</v>
      </c>
      <c r="AG14" s="27">
        <f t="shared" si="4"/>
        <v>0</v>
      </c>
      <c r="AH14" s="27">
        <f t="shared" si="4"/>
        <v>0</v>
      </c>
    </row>
    <row r="15" spans="1:34 16384:16384">
      <c r="A15"/>
      <c r="B15" s="797"/>
      <c r="C15" s="797"/>
      <c r="D15" s="797"/>
      <c r="E15" s="797"/>
      <c r="F15" s="797"/>
      <c r="G15" s="797"/>
      <c r="H15" s="797"/>
      <c r="I15" s="797"/>
      <c r="J15" s="797"/>
      <c r="K15" s="797"/>
      <c r="L15" s="797"/>
      <c r="M15" s="797"/>
      <c r="N15" s="797"/>
      <c r="O15" s="259"/>
      <c r="P15"/>
      <c r="Q15"/>
      <c r="AA15" s="19"/>
      <c r="AB15" s="19"/>
      <c r="AC15" s="19"/>
      <c r="AD15" s="19"/>
      <c r="AE15" s="19"/>
      <c r="AF15" s="19"/>
      <c r="AG15" s="19"/>
      <c r="AH15" s="19"/>
      <c r="XFD15" s="5"/>
    </row>
    <row r="16" spans="1:34 16384:16384">
      <c r="A16" s="18" t="s">
        <v>749</v>
      </c>
      <c r="B16" s="327">
        <v>183.30699999999999</v>
      </c>
      <c r="C16" s="327">
        <v>169.33699999999999</v>
      </c>
      <c r="D16" s="327">
        <v>167.43100000000001</v>
      </c>
      <c r="E16" s="327">
        <v>170.239</v>
      </c>
      <c r="F16" s="327">
        <f>168.329</f>
        <v>168.32900000000001</v>
      </c>
      <c r="G16" s="327">
        <v>167.249</v>
      </c>
      <c r="H16" s="327">
        <v>171.45699999999999</v>
      </c>
      <c r="I16" s="327">
        <v>175.934</v>
      </c>
      <c r="J16" s="327">
        <v>173.38300000000001</v>
      </c>
      <c r="K16" s="327">
        <v>169.32499999999999</v>
      </c>
      <c r="L16" s="327">
        <v>164.69</v>
      </c>
      <c r="M16" s="327">
        <v>158.65799999999999</v>
      </c>
      <c r="N16" s="327">
        <v>180.72399999999999</v>
      </c>
      <c r="O16" s="20"/>
      <c r="P16"/>
      <c r="Q16"/>
      <c r="AA16" s="19"/>
      <c r="AB16" s="19"/>
      <c r="AC16" s="19"/>
      <c r="AD16" s="19"/>
      <c r="AE16" s="19"/>
      <c r="AF16" s="19"/>
      <c r="AG16" s="19"/>
      <c r="AH16" s="19"/>
    </row>
    <row r="17" spans="1:34">
      <c r="A17" s="18" t="s">
        <v>750</v>
      </c>
      <c r="B17" s="327">
        <v>183.959</v>
      </c>
      <c r="C17" s="327">
        <v>169.33699999999999</v>
      </c>
      <c r="D17" s="327">
        <v>167.43100000000001</v>
      </c>
      <c r="E17" s="327">
        <f>195.308</f>
        <v>195.30799999999999</v>
      </c>
      <c r="F17" s="327">
        <f>168.329</f>
        <v>168.32900000000001</v>
      </c>
      <c r="G17" s="327">
        <f>195.532</f>
        <v>195.53200000000001</v>
      </c>
      <c r="H17" s="327">
        <v>200.745</v>
      </c>
      <c r="I17" s="327">
        <v>204.09899999999999</v>
      </c>
      <c r="J17" s="327">
        <v>203.821</v>
      </c>
      <c r="K17" s="327">
        <v>201.22399999999999</v>
      </c>
      <c r="L17" s="327">
        <v>197.57</v>
      </c>
      <c r="M17" s="327">
        <v>190.30699999999999</v>
      </c>
      <c r="N17" s="327">
        <v>208.655</v>
      </c>
      <c r="O17" s="20"/>
      <c r="P17"/>
      <c r="Q17" s="258"/>
      <c r="R17" s="21">
        <v>208655</v>
      </c>
      <c r="S17" s="21">
        <v>208655</v>
      </c>
      <c r="AA17" s="19"/>
      <c r="AB17" s="19"/>
      <c r="AC17" s="19"/>
      <c r="AD17" s="19"/>
      <c r="AE17" s="19"/>
      <c r="AF17" s="19"/>
      <c r="AG17" s="19"/>
      <c r="AH17" s="19"/>
    </row>
    <row r="18" spans="1:34" customFormat="1" ht="12.5">
      <c r="B18" s="328"/>
      <c r="C18" s="328"/>
      <c r="D18" s="328"/>
      <c r="N18" s="328"/>
    </row>
    <row r="19" spans="1:34">
      <c r="A19" s="18" t="s">
        <v>751</v>
      </c>
      <c r="B19" s="692">
        <v>293.10000000000002</v>
      </c>
      <c r="C19" s="692">
        <v>274.60000000000002</v>
      </c>
      <c r="D19" s="692">
        <v>-40.4</v>
      </c>
      <c r="E19" s="692">
        <v>-56</v>
      </c>
      <c r="F19" s="692">
        <v>60.8</v>
      </c>
      <c r="G19" s="692">
        <v>-196.8</v>
      </c>
      <c r="H19" s="692">
        <v>153.80000000000001</v>
      </c>
      <c r="I19" s="692">
        <v>22.1</v>
      </c>
      <c r="J19" s="692">
        <v>323.3</v>
      </c>
      <c r="K19" s="692">
        <v>191</v>
      </c>
      <c r="L19" s="692">
        <v>-66.8</v>
      </c>
      <c r="M19" s="692">
        <v>-37.4</v>
      </c>
      <c r="N19" s="692">
        <v>14.6</v>
      </c>
      <c r="O19" s="20"/>
      <c r="P19"/>
      <c r="Q19"/>
      <c r="AA19" s="19"/>
      <c r="AB19" s="19"/>
      <c r="AC19" s="19"/>
      <c r="AD19" s="19"/>
      <c r="AE19" s="19"/>
      <c r="AF19" s="19"/>
      <c r="AG19" s="19"/>
      <c r="AH19" s="19"/>
    </row>
    <row r="20" spans="1:34">
      <c r="A20" s="5" t="s">
        <v>752</v>
      </c>
      <c r="B20" s="693">
        <v>2075.6999999999998</v>
      </c>
      <c r="C20" s="693">
        <v>370.2</v>
      </c>
      <c r="D20" s="693">
        <v>117.6</v>
      </c>
      <c r="E20" s="693">
        <v>1928.8</v>
      </c>
      <c r="F20" s="693">
        <v>75.8</v>
      </c>
      <c r="G20" s="693">
        <v>3284.9</v>
      </c>
      <c r="H20" s="693">
        <v>2515.8000000000002</v>
      </c>
      <c r="I20" s="693">
        <v>1587.8</v>
      </c>
      <c r="J20" s="693">
        <v>733.3</v>
      </c>
      <c r="K20" s="693">
        <v>622.4</v>
      </c>
      <c r="L20" s="693">
        <v>1897</v>
      </c>
      <c r="M20" s="693">
        <v>346.2</v>
      </c>
      <c r="N20" s="693">
        <v>429.9</v>
      </c>
      <c r="O20" s="20"/>
      <c r="P20"/>
      <c r="Q20"/>
      <c r="AA20" s="19"/>
      <c r="AB20" s="19"/>
      <c r="AC20" s="19"/>
      <c r="AD20" s="19"/>
      <c r="AE20" s="19"/>
      <c r="AF20" s="19"/>
      <c r="AG20" s="19"/>
      <c r="AH20" s="19"/>
    </row>
    <row r="21" spans="1:34" customFormat="1" ht="12.5">
      <c r="B21" s="328"/>
      <c r="C21" s="328"/>
      <c r="D21" s="328"/>
      <c r="E21" s="328"/>
      <c r="F21" s="328"/>
      <c r="G21" s="328"/>
      <c r="H21" s="328"/>
      <c r="K21" s="328"/>
      <c r="L21" s="328"/>
      <c r="M21" s="328"/>
      <c r="N21" s="328"/>
    </row>
    <row r="22" spans="1:34">
      <c r="A22" s="14" t="s">
        <v>690</v>
      </c>
      <c r="B22" s="325">
        <f>B23-C23</f>
        <v>41.100000000000477</v>
      </c>
      <c r="C22" s="325">
        <f t="shared" ref="C22:K22" si="5">C23-D23</f>
        <v>-37.199999999999932</v>
      </c>
      <c r="D22" s="325">
        <f t="shared" si="5"/>
        <v>-883.30000000000052</v>
      </c>
      <c r="E22" s="325">
        <f>E23-F23</f>
        <v>223.90000000000055</v>
      </c>
      <c r="F22" s="325">
        <f t="shared" si="5"/>
        <v>664.29999999999984</v>
      </c>
      <c r="G22" s="325">
        <f t="shared" si="5"/>
        <v>-917.50000000000034</v>
      </c>
      <c r="H22" s="325">
        <f t="shared" si="5"/>
        <v>989.1</v>
      </c>
      <c r="I22" s="325">
        <f t="shared" si="5"/>
        <v>-267.19999999999959</v>
      </c>
      <c r="J22" s="325">
        <f>J23-K23</f>
        <v>-1047.8000000000006</v>
      </c>
      <c r="K22" s="325">
        <f t="shared" si="5"/>
        <v>1012.4000000000004</v>
      </c>
      <c r="L22" s="325">
        <f>L23-M23</f>
        <v>-804.19999999999993</v>
      </c>
      <c r="M22" s="325">
        <f>M23-N23</f>
        <v>703.99999999999955</v>
      </c>
      <c r="N22" s="325" t="s">
        <v>70</v>
      </c>
      <c r="O22" s="26" t="s">
        <v>753</v>
      </c>
      <c r="P22" t="s">
        <v>754</v>
      </c>
      <c r="Q22"/>
      <c r="R22" s="14" t="s">
        <v>746</v>
      </c>
      <c r="AA22" s="19"/>
      <c r="AB22" s="19"/>
      <c r="AC22" s="19"/>
      <c r="AD22" s="19"/>
      <c r="AE22" s="22"/>
      <c r="AF22" s="19"/>
      <c r="AG22" s="19"/>
      <c r="AH22" s="19"/>
    </row>
    <row r="23" spans="1:34">
      <c r="A23" s="18" t="s">
        <v>755</v>
      </c>
      <c r="B23" s="249">
        <f t="shared" ref="B23:C23" si="6">B27-B42-B28</f>
        <v>435.4000000000002</v>
      </c>
      <c r="C23" s="249">
        <f t="shared" si="6"/>
        <v>394.29999999999973</v>
      </c>
      <c r="D23" s="249">
        <f t="shared" ref="D23:N23" si="7">D27-D42-D28</f>
        <v>431.49999999999966</v>
      </c>
      <c r="E23" s="249">
        <f t="shared" si="7"/>
        <v>1314.8000000000002</v>
      </c>
      <c r="F23" s="249">
        <f t="shared" si="7"/>
        <v>1090.8999999999996</v>
      </c>
      <c r="G23" s="249">
        <f t="shared" si="7"/>
        <v>426.5999999999998</v>
      </c>
      <c r="H23" s="249">
        <f t="shared" si="7"/>
        <v>1344.1000000000001</v>
      </c>
      <c r="I23" s="249">
        <f t="shared" si="7"/>
        <v>355.00000000000011</v>
      </c>
      <c r="J23" s="249">
        <f t="shared" si="7"/>
        <v>622.1999999999997</v>
      </c>
      <c r="K23" s="249">
        <f t="shared" si="7"/>
        <v>1670.0000000000002</v>
      </c>
      <c r="L23" s="249">
        <f t="shared" si="7"/>
        <v>657.5999999999998</v>
      </c>
      <c r="M23" s="249">
        <f t="shared" si="7"/>
        <v>1461.7999999999997</v>
      </c>
      <c r="N23" s="249">
        <f t="shared" si="7"/>
        <v>757.80000000000018</v>
      </c>
      <c r="O23" s="26"/>
      <c r="P23"/>
      <c r="Q23"/>
      <c r="AA23" s="19"/>
      <c r="AB23" s="19"/>
      <c r="AC23" s="19"/>
      <c r="AD23" s="19"/>
      <c r="AE23" s="22"/>
      <c r="AF23" s="19"/>
      <c r="AG23" s="19"/>
      <c r="AH23" s="19"/>
    </row>
    <row r="24" spans="1:34">
      <c r="A24" s="3">
        <v>2625</v>
      </c>
      <c r="B24" s="329"/>
      <c r="C24" s="329">
        <v>2625</v>
      </c>
      <c r="D24" s="329">
        <v>2625</v>
      </c>
      <c r="E24" s="329">
        <v>2625</v>
      </c>
      <c r="F24" s="329">
        <v>2625</v>
      </c>
      <c r="G24" s="329">
        <v>2625</v>
      </c>
      <c r="H24" s="329">
        <v>2625</v>
      </c>
      <c r="I24" s="329">
        <v>2625</v>
      </c>
      <c r="J24" s="329">
        <v>2625</v>
      </c>
      <c r="K24" s="329">
        <v>2625</v>
      </c>
      <c r="L24" s="329">
        <v>2625</v>
      </c>
      <c r="M24" s="329">
        <v>2625</v>
      </c>
      <c r="N24" s="329">
        <v>2625</v>
      </c>
      <c r="O24" s="3">
        <v>2625</v>
      </c>
      <c r="P24"/>
      <c r="Q24"/>
      <c r="R24" s="14" t="s">
        <v>746</v>
      </c>
      <c r="S24" s="14" t="s">
        <v>756</v>
      </c>
      <c r="U24" s="14" t="s">
        <v>757</v>
      </c>
      <c r="AA24" s="19">
        <v>1799</v>
      </c>
      <c r="AB24" s="19">
        <v>1757</v>
      </c>
      <c r="AC24" s="19">
        <v>1620</v>
      </c>
      <c r="AD24" s="19">
        <v>1111</v>
      </c>
      <c r="AE24" s="19">
        <v>1617</v>
      </c>
      <c r="AF24" s="19">
        <v>1159</v>
      </c>
      <c r="AG24" s="19">
        <v>1084</v>
      </c>
      <c r="AH24" s="19">
        <v>1029</v>
      </c>
    </row>
    <row r="25" spans="1:34">
      <c r="A25" s="41" t="s">
        <v>471</v>
      </c>
      <c r="B25" s="329"/>
      <c r="C25" s="329">
        <v>2625</v>
      </c>
      <c r="D25" s="329">
        <v>2625</v>
      </c>
      <c r="E25" s="329">
        <v>2625</v>
      </c>
      <c r="F25" s="329">
        <v>2625</v>
      </c>
      <c r="G25" s="329">
        <v>2625</v>
      </c>
      <c r="H25" s="329">
        <v>2625</v>
      </c>
      <c r="I25" s="329"/>
      <c r="J25" s="329">
        <v>2625</v>
      </c>
      <c r="K25" s="329">
        <v>2625</v>
      </c>
      <c r="L25" s="329">
        <v>2625</v>
      </c>
      <c r="M25" s="329">
        <v>2625</v>
      </c>
      <c r="N25" s="329">
        <v>2625</v>
      </c>
      <c r="O25" s="3">
        <v>2625</v>
      </c>
      <c r="P25"/>
      <c r="Q25"/>
      <c r="R25" s="14" t="s">
        <v>746</v>
      </c>
      <c r="S25" s="14" t="s">
        <v>758</v>
      </c>
      <c r="T25" s="14" t="s">
        <v>759</v>
      </c>
      <c r="U25" s="14" t="s">
        <v>760</v>
      </c>
      <c r="AA25" s="19">
        <v>23</v>
      </c>
      <c r="AB25" s="19">
        <f>-33+2025</f>
        <v>1992</v>
      </c>
      <c r="AC25" s="19">
        <v>3817</v>
      </c>
      <c r="AD25" s="19">
        <v>1776</v>
      </c>
      <c r="AE25" s="19">
        <v>-244</v>
      </c>
      <c r="AF25" s="19">
        <v>-312</v>
      </c>
      <c r="AG25" s="19">
        <v>-449</v>
      </c>
      <c r="AH25" s="19">
        <v>-110</v>
      </c>
    </row>
    <row r="26" spans="1:34">
      <c r="A26" s="90" t="s">
        <v>761</v>
      </c>
      <c r="B26" s="389"/>
      <c r="C26" s="389"/>
      <c r="D26" s="389"/>
      <c r="E26" s="389"/>
      <c r="F26" s="389"/>
      <c r="G26" s="389"/>
      <c r="H26" s="389"/>
      <c r="I26" s="389"/>
      <c r="J26" s="389"/>
      <c r="K26" s="389"/>
      <c r="L26" s="389"/>
      <c r="M26" s="389"/>
      <c r="N26" s="389"/>
      <c r="O26" s="3">
        <v>1922</v>
      </c>
      <c r="P26" s="3">
        <v>2625</v>
      </c>
      <c r="Q26"/>
      <c r="AA26" s="19"/>
      <c r="AB26" s="19"/>
      <c r="AC26" s="19"/>
      <c r="AD26" s="19"/>
      <c r="AE26" s="19"/>
      <c r="AF26" s="19"/>
      <c r="AG26" s="19"/>
      <c r="AH26" s="19"/>
    </row>
    <row r="27" spans="1:34">
      <c r="A27" s="5" t="s">
        <v>762</v>
      </c>
      <c r="B27" s="248">
        <f>3729.5</f>
        <v>3729.5</v>
      </c>
      <c r="C27" s="248">
        <f>3496.1</f>
        <v>3496.1</v>
      </c>
      <c r="D27" s="248">
        <f>3329.7</f>
        <v>3329.7</v>
      </c>
      <c r="E27" s="248">
        <f>3044.5</f>
        <v>3044.5</v>
      </c>
      <c r="F27" s="248">
        <f>3484.1</f>
        <v>3484.1</v>
      </c>
      <c r="G27" s="248">
        <f>3684</f>
        <v>3684</v>
      </c>
      <c r="H27" s="248">
        <f>3474</f>
        <v>3474</v>
      </c>
      <c r="I27" s="248">
        <f>3230</f>
        <v>3230</v>
      </c>
      <c r="J27" s="248">
        <f>2977.6</f>
        <v>2977.6</v>
      </c>
      <c r="K27" s="248">
        <f>2910.8</f>
        <v>2910.8</v>
      </c>
      <c r="L27" s="248">
        <f>2747.2</f>
        <v>2747.2</v>
      </c>
      <c r="M27" s="248">
        <f>2471.2</f>
        <v>2471.1999999999998</v>
      </c>
      <c r="N27" s="248">
        <f>2034.2</f>
        <v>2034.2</v>
      </c>
      <c r="O27" s="3"/>
      <c r="P27" s="3"/>
      <c r="Q27"/>
      <c r="AA27" s="19"/>
      <c r="AB27" s="19"/>
      <c r="AC27" s="19"/>
      <c r="AD27" s="19"/>
      <c r="AE27" s="19"/>
      <c r="AF27" s="19"/>
      <c r="AG27" s="19"/>
      <c r="AH27" s="19"/>
    </row>
    <row r="28" spans="1:34">
      <c r="A28" s="87" t="s">
        <v>317</v>
      </c>
      <c r="B28" s="249">
        <v>152.4</v>
      </c>
      <c r="C28" s="249">
        <v>133.5</v>
      </c>
      <c r="D28" s="249">
        <v>199.4</v>
      </c>
      <c r="E28" s="249">
        <v>460.6</v>
      </c>
      <c r="F28" s="249">
        <v>81.400000000000006</v>
      </c>
      <c r="G28" s="249">
        <v>93.6</v>
      </c>
      <c r="H28" s="249">
        <v>90.3</v>
      </c>
      <c r="I28" s="249">
        <v>177.4</v>
      </c>
      <c r="J28" s="249">
        <v>83.1</v>
      </c>
      <c r="K28" s="249">
        <v>110.1</v>
      </c>
      <c r="L28" s="249">
        <f>63.9</f>
        <v>63.9</v>
      </c>
      <c r="M28" s="249">
        <f>331.5</f>
        <v>331.5</v>
      </c>
      <c r="N28" s="249">
        <f>85.8</f>
        <v>85.8</v>
      </c>
      <c r="O28" s="29" t="s">
        <v>763</v>
      </c>
      <c r="P28" t="s">
        <v>317</v>
      </c>
      <c r="Q28"/>
      <c r="AA28" s="28"/>
      <c r="AB28" s="28"/>
      <c r="AC28" s="28"/>
      <c r="AD28" s="28"/>
      <c r="AE28" s="28"/>
      <c r="AF28" s="27"/>
      <c r="AG28" s="27"/>
      <c r="AH28" s="27"/>
    </row>
    <row r="29" spans="1:34">
      <c r="A29" s="88" t="s">
        <v>699</v>
      </c>
      <c r="B29" s="249">
        <v>832.8</v>
      </c>
      <c r="C29" s="249">
        <v>901.6</v>
      </c>
      <c r="D29" s="249">
        <f>899</f>
        <v>899</v>
      </c>
      <c r="E29" s="249">
        <f>785.3</f>
        <v>785.3</v>
      </c>
      <c r="F29" s="249">
        <f>864.8</f>
        <v>864.8</v>
      </c>
      <c r="G29" s="249">
        <f>846.9</f>
        <v>846.9</v>
      </c>
      <c r="H29" s="249">
        <v>776.2</v>
      </c>
      <c r="I29" s="249">
        <f>737</f>
        <v>737</v>
      </c>
      <c r="J29" s="249">
        <v>732.5</v>
      </c>
      <c r="K29" s="249">
        <v>598.9</v>
      </c>
      <c r="L29" s="249">
        <f>626.2</f>
        <v>626.20000000000005</v>
      </c>
      <c r="M29" s="249">
        <f>471.9</f>
        <v>471.9</v>
      </c>
      <c r="N29" s="249">
        <f>437.6</f>
        <v>437.6</v>
      </c>
      <c r="O29" s="29" t="s">
        <v>763</v>
      </c>
      <c r="P29" t="s">
        <v>699</v>
      </c>
      <c r="Q29"/>
      <c r="AA29" s="28"/>
      <c r="AB29" s="28"/>
      <c r="AC29" s="28"/>
      <c r="AD29" s="28"/>
      <c r="AE29" s="28"/>
      <c r="AF29" s="27"/>
      <c r="AG29" s="27"/>
      <c r="AH29" s="27"/>
    </row>
    <row r="30" spans="1:34">
      <c r="A30" s="87" t="s">
        <v>319</v>
      </c>
      <c r="B30" s="249">
        <v>2078.3000000000002</v>
      </c>
      <c r="C30" s="249">
        <v>1898.7</v>
      </c>
      <c r="D30" s="249">
        <v>1573.2</v>
      </c>
      <c r="E30" s="249">
        <v>1291.0999999999999</v>
      </c>
      <c r="F30" s="249">
        <v>1373.6</v>
      </c>
      <c r="G30" s="249">
        <v>2130.4</v>
      </c>
      <c r="H30" s="249">
        <v>2084</v>
      </c>
      <c r="I30" s="249">
        <v>1955.1</v>
      </c>
      <c r="J30" s="249">
        <v>1851.6</v>
      </c>
      <c r="K30" s="249">
        <v>1827.2</v>
      </c>
      <c r="L30" s="249">
        <f>1743.8</f>
        <v>1743.8</v>
      </c>
      <c r="M30" s="249">
        <f>1480.9</f>
        <v>1480.9</v>
      </c>
      <c r="N30" s="249">
        <f>1374.5</f>
        <v>1374.5</v>
      </c>
      <c r="O30" s="29" t="s">
        <v>763</v>
      </c>
      <c r="P30" t="s">
        <v>319</v>
      </c>
      <c r="Q30"/>
      <c r="R30" s="14" t="s">
        <v>764</v>
      </c>
      <c r="S30" s="14" t="s">
        <v>765</v>
      </c>
      <c r="AA30" s="19">
        <v>7168</v>
      </c>
      <c r="AB30" s="19">
        <v>6460</v>
      </c>
      <c r="AC30" s="19">
        <v>7341</v>
      </c>
      <c r="AD30" s="19">
        <v>6081</v>
      </c>
      <c r="AE30" s="19">
        <v>5490</v>
      </c>
      <c r="AF30" s="19">
        <v>3057</v>
      </c>
      <c r="AG30" s="19">
        <v>3592</v>
      </c>
      <c r="AH30" s="19">
        <v>4867</v>
      </c>
    </row>
    <row r="31" spans="1:34" s="15" customFormat="1">
      <c r="A31" s="87" t="s">
        <v>766</v>
      </c>
      <c r="B31" s="249">
        <f>B27-SUM(B28:B30)</f>
        <v>666</v>
      </c>
      <c r="C31" s="249">
        <f>C27-SUM(C28:C30)</f>
        <v>562.29999999999973</v>
      </c>
      <c r="D31" s="249">
        <f t="shared" ref="D31:N31" si="8">D27-SUM(D28:D30)</f>
        <v>658.09999999999945</v>
      </c>
      <c r="E31" s="249">
        <f t="shared" si="8"/>
        <v>507.5</v>
      </c>
      <c r="F31" s="249">
        <f t="shared" si="8"/>
        <v>1164.3000000000002</v>
      </c>
      <c r="G31" s="249">
        <f t="shared" si="8"/>
        <v>613.09999999999991</v>
      </c>
      <c r="H31" s="249">
        <f t="shared" si="8"/>
        <v>523.5</v>
      </c>
      <c r="I31" s="249">
        <f t="shared" si="8"/>
        <v>360.5</v>
      </c>
      <c r="J31" s="249">
        <f>J27-SUM(J28:J30)</f>
        <v>310.40000000000009</v>
      </c>
      <c r="K31" s="249">
        <f>K27-SUM(K28:K30)</f>
        <v>374.60000000000036</v>
      </c>
      <c r="L31" s="249">
        <f t="shared" si="8"/>
        <v>313.29999999999973</v>
      </c>
      <c r="M31" s="249">
        <f t="shared" si="8"/>
        <v>186.89999999999964</v>
      </c>
      <c r="N31" s="249">
        <f t="shared" si="8"/>
        <v>136.29999999999995</v>
      </c>
      <c r="O31" s="29" t="s">
        <v>763</v>
      </c>
      <c r="P31" t="s">
        <v>319</v>
      </c>
      <c r="Q31"/>
      <c r="R31" s="14" t="s">
        <v>764</v>
      </c>
      <c r="S31" s="14" t="s">
        <v>767</v>
      </c>
      <c r="T31" s="14" t="s">
        <v>768</v>
      </c>
      <c r="U31" s="14" t="s">
        <v>769</v>
      </c>
      <c r="V31" s="14"/>
      <c r="W31" s="14"/>
      <c r="X31" s="14"/>
      <c r="Y31" s="14"/>
      <c r="Z31" s="14"/>
      <c r="AA31" s="23">
        <f>5981+8522+1029+13556</f>
        <v>29088</v>
      </c>
      <c r="AB31" s="23">
        <f>6695+8991+1170+13651</f>
        <v>30507</v>
      </c>
      <c r="AC31" s="23">
        <f>7737+9027+1364+14644</f>
        <v>32772</v>
      </c>
      <c r="AD31" s="23">
        <v>33499</v>
      </c>
      <c r="AE31" s="23">
        <v>33911</v>
      </c>
      <c r="AF31" s="23">
        <v>31031</v>
      </c>
      <c r="AG31" s="23">
        <v>28849</v>
      </c>
      <c r="AH31" s="23">
        <v>27162</v>
      </c>
    </row>
    <row r="32" spans="1:34" s="15" customFormat="1">
      <c r="A32" s="5" t="s">
        <v>770</v>
      </c>
      <c r="B32" s="248">
        <f t="shared" ref="B32:K32" si="9">B38-B27</f>
        <v>21962.2</v>
      </c>
      <c r="C32" s="248">
        <f t="shared" si="9"/>
        <v>21166.2</v>
      </c>
      <c r="D32" s="248">
        <f t="shared" si="9"/>
        <v>22526.1</v>
      </c>
      <c r="E32" s="248">
        <f t="shared" si="9"/>
        <v>24060.3</v>
      </c>
      <c r="F32" s="248">
        <f t="shared" si="9"/>
        <v>23839.100000000002</v>
      </c>
      <c r="G32" s="248">
        <f t="shared" si="9"/>
        <v>25547.5</v>
      </c>
      <c r="H32" s="248">
        <f t="shared" si="9"/>
        <v>17064.7</v>
      </c>
      <c r="I32" s="248">
        <f t="shared" si="9"/>
        <v>15372.400000000001</v>
      </c>
      <c r="J32" s="248">
        <f t="shared" si="9"/>
        <v>13987.4</v>
      </c>
      <c r="K32" s="248">
        <f t="shared" si="9"/>
        <v>12182.2</v>
      </c>
      <c r="L32" s="248">
        <f t="shared" ref="L32:N32" si="10">L38-L27</f>
        <v>11554.900000000001</v>
      </c>
      <c r="M32" s="248">
        <f t="shared" si="10"/>
        <v>5166.9000000000005</v>
      </c>
      <c r="N32" s="248">
        <f t="shared" si="10"/>
        <v>5075.7</v>
      </c>
      <c r="O32" s="29"/>
      <c r="P32"/>
      <c r="Q32"/>
      <c r="R32" s="14"/>
      <c r="S32" s="14"/>
      <c r="T32" s="14"/>
      <c r="U32" s="14"/>
      <c r="V32" s="14"/>
      <c r="W32" s="14"/>
      <c r="X32" s="14"/>
      <c r="Y32" s="14"/>
      <c r="Z32" s="14"/>
      <c r="AA32" s="23"/>
      <c r="AB32" s="23"/>
      <c r="AC32" s="23"/>
      <c r="AD32" s="23"/>
      <c r="AE32" s="23"/>
      <c r="AF32" s="23"/>
      <c r="AG32" s="23"/>
      <c r="AH32" s="23"/>
    </row>
    <row r="33" spans="1:34">
      <c r="A33" s="89" t="s">
        <v>700</v>
      </c>
      <c r="B33" s="249">
        <f>8055.2</f>
        <v>8055.2</v>
      </c>
      <c r="C33" s="249">
        <f>6865.2</f>
        <v>6865.2</v>
      </c>
      <c r="D33" s="249">
        <f>6059.6</f>
        <v>6059.6</v>
      </c>
      <c r="E33" s="249">
        <f>5821.6</f>
        <v>5821.6</v>
      </c>
      <c r="F33" s="249">
        <f>5333</f>
        <v>5333</v>
      </c>
      <c r="G33" s="249">
        <f>5267.3</f>
        <v>5267.3</v>
      </c>
      <c r="H33" s="249">
        <f>4789.7</f>
        <v>4789.7</v>
      </c>
      <c r="I33" s="249">
        <f>3932.8</f>
        <v>3932.8</v>
      </c>
      <c r="J33" s="249">
        <f>3333.4</f>
        <v>3333.4</v>
      </c>
      <c r="K33" s="249">
        <f>2681.6</f>
        <v>2681.6</v>
      </c>
      <c r="L33" s="249">
        <f>2014.3</f>
        <v>2014.3</v>
      </c>
      <c r="M33" s="249">
        <f>1229</f>
        <v>1229</v>
      </c>
      <c r="N33" s="249">
        <f>1255.8</f>
        <v>1255.8</v>
      </c>
      <c r="O33" s="29"/>
      <c r="P33"/>
      <c r="Q33"/>
      <c r="R33" s="14" t="s">
        <v>764</v>
      </c>
      <c r="S33" s="14" t="s">
        <v>771</v>
      </c>
      <c r="AA33" s="19">
        <v>8614</v>
      </c>
      <c r="AB33" s="19">
        <v>9700</v>
      </c>
      <c r="AC33" s="19">
        <v>12205</v>
      </c>
      <c r="AD33" s="19">
        <v>12625</v>
      </c>
      <c r="AE33" s="19">
        <v>15547</v>
      </c>
      <c r="AF33" s="19">
        <v>14544</v>
      </c>
      <c r="AG33" s="19">
        <v>9587</v>
      </c>
      <c r="AH33" s="19">
        <v>6360</v>
      </c>
    </row>
    <row r="34" spans="1:34">
      <c r="A34" s="89" t="s">
        <v>772</v>
      </c>
      <c r="B34" s="249">
        <v>615.29999999999995</v>
      </c>
      <c r="C34" s="249">
        <v>442.5</v>
      </c>
      <c r="D34" s="249">
        <v>478.9</v>
      </c>
      <c r="E34" s="249">
        <f>477.9</f>
        <v>477.9</v>
      </c>
      <c r="F34" s="249">
        <f>481.4</f>
        <v>481.4</v>
      </c>
      <c r="G34" s="249">
        <v>559.5</v>
      </c>
      <c r="H34" s="249">
        <v>559.20000000000005</v>
      </c>
      <c r="I34" s="249">
        <v>497.7</v>
      </c>
      <c r="J34" s="249">
        <v>355.3</v>
      </c>
      <c r="K34" s="249">
        <v>392.5</v>
      </c>
      <c r="L34" s="249">
        <f>406</f>
        <v>406</v>
      </c>
      <c r="M34" s="249">
        <f>343.4</f>
        <v>343.4</v>
      </c>
      <c r="N34" s="249">
        <f>374.6</f>
        <v>374.6</v>
      </c>
      <c r="O34" s="29"/>
      <c r="P34"/>
      <c r="Q34"/>
      <c r="AA34" s="19"/>
      <c r="AB34" s="19"/>
      <c r="AC34" s="19"/>
      <c r="AD34" s="19"/>
      <c r="AE34" s="19"/>
      <c r="AF34" s="19"/>
      <c r="AG34" s="19"/>
      <c r="AH34" s="19"/>
    </row>
    <row r="35" spans="1:34">
      <c r="A35" s="89" t="s">
        <v>773</v>
      </c>
      <c r="B35" s="249">
        <v>170.6</v>
      </c>
      <c r="C35" s="249">
        <v>663.3</v>
      </c>
      <c r="D35" s="249">
        <v>2688.7</v>
      </c>
      <c r="E35" s="249">
        <v>2788.4</v>
      </c>
      <c r="F35" s="249">
        <v>3093.9</v>
      </c>
      <c r="G35" s="249">
        <v>3465.6</v>
      </c>
      <c r="H35" s="249">
        <v>121.5</v>
      </c>
      <c r="I35" s="249">
        <v>77.599999999999994</v>
      </c>
      <c r="J35" s="249">
        <v>76.2</v>
      </c>
      <c r="K35" s="249">
        <v>73.5</v>
      </c>
      <c r="L35" s="249">
        <f>73.3</f>
        <v>73.3</v>
      </c>
      <c r="M35" s="249">
        <f>243.6</f>
        <v>243.6</v>
      </c>
      <c r="N35" s="249">
        <f>248.3</f>
        <v>248.3</v>
      </c>
      <c r="O35" s="29"/>
      <c r="P35"/>
      <c r="Q35"/>
      <c r="AA35" s="19"/>
      <c r="AB35" s="19"/>
      <c r="AC35" s="19"/>
      <c r="AD35" s="19"/>
      <c r="AE35" s="19"/>
      <c r="AF35" s="19"/>
      <c r="AG35" s="19"/>
      <c r="AH35" s="19"/>
    </row>
    <row r="36" spans="1:34">
      <c r="A36" s="89" t="s">
        <v>774</v>
      </c>
      <c r="B36" s="249">
        <f>B32-SUM(B33:B35)</f>
        <v>13121.1</v>
      </c>
      <c r="C36" s="249">
        <f>C32-SUM(C33:C35)</f>
        <v>13195.2</v>
      </c>
      <c r="D36" s="249">
        <f t="shared" ref="D36" si="11">D32-SUM(D33:D35)</f>
        <v>13298.899999999998</v>
      </c>
      <c r="E36" s="249">
        <f t="shared" ref="E36" si="12">E32-SUM(E33:E35)</f>
        <v>14972.4</v>
      </c>
      <c r="F36" s="249">
        <f>F32-SUM(F33:F35)</f>
        <v>14930.800000000003</v>
      </c>
      <c r="G36" s="249">
        <f t="shared" ref="G36" si="13">G32-SUM(G33:G35)</f>
        <v>16255.1</v>
      </c>
      <c r="H36" s="249">
        <f t="shared" ref="H36" si="14">H32-SUM(H33:H35)</f>
        <v>11594.300000000001</v>
      </c>
      <c r="I36" s="249">
        <f t="shared" ref="I36" si="15">I32-SUM(I33:I35)</f>
        <v>10864.300000000001</v>
      </c>
      <c r="J36" s="249">
        <f t="shared" ref="J36" si="16">J32-SUM(J33:J35)</f>
        <v>10222.5</v>
      </c>
      <c r="K36" s="249">
        <f t="shared" ref="K36" si="17">K32-SUM(K33:K35)</f>
        <v>9034.6</v>
      </c>
      <c r="L36" s="249">
        <f t="shared" ref="L36" si="18">L32-SUM(L33:L35)</f>
        <v>9061.3000000000011</v>
      </c>
      <c r="M36" s="249">
        <f t="shared" ref="M36" si="19">M32-SUM(M33:M35)</f>
        <v>3350.9000000000005</v>
      </c>
      <c r="N36" s="249">
        <f t="shared" ref="N36" si="20">N32-SUM(N33:N35)</f>
        <v>3197</v>
      </c>
      <c r="O36" s="29" t="s">
        <v>763</v>
      </c>
      <c r="P36" t="s">
        <v>700</v>
      </c>
      <c r="Q36"/>
      <c r="AA36" s="19"/>
      <c r="AB36" s="19"/>
      <c r="AC36" s="19"/>
      <c r="AD36" s="19"/>
      <c r="AE36" s="19"/>
      <c r="AF36" s="19"/>
      <c r="AG36" s="19"/>
      <c r="AH36" s="19"/>
    </row>
    <row r="37" spans="1:34">
      <c r="A37" s="14" t="s">
        <v>701</v>
      </c>
      <c r="B37" s="325">
        <f>B31+B36</f>
        <v>13787.1</v>
      </c>
      <c r="C37" s="325">
        <f>C31+C36</f>
        <v>13757.5</v>
      </c>
      <c r="D37" s="325">
        <f>D31+D36</f>
        <v>13956.999999999996</v>
      </c>
      <c r="E37" s="325">
        <f t="shared" ref="E37:N37" si="21">E31+E36</f>
        <v>15479.9</v>
      </c>
      <c r="F37" s="325">
        <f t="shared" si="21"/>
        <v>16095.100000000002</v>
      </c>
      <c r="G37" s="325">
        <f t="shared" si="21"/>
        <v>16868.2</v>
      </c>
      <c r="H37" s="325">
        <f t="shared" si="21"/>
        <v>12117.800000000001</v>
      </c>
      <c r="I37" s="325">
        <f t="shared" si="21"/>
        <v>11224.800000000001</v>
      </c>
      <c r="J37" s="325">
        <f t="shared" si="21"/>
        <v>10532.9</v>
      </c>
      <c r="K37" s="325">
        <f t="shared" si="21"/>
        <v>9409.2000000000007</v>
      </c>
      <c r="L37" s="325">
        <f t="shared" si="21"/>
        <v>9374.6</v>
      </c>
      <c r="M37" s="325">
        <f t="shared" si="21"/>
        <v>3537.8</v>
      </c>
      <c r="N37" s="325">
        <f t="shared" si="21"/>
        <v>3333.3</v>
      </c>
      <c r="O37" s="29" t="s">
        <v>763</v>
      </c>
      <c r="P37"/>
      <c r="Q37"/>
      <c r="AA37" s="19"/>
      <c r="AB37" s="19"/>
      <c r="AC37" s="19"/>
      <c r="AD37" s="19"/>
      <c r="AE37" s="19"/>
      <c r="AF37" s="19"/>
      <c r="AG37" s="19"/>
      <c r="AH37" s="19"/>
    </row>
    <row r="38" spans="1:34">
      <c r="A38" s="5" t="s">
        <v>43</v>
      </c>
      <c r="B38" s="248">
        <v>25691.7</v>
      </c>
      <c r="C38" s="248">
        <v>24662.3</v>
      </c>
      <c r="D38" s="248">
        <v>25855.8</v>
      </c>
      <c r="E38" s="248">
        <v>27104.799999999999</v>
      </c>
      <c r="F38" s="248">
        <v>27323.200000000001</v>
      </c>
      <c r="G38" s="248">
        <v>29231.5</v>
      </c>
      <c r="H38" s="248">
        <v>20538.7</v>
      </c>
      <c r="I38" s="248">
        <v>18602.400000000001</v>
      </c>
      <c r="J38" s="248">
        <v>16965</v>
      </c>
      <c r="K38" s="248">
        <v>15093</v>
      </c>
      <c r="L38" s="248">
        <f>14302.1</f>
        <v>14302.1</v>
      </c>
      <c r="M38" s="248">
        <f>7638.1</f>
        <v>7638.1</v>
      </c>
      <c r="N38" s="248">
        <f>7109.9</f>
        <v>7109.9</v>
      </c>
      <c r="O38" s="29" t="s">
        <v>763</v>
      </c>
      <c r="P38" t="s">
        <v>43</v>
      </c>
      <c r="Q38"/>
      <c r="R38" s="14" t="s">
        <v>764</v>
      </c>
      <c r="S38" s="14" t="s">
        <v>775</v>
      </c>
      <c r="AA38" s="19">
        <v>15322</v>
      </c>
      <c r="AB38" s="19">
        <v>16090</v>
      </c>
      <c r="AC38" s="19">
        <f>16577</f>
        <v>16577</v>
      </c>
      <c r="AD38" s="19">
        <v>17075</v>
      </c>
      <c r="AE38" s="19">
        <v>16461</v>
      </c>
      <c r="AF38" s="19">
        <v>14395</v>
      </c>
      <c r="AG38" s="19">
        <v>12539</v>
      </c>
      <c r="AH38" s="19">
        <v>12386</v>
      </c>
    </row>
    <row r="39" spans="1:34">
      <c r="A39" s="654"/>
      <c r="C39" s="325"/>
      <c r="D39" s="325"/>
      <c r="E39" s="325"/>
      <c r="F39" s="325"/>
      <c r="G39" s="325"/>
      <c r="H39" s="325"/>
      <c r="I39" s="325"/>
      <c r="J39" s="325"/>
      <c r="K39" s="325"/>
      <c r="L39" s="325"/>
      <c r="M39" s="325"/>
      <c r="N39" s="325"/>
      <c r="O39" s="29" t="s">
        <v>763</v>
      </c>
      <c r="P39"/>
      <c r="Q39"/>
      <c r="AA39" s="16">
        <f t="shared" ref="AA39:AH39" si="22">AA40-SUM(AA30:AA38)</f>
        <v>14512</v>
      </c>
      <c r="AB39" s="16">
        <f t="shared" si="22"/>
        <v>15585</v>
      </c>
      <c r="AC39" s="16">
        <f t="shared" si="22"/>
        <v>15786</v>
      </c>
      <c r="AD39" s="16">
        <f t="shared" si="22"/>
        <v>15616</v>
      </c>
      <c r="AE39" s="16">
        <f t="shared" si="22"/>
        <v>17947</v>
      </c>
      <c r="AF39" s="16">
        <f t="shared" si="22"/>
        <v>18419</v>
      </c>
      <c r="AG39" s="16">
        <f t="shared" si="22"/>
        <v>9453</v>
      </c>
      <c r="AH39" s="16">
        <f t="shared" si="22"/>
        <v>9263</v>
      </c>
    </row>
    <row r="40" spans="1:34">
      <c r="B40" s="325"/>
      <c r="C40" s="325"/>
      <c r="D40" s="325"/>
      <c r="E40" s="325"/>
      <c r="F40" s="325"/>
      <c r="G40" s="325"/>
      <c r="H40" s="325"/>
      <c r="I40" s="325"/>
      <c r="J40" s="325"/>
      <c r="K40" s="325"/>
      <c r="L40" s="325"/>
      <c r="M40" s="325"/>
      <c r="N40" s="325"/>
      <c r="O40" s="29" t="s">
        <v>763</v>
      </c>
      <c r="P40"/>
      <c r="Q40"/>
      <c r="R40" s="14" t="s">
        <v>764</v>
      </c>
      <c r="S40" s="14" t="s">
        <v>776</v>
      </c>
      <c r="AA40" s="30">
        <v>74704</v>
      </c>
      <c r="AB40" s="30">
        <v>78342</v>
      </c>
      <c r="AC40" s="30">
        <v>84681</v>
      </c>
      <c r="AD40" s="30">
        <v>84896</v>
      </c>
      <c r="AE40" s="30">
        <v>89356</v>
      </c>
      <c r="AF40" s="30">
        <v>81446</v>
      </c>
      <c r="AG40" s="30">
        <v>64020</v>
      </c>
      <c r="AH40" s="30">
        <v>60038</v>
      </c>
    </row>
    <row r="41" spans="1:34">
      <c r="A41" s="90" t="s">
        <v>777</v>
      </c>
      <c r="B41" s="248"/>
      <c r="C41" s="248"/>
      <c r="D41" s="248"/>
      <c r="E41" s="248"/>
      <c r="F41" s="248"/>
      <c r="G41" s="248"/>
      <c r="H41" s="248"/>
      <c r="I41" s="248"/>
      <c r="J41" s="248"/>
      <c r="K41" s="248"/>
      <c r="L41" s="248"/>
      <c r="M41" s="248"/>
      <c r="N41" s="248"/>
      <c r="O41" s="29" t="s">
        <v>763</v>
      </c>
      <c r="P41"/>
      <c r="Q41"/>
      <c r="AA41" s="21"/>
      <c r="AB41" s="21"/>
      <c r="AC41" s="21"/>
      <c r="AD41" s="21"/>
      <c r="AE41" s="21"/>
      <c r="AF41" s="21"/>
      <c r="AG41" s="21"/>
      <c r="AH41" s="21"/>
    </row>
    <row r="42" spans="1:34">
      <c r="A42" s="5" t="s">
        <v>323</v>
      </c>
      <c r="B42" s="248">
        <v>3141.7</v>
      </c>
      <c r="C42" s="248">
        <v>2968.3</v>
      </c>
      <c r="D42" s="248">
        <v>2698.8</v>
      </c>
      <c r="E42" s="248">
        <v>1269.0999999999999</v>
      </c>
      <c r="F42" s="248">
        <v>2311.8000000000002</v>
      </c>
      <c r="G42" s="248">
        <v>3163.8</v>
      </c>
      <c r="H42" s="248">
        <v>2039.6</v>
      </c>
      <c r="I42" s="248">
        <v>2697.6</v>
      </c>
      <c r="J42" s="248">
        <v>2272.3000000000002</v>
      </c>
      <c r="K42" s="248">
        <v>1130.7</v>
      </c>
      <c r="L42" s="248">
        <f>2025.7</f>
        <v>2025.7</v>
      </c>
      <c r="M42" s="248">
        <f>677.9</f>
        <v>677.9</v>
      </c>
      <c r="N42" s="248">
        <f>1190.6</f>
        <v>1190.5999999999999</v>
      </c>
      <c r="O42" s="29" t="s">
        <v>763</v>
      </c>
      <c r="P42" t="s">
        <v>323</v>
      </c>
      <c r="Q42"/>
      <c r="AA42" s="21"/>
      <c r="AB42" s="21"/>
      <c r="AC42" s="21"/>
      <c r="AD42" s="21"/>
      <c r="AE42" s="21"/>
      <c r="AF42" s="21"/>
      <c r="AG42" s="21"/>
      <c r="AH42" s="21"/>
    </row>
    <row r="43" spans="1:34">
      <c r="A43" s="87" t="s">
        <v>778</v>
      </c>
      <c r="B43" s="249">
        <v>1107.0999999999999</v>
      </c>
      <c r="C43" s="249">
        <v>941.5</v>
      </c>
      <c r="D43" s="249">
        <v>899.2</v>
      </c>
      <c r="E43" s="249">
        <v>460</v>
      </c>
      <c r="F43" s="249">
        <v>557.6</v>
      </c>
      <c r="G43" s="249">
        <f>616.7</f>
        <v>616.70000000000005</v>
      </c>
      <c r="H43" s="249">
        <v>592.20000000000005</v>
      </c>
      <c r="I43" s="249">
        <f>559.8</f>
        <v>559.79999999999995</v>
      </c>
      <c r="J43" s="249">
        <f>429.3</f>
        <v>429.3</v>
      </c>
      <c r="K43" s="249">
        <v>285.8</v>
      </c>
      <c r="L43" s="249">
        <f>295.2</f>
        <v>295.2</v>
      </c>
      <c r="M43" s="249">
        <f>209</f>
        <v>209</v>
      </c>
      <c r="N43" s="249">
        <f>130.5</f>
        <v>130.5</v>
      </c>
      <c r="O43" s="29"/>
      <c r="P43"/>
      <c r="Q43"/>
      <c r="AA43" s="28"/>
      <c r="AB43" s="28"/>
      <c r="AC43" s="28"/>
      <c r="AD43" s="28"/>
      <c r="AE43" s="28"/>
      <c r="AF43" s="27"/>
      <c r="AG43" s="27"/>
      <c r="AH43" s="27"/>
    </row>
    <row r="44" spans="1:34" s="5" customFormat="1">
      <c r="A44" s="18" t="s">
        <v>703</v>
      </c>
      <c r="B44" s="249">
        <v>1198.2</v>
      </c>
      <c r="C44" s="249">
        <v>1185.2</v>
      </c>
      <c r="D44" s="249">
        <v>928.3</v>
      </c>
      <c r="E44" s="249">
        <v>29.2</v>
      </c>
      <c r="F44" s="249">
        <v>973.8</v>
      </c>
      <c r="G44" s="655">
        <v>1856.7</v>
      </c>
      <c r="H44" s="249">
        <v>769.1</v>
      </c>
      <c r="I44" s="249">
        <v>1517.4</v>
      </c>
      <c r="J44" s="249">
        <v>1265</v>
      </c>
      <c r="K44" s="249">
        <v>210.5</v>
      </c>
      <c r="L44" s="249">
        <f>590</f>
        <v>590</v>
      </c>
      <c r="M44" s="249">
        <f>27.6</f>
        <v>27.6</v>
      </c>
      <c r="N44" s="249">
        <f>330.2</f>
        <v>330.2</v>
      </c>
      <c r="O44" s="29" t="s">
        <v>763</v>
      </c>
      <c r="P44" t="s">
        <v>779</v>
      </c>
      <c r="Q44"/>
      <c r="R44" s="14" t="s">
        <v>764</v>
      </c>
      <c r="S44" s="5" t="s">
        <v>780</v>
      </c>
      <c r="AA44" s="30">
        <v>26132</v>
      </c>
      <c r="AB44" s="30">
        <v>26242</v>
      </c>
      <c r="AC44" s="30">
        <v>27877</v>
      </c>
      <c r="AD44" s="30">
        <v>27297</v>
      </c>
      <c r="AE44" s="30">
        <v>29415</v>
      </c>
      <c r="AF44" s="30">
        <f>93+3895+8161+3386+2410+2691+298+1967+558+5102</f>
        <v>28561</v>
      </c>
      <c r="AG44" s="30">
        <f>204+3852+5856+2880+1670+1831+281+1521+495+3430</f>
        <v>22020</v>
      </c>
      <c r="AH44" s="30">
        <f>433+3650+2993+3351+797+1217+262+888+302+5399</f>
        <v>19292</v>
      </c>
    </row>
    <row r="45" spans="1:34" s="5" customFormat="1">
      <c r="A45" s="18" t="s">
        <v>704</v>
      </c>
      <c r="B45" s="249">
        <f>89.6+7.5</f>
        <v>97.1</v>
      </c>
      <c r="C45" s="249">
        <v>90.9</v>
      </c>
      <c r="D45" s="249">
        <v>86.7</v>
      </c>
      <c r="E45" s="249">
        <v>73.400000000000006</v>
      </c>
      <c r="F45" s="249">
        <v>88.3</v>
      </c>
      <c r="G45" s="249">
        <v>0</v>
      </c>
      <c r="H45" s="249">
        <v>0</v>
      </c>
      <c r="I45" s="249">
        <v>0</v>
      </c>
      <c r="J45" s="249">
        <v>0</v>
      </c>
      <c r="K45" s="249">
        <v>0</v>
      </c>
      <c r="L45" s="249">
        <f>0</f>
        <v>0</v>
      </c>
      <c r="M45" s="249">
        <f>0</f>
        <v>0</v>
      </c>
      <c r="N45" s="249">
        <f>0</f>
        <v>0</v>
      </c>
      <c r="O45" s="29"/>
      <c r="P45"/>
      <c r="Q45"/>
      <c r="R45" s="14"/>
      <c r="AA45" s="30"/>
      <c r="AB45" s="30"/>
      <c r="AC45" s="30"/>
      <c r="AD45" s="30"/>
      <c r="AE45" s="30"/>
      <c r="AF45" s="30"/>
      <c r="AG45" s="30"/>
      <c r="AH45" s="30"/>
    </row>
    <row r="46" spans="1:34">
      <c r="A46" s="87" t="s">
        <v>705</v>
      </c>
      <c r="B46" s="249">
        <f>B42-SUM(B43:B45)</f>
        <v>739.29999999999973</v>
      </c>
      <c r="C46" s="249">
        <f>C42-SUM(C43:C45)</f>
        <v>750.70000000000027</v>
      </c>
      <c r="D46" s="249">
        <f t="shared" ref="D46:N46" si="23">D42-SUM(D43:D45)</f>
        <v>784.60000000000014</v>
      </c>
      <c r="E46" s="249">
        <f t="shared" si="23"/>
        <v>706.49999999999989</v>
      </c>
      <c r="F46" s="249">
        <f t="shared" si="23"/>
        <v>692.10000000000014</v>
      </c>
      <c r="G46" s="249">
        <f>G42-SUM(G43:G45)</f>
        <v>690.40000000000009</v>
      </c>
      <c r="H46" s="249">
        <f t="shared" si="23"/>
        <v>678.29999999999973</v>
      </c>
      <c r="I46" s="249">
        <f t="shared" si="23"/>
        <v>620.40000000000009</v>
      </c>
      <c r="J46" s="249">
        <f t="shared" si="23"/>
        <v>578.00000000000023</v>
      </c>
      <c r="K46" s="249">
        <f t="shared" si="23"/>
        <v>634.40000000000009</v>
      </c>
      <c r="L46" s="249">
        <f t="shared" si="23"/>
        <v>1140.5</v>
      </c>
      <c r="M46" s="249">
        <f t="shared" si="23"/>
        <v>441.29999999999995</v>
      </c>
      <c r="N46" s="249">
        <f t="shared" si="23"/>
        <v>729.89999999999986</v>
      </c>
      <c r="O46" s="29" t="s">
        <v>763</v>
      </c>
      <c r="P46"/>
      <c r="Q46"/>
      <c r="S46" s="14" t="s">
        <v>781</v>
      </c>
      <c r="AA46" s="23">
        <v>7303</v>
      </c>
      <c r="AB46" s="23">
        <v>6967</v>
      </c>
      <c r="AC46" s="23">
        <v>4708</v>
      </c>
      <c r="AD46" s="23">
        <v>3679</v>
      </c>
      <c r="AE46" s="23">
        <v>5287</v>
      </c>
      <c r="AF46" s="23">
        <v>5660</v>
      </c>
      <c r="AG46" s="23">
        <v>3925</v>
      </c>
      <c r="AH46" s="23">
        <v>5701</v>
      </c>
    </row>
    <row r="47" spans="1:34">
      <c r="A47" s="5" t="s">
        <v>706</v>
      </c>
      <c r="B47" s="248">
        <v>12485.4</v>
      </c>
      <c r="C47" s="248">
        <f>C51-C42</f>
        <v>12960.099999999999</v>
      </c>
      <c r="D47" s="248">
        <f t="shared" ref="D47:N47" si="24">D51-D42</f>
        <v>11109.2</v>
      </c>
      <c r="E47" s="248">
        <f t="shared" si="24"/>
        <v>11906.6</v>
      </c>
      <c r="F47" s="248">
        <f t="shared" si="24"/>
        <v>12537.099999999999</v>
      </c>
      <c r="G47" s="248">
        <f t="shared" si="24"/>
        <v>13230.5</v>
      </c>
      <c r="H47" s="248">
        <f>H51-H42</f>
        <v>10507.4</v>
      </c>
      <c r="I47" s="248">
        <f t="shared" si="24"/>
        <v>9020</v>
      </c>
      <c r="J47" s="248">
        <f t="shared" si="24"/>
        <v>8000.9000000000005</v>
      </c>
      <c r="K47" s="248">
        <f t="shared" si="24"/>
        <v>8081.0000000000009</v>
      </c>
      <c r="L47" s="248">
        <f t="shared" si="24"/>
        <v>7295.0999999999995</v>
      </c>
      <c r="M47" s="248">
        <f t="shared" si="24"/>
        <v>4099.9000000000005</v>
      </c>
      <c r="N47" s="248">
        <f t="shared" si="24"/>
        <v>3243.2999999999997</v>
      </c>
      <c r="O47" s="29" t="s">
        <v>763</v>
      </c>
      <c r="P47" t="s">
        <v>782</v>
      </c>
      <c r="Q47"/>
      <c r="AA47" s="23"/>
      <c r="AB47" s="23"/>
      <c r="AC47" s="23"/>
      <c r="AD47" s="23"/>
      <c r="AE47" s="23"/>
      <c r="AF47" s="23"/>
      <c r="AG47" s="23"/>
      <c r="AH47" s="23"/>
    </row>
    <row r="48" spans="1:34">
      <c r="A48" s="18" t="s">
        <v>707</v>
      </c>
      <c r="B48" s="249">
        <v>10681.1</v>
      </c>
      <c r="C48" s="249">
        <v>11286.5</v>
      </c>
      <c r="D48" s="249">
        <v>9488.2000000000007</v>
      </c>
      <c r="E48" s="249">
        <v>10413.1</v>
      </c>
      <c r="F48" s="249">
        <v>11210.8</v>
      </c>
      <c r="G48" s="249">
        <v>11759.8</v>
      </c>
      <c r="H48" s="249">
        <v>9417.6</v>
      </c>
      <c r="I48" s="249">
        <v>7720.7</v>
      </c>
      <c r="J48" s="249">
        <v>6816.2</v>
      </c>
      <c r="K48" s="249">
        <v>7086</v>
      </c>
      <c r="L48" s="249">
        <f>6373.3</f>
        <v>6373.3</v>
      </c>
      <c r="M48" s="249">
        <f>3277.8</f>
        <v>3277.8</v>
      </c>
      <c r="N48" s="249">
        <f>2421.4</f>
        <v>2421.4</v>
      </c>
      <c r="O48" s="29" t="s">
        <v>763</v>
      </c>
      <c r="P48" t="s">
        <v>783</v>
      </c>
      <c r="Q48"/>
      <c r="AA48" s="16">
        <f t="shared" ref="AA48:AH48" si="25">AA44-AA46</f>
        <v>18829</v>
      </c>
      <c r="AB48" s="16">
        <f t="shared" si="25"/>
        <v>19275</v>
      </c>
      <c r="AC48" s="16">
        <f t="shared" si="25"/>
        <v>23169</v>
      </c>
      <c r="AD48" s="16">
        <f t="shared" si="25"/>
        <v>23618</v>
      </c>
      <c r="AE48" s="16">
        <f t="shared" si="25"/>
        <v>24128</v>
      </c>
      <c r="AF48" s="16">
        <f t="shared" si="25"/>
        <v>22901</v>
      </c>
      <c r="AG48" s="16">
        <f t="shared" si="25"/>
        <v>18095</v>
      </c>
      <c r="AH48" s="16">
        <f t="shared" si="25"/>
        <v>13591</v>
      </c>
    </row>
    <row r="49" spans="1:34" s="5" customFormat="1">
      <c r="A49" s="18" t="s">
        <v>708</v>
      </c>
      <c r="B49" s="249">
        <f>588.7+10.3</f>
        <v>599</v>
      </c>
      <c r="C49" s="249">
        <v>434.1</v>
      </c>
      <c r="D49" s="249">
        <v>470.9</v>
      </c>
      <c r="E49" s="249">
        <v>482</v>
      </c>
      <c r="F49" s="249">
        <v>496.6</v>
      </c>
      <c r="G49" s="249">
        <v>0</v>
      </c>
      <c r="H49" s="249">
        <v>0</v>
      </c>
      <c r="I49" s="249">
        <v>0</v>
      </c>
      <c r="J49" s="249">
        <v>0</v>
      </c>
      <c r="K49" s="249">
        <v>0</v>
      </c>
      <c r="L49" s="249">
        <f>0</f>
        <v>0</v>
      </c>
      <c r="M49" s="249">
        <f>0</f>
        <v>0</v>
      </c>
      <c r="N49" s="249">
        <f>0</f>
        <v>0</v>
      </c>
      <c r="O49" s="29"/>
      <c r="P49"/>
      <c r="Q49"/>
      <c r="R49" s="14" t="s">
        <v>764</v>
      </c>
      <c r="S49" s="5" t="s">
        <v>784</v>
      </c>
      <c r="AA49" s="30">
        <f>61491-AA44</f>
        <v>35359</v>
      </c>
      <c r="AB49" s="30">
        <f>63457-AB44</f>
        <v>37215</v>
      </c>
      <c r="AC49" s="30">
        <f>67855-AC44</f>
        <v>39978</v>
      </c>
      <c r="AD49" s="30">
        <v>36721</v>
      </c>
      <c r="AE49" s="30">
        <v>41973</v>
      </c>
      <c r="AF49" s="30">
        <f>8415+16529+10956+3583</f>
        <v>39483</v>
      </c>
      <c r="AG49" s="30">
        <f>4505+15932+7584+2654</f>
        <v>30675</v>
      </c>
      <c r="AH49" s="30">
        <f>5652+16195+7420+2179</f>
        <v>31446</v>
      </c>
    </row>
    <row r="50" spans="1:34">
      <c r="A50" s="87" t="s">
        <v>709</v>
      </c>
      <c r="B50" s="249">
        <f>B47-SUM(B48:B49)</f>
        <v>1205.2999999999993</v>
      </c>
      <c r="C50" s="249">
        <f>C47-SUM(C48:C49)</f>
        <v>1239.4999999999982</v>
      </c>
      <c r="D50" s="249">
        <f t="shared" ref="D50:N50" si="26">D47-SUM(D48:D49)</f>
        <v>1150.1000000000004</v>
      </c>
      <c r="E50" s="249">
        <f t="shared" si="26"/>
        <v>1011.5</v>
      </c>
      <c r="F50" s="249">
        <f t="shared" si="26"/>
        <v>829.69999999999891</v>
      </c>
      <c r="G50" s="249">
        <f t="shared" si="26"/>
        <v>1470.7000000000007</v>
      </c>
      <c r="H50" s="249">
        <f>H47-SUM(H48:H49)</f>
        <v>1089.7999999999993</v>
      </c>
      <c r="I50" s="249">
        <f t="shared" si="26"/>
        <v>1299.3000000000002</v>
      </c>
      <c r="J50" s="249">
        <f t="shared" si="26"/>
        <v>1184.7000000000007</v>
      </c>
      <c r="K50" s="249">
        <f t="shared" si="26"/>
        <v>995.00000000000091</v>
      </c>
      <c r="L50" s="249">
        <f>L47-SUM(L48:L49)</f>
        <v>921.79999999999927</v>
      </c>
      <c r="M50" s="249">
        <f t="shared" si="26"/>
        <v>822.10000000000036</v>
      </c>
      <c r="N50" s="249">
        <f t="shared" si="26"/>
        <v>821.89999999999964</v>
      </c>
      <c r="O50" s="29" t="s">
        <v>763</v>
      </c>
      <c r="P50" t="s">
        <v>785</v>
      </c>
      <c r="Q50"/>
      <c r="S50" s="14" t="s">
        <v>786</v>
      </c>
      <c r="AA50" s="19">
        <v>22818</v>
      </c>
      <c r="AB50" s="19">
        <v>25169</v>
      </c>
      <c r="AC50" s="19">
        <v>27784</v>
      </c>
      <c r="AD50" s="19">
        <v>26719</v>
      </c>
      <c r="AE50" s="19">
        <v>27752</v>
      </c>
      <c r="AF50" s="19">
        <v>24944</v>
      </c>
      <c r="AG50" s="19">
        <v>20437</v>
      </c>
      <c r="AH50" s="19">
        <v>21847</v>
      </c>
    </row>
    <row r="51" spans="1:34">
      <c r="A51" s="5" t="s">
        <v>49</v>
      </c>
      <c r="B51" s="248">
        <v>15627.1</v>
      </c>
      <c r="C51" s="248">
        <v>15928.4</v>
      </c>
      <c r="D51" s="248">
        <v>13808</v>
      </c>
      <c r="E51" s="248">
        <v>13175.7</v>
      </c>
      <c r="F51" s="248">
        <v>14848.9</v>
      </c>
      <c r="G51" s="248">
        <v>16394.3</v>
      </c>
      <c r="H51" s="248">
        <v>12547</v>
      </c>
      <c r="I51" s="248">
        <v>11717.6</v>
      </c>
      <c r="J51" s="248">
        <v>10273.200000000001</v>
      </c>
      <c r="K51" s="248">
        <v>9211.7000000000007</v>
      </c>
      <c r="L51" s="248">
        <f>L38-4981.3</f>
        <v>9320.7999999999993</v>
      </c>
      <c r="M51" s="248">
        <f>M38-2860.3</f>
        <v>4777.8</v>
      </c>
      <c r="N51" s="248">
        <f>N38-2676</f>
        <v>4433.8999999999996</v>
      </c>
      <c r="O51" s="29" t="s">
        <v>763</v>
      </c>
      <c r="P51" t="s">
        <v>49</v>
      </c>
      <c r="Q51"/>
      <c r="AA51" s="19"/>
      <c r="AB51" s="19"/>
      <c r="AC51" s="19"/>
      <c r="AD51" s="19"/>
      <c r="AE51" s="19"/>
      <c r="AF51" s="19"/>
      <c r="AG51" s="19"/>
      <c r="AH51" s="19"/>
    </row>
    <row r="52" spans="1:34">
      <c r="B52" s="325"/>
      <c r="C52" s="325"/>
      <c r="D52" s="325"/>
      <c r="E52" s="325"/>
      <c r="F52" s="325"/>
      <c r="G52" s="325"/>
      <c r="H52" s="325"/>
      <c r="I52" s="325"/>
      <c r="J52" s="325"/>
      <c r="K52" s="325"/>
      <c r="L52" s="325"/>
      <c r="M52" s="325"/>
      <c r="N52" s="325"/>
      <c r="O52" s="29" t="s">
        <v>763</v>
      </c>
      <c r="P52"/>
      <c r="Q52"/>
      <c r="AA52" s="16">
        <f t="shared" ref="AA52:AH52" si="27">AA49-AA50</f>
        <v>12541</v>
      </c>
      <c r="AB52" s="16">
        <f t="shared" si="27"/>
        <v>12046</v>
      </c>
      <c r="AC52" s="16">
        <f t="shared" si="27"/>
        <v>12194</v>
      </c>
      <c r="AD52" s="16">
        <f t="shared" si="27"/>
        <v>10002</v>
      </c>
      <c r="AE52" s="16">
        <f t="shared" si="27"/>
        <v>14221</v>
      </c>
      <c r="AF52" s="16">
        <f t="shared" si="27"/>
        <v>14539</v>
      </c>
      <c r="AG52" s="16">
        <f t="shared" si="27"/>
        <v>10238</v>
      </c>
      <c r="AH52" s="16">
        <f t="shared" si="27"/>
        <v>9599</v>
      </c>
    </row>
    <row r="53" spans="1:34" s="5" customFormat="1">
      <c r="A53" s="14"/>
      <c r="B53" s="325"/>
      <c r="C53" s="325"/>
      <c r="D53" s="325"/>
      <c r="E53" s="325"/>
      <c r="F53" s="325"/>
      <c r="G53" s="325"/>
      <c r="H53" s="325"/>
      <c r="I53" s="325"/>
      <c r="J53" s="325"/>
      <c r="K53" s="325"/>
      <c r="L53" s="325"/>
      <c r="M53" s="325"/>
      <c r="N53" s="325"/>
      <c r="O53" s="29" t="s">
        <v>763</v>
      </c>
      <c r="P53"/>
      <c r="Q53"/>
      <c r="AA53" s="27">
        <f>+AA49+AA44</f>
        <v>61491</v>
      </c>
      <c r="AB53" s="27">
        <f>+AB49+AB44</f>
        <v>63457</v>
      </c>
      <c r="AC53" s="27">
        <f>+AC49+AC44</f>
        <v>67855</v>
      </c>
      <c r="AD53" s="27">
        <f>AD44+AD49</f>
        <v>64018</v>
      </c>
      <c r="AE53" s="27">
        <f>AE49+AE44</f>
        <v>71388</v>
      </c>
      <c r="AF53" s="27">
        <f>AF49+AF44</f>
        <v>68044</v>
      </c>
      <c r="AG53" s="27">
        <f>AG49+AG44</f>
        <v>52695</v>
      </c>
      <c r="AH53" s="27">
        <f>AH49+AH44</f>
        <v>50738</v>
      </c>
    </row>
    <row r="54" spans="1:34">
      <c r="A54" s="31" t="s">
        <v>711</v>
      </c>
      <c r="B54" s="249">
        <v>321.5</v>
      </c>
      <c r="C54" s="249">
        <v>320.3</v>
      </c>
      <c r="D54" s="249">
        <v>315.89999999999998</v>
      </c>
      <c r="E54" s="249">
        <v>330.2</v>
      </c>
      <c r="F54" s="249">
        <v>342.5</v>
      </c>
      <c r="G54" s="249">
        <v>286.2</v>
      </c>
      <c r="H54" s="249">
        <v>16.600000000000001</v>
      </c>
      <c r="I54" s="249">
        <v>-6.4</v>
      </c>
      <c r="J54" s="249">
        <v>132.19999999999999</v>
      </c>
      <c r="K54" s="249">
        <v>110.6</v>
      </c>
      <c r="L54" s="249">
        <v>0</v>
      </c>
      <c r="M54" s="249">
        <v>0</v>
      </c>
      <c r="N54" s="249">
        <v>0</v>
      </c>
      <c r="O54" s="29" t="s">
        <v>763</v>
      </c>
      <c r="P54" t="s">
        <v>711</v>
      </c>
      <c r="Q54"/>
    </row>
    <row r="55" spans="1:34">
      <c r="B55" s="325"/>
      <c r="C55" s="325"/>
      <c r="D55" s="325"/>
      <c r="E55" s="325"/>
      <c r="F55" s="325"/>
      <c r="G55" s="325"/>
      <c r="H55" s="325"/>
      <c r="I55" s="325"/>
      <c r="J55" s="325"/>
      <c r="K55" s="325"/>
      <c r="L55" s="325"/>
      <c r="M55" s="325"/>
      <c r="N55" s="325"/>
      <c r="O55" s="29" t="s">
        <v>763</v>
      </c>
      <c r="P55"/>
      <c r="Q55"/>
    </row>
    <row r="56" spans="1:34" s="5" customFormat="1">
      <c r="A56" s="5" t="s">
        <v>712</v>
      </c>
      <c r="B56" s="248">
        <f>B38-B51-B54</f>
        <v>9743.1</v>
      </c>
      <c r="C56" s="248">
        <f>C38-C51-C54</f>
        <v>8413.6</v>
      </c>
      <c r="D56" s="248">
        <f t="shared" ref="D56:N56" si="28">D38-D51-D54</f>
        <v>11731.9</v>
      </c>
      <c r="E56" s="248">
        <f t="shared" si="28"/>
        <v>13598.899999999998</v>
      </c>
      <c r="F56" s="248">
        <f>F38-F51-F54</f>
        <v>12131.800000000001</v>
      </c>
      <c r="G56" s="248">
        <f t="shared" si="28"/>
        <v>12551</v>
      </c>
      <c r="H56" s="248">
        <f>H38-H51-H54</f>
        <v>7975.1</v>
      </c>
      <c r="I56" s="248">
        <f t="shared" si="28"/>
        <v>6891.2000000000007</v>
      </c>
      <c r="J56" s="248">
        <f t="shared" si="28"/>
        <v>6559.5999999999995</v>
      </c>
      <c r="K56" s="248">
        <f>K38-K51-K54</f>
        <v>5770.6999999999989</v>
      </c>
      <c r="L56" s="248">
        <f>L38-L51-L54</f>
        <v>4981.3000000000011</v>
      </c>
      <c r="M56" s="248">
        <f t="shared" si="28"/>
        <v>2860.3</v>
      </c>
      <c r="N56" s="248">
        <f t="shared" si="28"/>
        <v>2676</v>
      </c>
      <c r="O56" s="29" t="s">
        <v>763</v>
      </c>
      <c r="P56"/>
      <c r="Q56"/>
      <c r="R56" s="14" t="s">
        <v>764</v>
      </c>
      <c r="S56" s="5" t="s">
        <v>787</v>
      </c>
    </row>
    <row r="57" spans="1:34">
      <c r="A57" s="5"/>
      <c r="B57" s="248"/>
      <c r="C57" s="248"/>
      <c r="D57" s="248"/>
      <c r="E57" s="248"/>
      <c r="F57" s="248"/>
      <c r="G57" s="248"/>
      <c r="H57" s="248"/>
      <c r="I57" s="248"/>
      <c r="J57" s="248"/>
      <c r="K57" s="248"/>
      <c r="L57" s="248"/>
      <c r="M57" s="248"/>
      <c r="N57" s="248"/>
      <c r="O57" s="29"/>
      <c r="P57"/>
      <c r="Q57"/>
    </row>
    <row r="58" spans="1:34">
      <c r="A58" s="41" t="s">
        <v>788</v>
      </c>
      <c r="B58" s="248"/>
      <c r="C58" s="248"/>
      <c r="D58" s="248"/>
      <c r="E58" s="248"/>
      <c r="F58" s="248"/>
      <c r="G58" s="248"/>
      <c r="H58" s="248"/>
      <c r="I58" s="248"/>
      <c r="J58" s="248"/>
      <c r="K58" s="248"/>
      <c r="L58" s="248"/>
      <c r="M58" s="248"/>
      <c r="N58" s="248"/>
      <c r="O58" s="29"/>
      <c r="P58"/>
      <c r="Q58"/>
    </row>
    <row r="59" spans="1:34">
      <c r="A59" s="5" t="s">
        <v>134</v>
      </c>
      <c r="B59" s="248">
        <v>2780</v>
      </c>
      <c r="C59" s="248">
        <v>2756.9</v>
      </c>
      <c r="D59" s="248">
        <v>2705.4</v>
      </c>
      <c r="E59" s="248">
        <v>2806.5</v>
      </c>
      <c r="F59" s="248">
        <v>2551.1</v>
      </c>
      <c r="G59" s="248">
        <v>2246.3000000000002</v>
      </c>
      <c r="H59" s="248">
        <v>1931.4</v>
      </c>
      <c r="I59" s="248">
        <v>1696</v>
      </c>
      <c r="J59" s="248">
        <v>1413.7</v>
      </c>
      <c r="K59" s="248">
        <v>1081</v>
      </c>
      <c r="L59" s="248">
        <v>826.2</v>
      </c>
      <c r="M59" s="248">
        <v>556.29999999999995</v>
      </c>
      <c r="N59" s="248">
        <v>784.1</v>
      </c>
      <c r="O59" s="29"/>
      <c r="P59"/>
      <c r="Q59"/>
    </row>
    <row r="60" spans="1:34">
      <c r="A60" s="18" t="s">
        <v>67</v>
      </c>
      <c r="B60" s="249">
        <f>B12</f>
        <v>1765.2</v>
      </c>
      <c r="C60" s="249">
        <f t="shared" ref="C60:N60" si="29">C12</f>
        <v>-38.5</v>
      </c>
      <c r="D60" s="249">
        <f t="shared" si="29"/>
        <v>1</v>
      </c>
      <c r="E60" s="249">
        <f t="shared" si="29"/>
        <v>2031.8</v>
      </c>
      <c r="F60" s="249">
        <f t="shared" si="29"/>
        <v>21.4</v>
      </c>
      <c r="G60" s="249">
        <f t="shared" si="29"/>
        <v>3459.1</v>
      </c>
      <c r="H60" s="249">
        <f t="shared" si="29"/>
        <v>2330.8000000000002</v>
      </c>
      <c r="I60" s="249">
        <f t="shared" si="29"/>
        <v>1539.2</v>
      </c>
      <c r="J60" s="249">
        <f t="shared" si="29"/>
        <v>1060.5999999999999</v>
      </c>
      <c r="K60" s="249">
        <f t="shared" si="29"/>
        <v>836.2</v>
      </c>
      <c r="L60" s="249">
        <f t="shared" si="29"/>
        <v>1943.1</v>
      </c>
      <c r="M60" s="249">
        <f t="shared" si="29"/>
        <v>387.8</v>
      </c>
      <c r="N60" s="249">
        <f t="shared" si="29"/>
        <v>445</v>
      </c>
      <c r="O60" s="29"/>
      <c r="P60"/>
      <c r="Q60"/>
    </row>
    <row r="61" spans="1:34">
      <c r="A61" s="87" t="s">
        <v>58</v>
      </c>
      <c r="B61" s="249">
        <v>429.2</v>
      </c>
      <c r="C61" s="249">
        <v>400</v>
      </c>
      <c r="D61" s="249">
        <v>342.4</v>
      </c>
      <c r="E61" s="249">
        <v>305.10000000000002</v>
      </c>
      <c r="F61" s="249">
        <v>343.2</v>
      </c>
      <c r="G61" s="249">
        <v>447.1</v>
      </c>
      <c r="H61" s="249">
        <v>386.5</v>
      </c>
      <c r="I61" s="249">
        <v>293.89999999999998</v>
      </c>
      <c r="J61" s="249">
        <v>221</v>
      </c>
      <c r="K61" s="249">
        <v>202</v>
      </c>
      <c r="L61" s="249">
        <v>166.9</v>
      </c>
      <c r="M61" s="249">
        <v>120.2</v>
      </c>
      <c r="N61" s="249">
        <v>110.30000000000001</v>
      </c>
      <c r="O61" s="29"/>
      <c r="P61"/>
      <c r="Q61"/>
    </row>
    <row r="62" spans="1:34">
      <c r="A62" s="87" t="s">
        <v>789</v>
      </c>
      <c r="B62" s="249">
        <v>483.6</v>
      </c>
      <c r="C62" s="249">
        <v>925.7</v>
      </c>
      <c r="D62" s="249">
        <v>849</v>
      </c>
      <c r="E62" s="249">
        <v>489.7</v>
      </c>
      <c r="F62" s="249">
        <v>134.9</v>
      </c>
      <c r="G62" s="249">
        <v>280.3</v>
      </c>
      <c r="H62" s="249">
        <v>353.8</v>
      </c>
      <c r="I62" s="249">
        <v>510.1</v>
      </c>
      <c r="J62" s="249">
        <v>322.2</v>
      </c>
      <c r="K62" s="249">
        <v>266.89999999999998</v>
      </c>
      <c r="L62" s="249">
        <f>36.5-41.4-0.2-49.3-5.5+58.1</f>
        <v>-1.7999999999999972</v>
      </c>
      <c r="M62" s="249">
        <f>-38.9-90-9.6+76.9-5.8-0.3</f>
        <v>-67.699999999999989</v>
      </c>
      <c r="N62" s="249">
        <f>-5.6+51.5+6.5-6+10.6+44.6</f>
        <v>101.6</v>
      </c>
      <c r="O62" s="29"/>
      <c r="P62"/>
      <c r="Q62"/>
    </row>
    <row r="63" spans="1:34">
      <c r="A63" s="87" t="s">
        <v>790</v>
      </c>
      <c r="B63" s="249">
        <f>B59-B60-B61-B62</f>
        <v>101.99999999999989</v>
      </c>
      <c r="C63" s="249">
        <f>C59-C60-C61-C62</f>
        <v>1469.7</v>
      </c>
      <c r="D63" s="249">
        <f t="shared" ref="D63" si="30">D59-D60-D61-D62</f>
        <v>1513</v>
      </c>
      <c r="E63" s="249">
        <f>E59-E60-E61-E62</f>
        <v>-20.099999999999966</v>
      </c>
      <c r="F63" s="249">
        <f t="shared" ref="F63:N63" si="31">F59-F60-F61-F62</f>
        <v>2051.6</v>
      </c>
      <c r="G63" s="249">
        <f t="shared" si="31"/>
        <v>-1940.1999999999996</v>
      </c>
      <c r="H63" s="249">
        <f>H59-H60-H61-H62</f>
        <v>-1139.7</v>
      </c>
      <c r="I63" s="249">
        <f t="shared" si="31"/>
        <v>-647.20000000000005</v>
      </c>
      <c r="J63" s="249">
        <f t="shared" si="31"/>
        <v>-190.09999999999985</v>
      </c>
      <c r="K63" s="249">
        <f t="shared" si="31"/>
        <v>-224.10000000000002</v>
      </c>
      <c r="L63" s="249">
        <f t="shared" si="31"/>
        <v>-1282</v>
      </c>
      <c r="M63" s="249">
        <f t="shared" si="31"/>
        <v>115.99999999999993</v>
      </c>
      <c r="N63" s="249">
        <f t="shared" si="31"/>
        <v>127.20000000000002</v>
      </c>
      <c r="O63" s="29"/>
      <c r="P63"/>
      <c r="Q63"/>
    </row>
    <row r="64" spans="1:34">
      <c r="A64" s="5" t="s">
        <v>135</v>
      </c>
      <c r="B64" s="248">
        <v>-1285.9000000000001</v>
      </c>
      <c r="C64" s="248">
        <v>-999.4</v>
      </c>
      <c r="D64" s="248">
        <v>-1035.8</v>
      </c>
      <c r="E64" s="248">
        <v>-87.9</v>
      </c>
      <c r="F64" s="248">
        <v>-531</v>
      </c>
      <c r="G64" s="248">
        <v>-4831.8</v>
      </c>
      <c r="H64" s="248">
        <v>-1423.1</v>
      </c>
      <c r="I64" s="248">
        <v>-1461.8</v>
      </c>
      <c r="J64" s="248">
        <v>-2207.4</v>
      </c>
      <c r="K64" s="248">
        <v>-1015.9</v>
      </c>
      <c r="L64" s="248">
        <v>-4863.8</v>
      </c>
      <c r="M64" s="248">
        <v>-206.8</v>
      </c>
      <c r="N64" s="248">
        <v>-135.1</v>
      </c>
      <c r="O64" s="29"/>
      <c r="P64" s="6"/>
      <c r="Q64"/>
    </row>
    <row r="65" spans="1:16">
      <c r="A65" s="87" t="s">
        <v>136</v>
      </c>
      <c r="B65" s="249">
        <v>-1269.0999999999999</v>
      </c>
      <c r="C65" s="249">
        <f>-1035.4+6.7</f>
        <v>-1028.7</v>
      </c>
      <c r="D65" s="249">
        <f>-1026.8+4.1</f>
        <v>-1022.6999999999999</v>
      </c>
      <c r="E65" s="249">
        <f>-864.6+18.9</f>
        <v>-845.7</v>
      </c>
      <c r="F65" s="249">
        <f>-726.5+8.3</f>
        <v>-718.2</v>
      </c>
      <c r="G65" s="249">
        <f>-886.3+72.3</f>
        <v>-814</v>
      </c>
      <c r="H65" s="249">
        <f>-1058+5.9</f>
        <v>-1052.0999999999999</v>
      </c>
      <c r="I65" s="249">
        <v>-907.4</v>
      </c>
      <c r="J65" s="249">
        <v>-891.3</v>
      </c>
      <c r="K65" s="249">
        <v>-719.4</v>
      </c>
      <c r="L65" s="249">
        <v>-223.5</v>
      </c>
      <c r="M65" s="249">
        <v>-62.1</v>
      </c>
      <c r="N65" s="249">
        <v>-64.8</v>
      </c>
      <c r="O65" s="29"/>
      <c r="P65"/>
    </row>
    <row r="66" spans="1:16">
      <c r="A66" s="87" t="s">
        <v>137</v>
      </c>
      <c r="B66" s="249">
        <v>47.8</v>
      </c>
      <c r="C66" s="249">
        <f>-37.1-30.8+96.7</f>
        <v>28.799999999999997</v>
      </c>
      <c r="D66" s="249">
        <f>-53.5-36.6+74.4+4.6</f>
        <v>-11.099999999999989</v>
      </c>
      <c r="E66" s="249">
        <f>-19.9-222.4+999.5</f>
        <v>757.2</v>
      </c>
      <c r="F66" s="249">
        <f>269.7+1.5-36.2-48.2</f>
        <v>186.8</v>
      </c>
      <c r="G66" s="655">
        <f>-4081.5-45.6+110.2</f>
        <v>-4016.9000000000005</v>
      </c>
      <c r="H66" s="249">
        <f>-210.9-150.1</f>
        <v>-361</v>
      </c>
      <c r="I66" s="249">
        <f>575.3-1111</f>
        <v>-535.70000000000005</v>
      </c>
      <c r="J66" s="249">
        <v>-1316.4</v>
      </c>
      <c r="K66" s="249">
        <v>-310.3</v>
      </c>
      <c r="L66" s="655">
        <v>-4681.3</v>
      </c>
      <c r="M66" s="249">
        <v>-159.30000000000001</v>
      </c>
      <c r="N66" s="249">
        <v>-51.5</v>
      </c>
      <c r="O66" s="29"/>
      <c r="P66"/>
    </row>
    <row r="67" spans="1:16">
      <c r="A67" s="87" t="s">
        <v>791</v>
      </c>
      <c r="B67" s="249">
        <f>B64-B65-B66</f>
        <v>-64.600000000000179</v>
      </c>
      <c r="C67" s="249">
        <f>C64-C65-C66</f>
        <v>0.50000000000007105</v>
      </c>
      <c r="D67" s="249">
        <f>D64-D65-D66</f>
        <v>-2.0000000000000338</v>
      </c>
      <c r="E67" s="249">
        <f>E64-E65-E66</f>
        <v>0.60000000000002274</v>
      </c>
      <c r="F67" s="249">
        <f t="shared" ref="F67" si="32">F64-F65-F66</f>
        <v>0.40000000000003411</v>
      </c>
      <c r="G67" s="249">
        <f t="shared" ref="G67:N67" si="33">G64-G65-G66</f>
        <v>-0.8999999999996362</v>
      </c>
      <c r="H67" s="249">
        <f t="shared" si="33"/>
        <v>-10</v>
      </c>
      <c r="I67" s="249">
        <f t="shared" si="33"/>
        <v>-18.699999999999932</v>
      </c>
      <c r="J67" s="249">
        <f t="shared" si="33"/>
        <v>0.29999999999995453</v>
      </c>
      <c r="K67" s="249">
        <f t="shared" si="33"/>
        <v>13.800000000000011</v>
      </c>
      <c r="L67" s="249">
        <f t="shared" si="33"/>
        <v>41</v>
      </c>
      <c r="M67" s="249">
        <f t="shared" si="33"/>
        <v>14.599999999999994</v>
      </c>
      <c r="N67" s="249">
        <f t="shared" si="33"/>
        <v>-18.799999999999997</v>
      </c>
      <c r="O67" s="29"/>
      <c r="P67"/>
    </row>
    <row r="68" spans="1:16">
      <c r="A68" s="5" t="s">
        <v>138</v>
      </c>
      <c r="B68" s="248">
        <v>-1474.6</v>
      </c>
      <c r="C68" s="248">
        <v>-1819.9</v>
      </c>
      <c r="D68" s="248">
        <v>-1929.5</v>
      </c>
      <c r="E68" s="248">
        <v>-2346.6</v>
      </c>
      <c r="F68" s="248">
        <v>-2031.4</v>
      </c>
      <c r="G68" s="248">
        <v>2593.3000000000002</v>
      </c>
      <c r="H68" s="248">
        <v>-601.20000000000005</v>
      </c>
      <c r="I68" s="248">
        <v>-134.80000000000001</v>
      </c>
      <c r="J68" s="248">
        <v>776</v>
      </c>
      <c r="K68" s="248">
        <v>-16.399999999999999</v>
      </c>
      <c r="L68" s="248">
        <v>3777</v>
      </c>
      <c r="M68" s="248">
        <v>-98.7</v>
      </c>
      <c r="N68" s="248">
        <v>-575.1</v>
      </c>
      <c r="O68" s="29"/>
      <c r="P68"/>
    </row>
    <row r="69" spans="1:16">
      <c r="A69" s="87" t="s">
        <v>792</v>
      </c>
      <c r="B69" s="249">
        <v>1144.4000000000001</v>
      </c>
      <c r="C69" s="249">
        <v>3344.9</v>
      </c>
      <c r="D69" s="249">
        <v>995.6</v>
      </c>
      <c r="E69" s="249">
        <v>1194.7</v>
      </c>
      <c r="F69" s="249">
        <v>1291.3</v>
      </c>
      <c r="G69" s="249">
        <v>3657.6</v>
      </c>
      <c r="H69" s="249">
        <v>7933.4</v>
      </c>
      <c r="I69" s="249">
        <v>1965.6</v>
      </c>
      <c r="J69" s="249">
        <v>610</v>
      </c>
      <c r="K69" s="249">
        <v>905</v>
      </c>
      <c r="L69" s="249">
        <v>3725</v>
      </c>
      <c r="M69" s="249">
        <v>2050</v>
      </c>
      <c r="N69" s="249">
        <v>0</v>
      </c>
      <c r="O69" s="29"/>
      <c r="P69"/>
    </row>
    <row r="70" spans="1:16">
      <c r="A70" s="87" t="s">
        <v>793</v>
      </c>
      <c r="B70" s="249">
        <v>-1741.3</v>
      </c>
      <c r="C70" s="249">
        <v>-3038.2</v>
      </c>
      <c r="D70" s="249">
        <v>-1722.9</v>
      </c>
      <c r="E70" s="249">
        <v>-2982.5</v>
      </c>
      <c r="F70" s="249">
        <v>-2756.1</v>
      </c>
      <c r="G70" s="249">
        <v>-142.9</v>
      </c>
      <c r="H70" s="249">
        <v>-7388.1</v>
      </c>
      <c r="I70" s="249">
        <v>-1183</v>
      </c>
      <c r="J70" s="249">
        <v>-582.6</v>
      </c>
      <c r="K70" s="249">
        <v>-632.6</v>
      </c>
      <c r="L70" s="249">
        <f>-96.4-82.2</f>
        <v>-178.60000000000002</v>
      </c>
      <c r="M70" s="249">
        <f>-1537.2-35.8</f>
        <v>-1573</v>
      </c>
      <c r="N70" s="249">
        <v>-475.9</v>
      </c>
      <c r="O70" s="29"/>
      <c r="P70"/>
    </row>
    <row r="71" spans="1:16">
      <c r="A71" s="87" t="s">
        <v>794</v>
      </c>
      <c r="B71" s="249">
        <v>0</v>
      </c>
      <c r="C71" s="249">
        <v>0</v>
      </c>
      <c r="D71" s="249">
        <v>0</v>
      </c>
      <c r="E71" s="249">
        <v>0</v>
      </c>
      <c r="F71" s="249">
        <v>0</v>
      </c>
      <c r="G71" s="249">
        <v>0</v>
      </c>
      <c r="H71" s="249">
        <v>0</v>
      </c>
      <c r="I71" s="249">
        <v>0</v>
      </c>
      <c r="J71" s="249">
        <v>0</v>
      </c>
      <c r="K71" s="249">
        <v>0</v>
      </c>
      <c r="L71" s="249">
        <v>0</v>
      </c>
      <c r="M71" s="249">
        <v>0</v>
      </c>
      <c r="N71" s="249">
        <v>0</v>
      </c>
      <c r="O71" s="29"/>
      <c r="P71"/>
    </row>
    <row r="72" spans="1:16">
      <c r="A72" s="87" t="s">
        <v>795</v>
      </c>
      <c r="B72" s="249">
        <v>-9.6999999999999993</v>
      </c>
      <c r="C72" s="249">
        <v>-8.8000000000000007</v>
      </c>
      <c r="D72" s="249">
        <v>-5.9</v>
      </c>
      <c r="E72" s="249">
        <v>-10.5</v>
      </c>
      <c r="F72" s="249">
        <f>-13.8</f>
        <v>-13.8</v>
      </c>
      <c r="G72" s="249">
        <v>0</v>
      </c>
      <c r="H72" s="249">
        <v>0</v>
      </c>
      <c r="I72" s="249">
        <v>0</v>
      </c>
      <c r="J72" s="249">
        <v>0</v>
      </c>
      <c r="K72" s="249">
        <v>0</v>
      </c>
      <c r="L72" s="249">
        <v>0</v>
      </c>
      <c r="M72" s="249">
        <v>0</v>
      </c>
      <c r="N72" s="249">
        <v>0</v>
      </c>
      <c r="O72" s="29"/>
      <c r="P72"/>
    </row>
    <row r="73" spans="1:16">
      <c r="A73" s="87" t="s">
        <v>139</v>
      </c>
      <c r="B73" s="249">
        <v>-653.79999999999995</v>
      </c>
      <c r="C73" s="249">
        <v>-587.70000000000005</v>
      </c>
      <c r="D73" s="249">
        <v>-573</v>
      </c>
      <c r="E73" s="249">
        <v>-575</v>
      </c>
      <c r="F73" s="249">
        <v>-569.20000000000005</v>
      </c>
      <c r="G73" s="249">
        <v>-557.70000000000005</v>
      </c>
      <c r="H73" s="249">
        <v>-400.1</v>
      </c>
      <c r="I73" s="249">
        <v>-315.10000000000002</v>
      </c>
      <c r="J73" s="249">
        <v>-241.6</v>
      </c>
      <c r="K73" s="249">
        <v>0</v>
      </c>
      <c r="L73" s="249">
        <v>0</v>
      </c>
      <c r="M73" s="249">
        <v>0</v>
      </c>
      <c r="N73" s="249">
        <v>0</v>
      </c>
      <c r="O73" s="26" t="s">
        <v>796</v>
      </c>
      <c r="P73" t="s">
        <v>797</v>
      </c>
    </row>
    <row r="74" spans="1:16">
      <c r="A74" s="87" t="s">
        <v>694</v>
      </c>
      <c r="B74" s="249">
        <v>-249.7</v>
      </c>
      <c r="C74" s="249">
        <v>-1700.2</v>
      </c>
      <c r="D74" s="249">
        <v>-1390.5</v>
      </c>
      <c r="E74" s="249">
        <v>-1045.9000000000001</v>
      </c>
      <c r="F74" s="249">
        <v>-1045.9000000000001</v>
      </c>
      <c r="G74" s="249">
        <v>-995.9</v>
      </c>
      <c r="H74" s="249">
        <v>-512.79999999999995</v>
      </c>
      <c r="I74" s="249">
        <v>-453.1</v>
      </c>
      <c r="J74" s="249">
        <v>-330.5</v>
      </c>
      <c r="K74" s="249">
        <v>-796.7</v>
      </c>
      <c r="L74" s="249">
        <v>0</v>
      </c>
      <c r="M74" s="249">
        <v>-383</v>
      </c>
      <c r="N74" s="249">
        <v>-413.7</v>
      </c>
      <c r="O74" s="26" t="s">
        <v>796</v>
      </c>
      <c r="P74" t="str">
        <f>+A74</f>
        <v>Share buyback</v>
      </c>
    </row>
    <row r="75" spans="1:16">
      <c r="A75" s="87" t="s">
        <v>791</v>
      </c>
      <c r="B75" s="249">
        <f>B68-B69-B70-B71-B72-B73-B74</f>
        <v>35.499999999999943</v>
      </c>
      <c r="C75" s="249">
        <f>C68-C69-C70-C71-C72-C73-C74</f>
        <v>170.09999999999991</v>
      </c>
      <c r="D75" s="249">
        <f t="shared" ref="D75:N75" si="34">D68-D69-D70-D71-D72-D73-D74</f>
        <v>767.20000000000027</v>
      </c>
      <c r="E75" s="249">
        <f t="shared" si="34"/>
        <v>1072.5999999999999</v>
      </c>
      <c r="F75" s="249">
        <f t="shared" si="34"/>
        <v>1062.3000000000002</v>
      </c>
      <c r="G75" s="249">
        <f t="shared" si="34"/>
        <v>632.20000000000027</v>
      </c>
      <c r="H75" s="249">
        <f t="shared" si="34"/>
        <v>-233.60000000000002</v>
      </c>
      <c r="I75" s="249">
        <f t="shared" si="34"/>
        <v>-149.20000000000005</v>
      </c>
      <c r="J75" s="249">
        <f t="shared" si="34"/>
        <v>1320.7</v>
      </c>
      <c r="K75" s="249">
        <f t="shared" si="34"/>
        <v>507.90000000000009</v>
      </c>
      <c r="L75" s="249">
        <f t="shared" si="34"/>
        <v>230.60000000000002</v>
      </c>
      <c r="M75" s="249">
        <f t="shared" si="34"/>
        <v>-192.69999999999982</v>
      </c>
      <c r="N75" s="249">
        <f t="shared" si="34"/>
        <v>314.49999999999994</v>
      </c>
      <c r="O75" s="29"/>
      <c r="P75"/>
    </row>
    <row r="76" spans="1:16">
      <c r="A76" s="5" t="s">
        <v>142</v>
      </c>
      <c r="B76" s="325">
        <v>-0.6</v>
      </c>
      <c r="C76" s="325">
        <v>-3.5</v>
      </c>
      <c r="D76" s="325">
        <v>-1.3</v>
      </c>
      <c r="E76" s="325">
        <v>7.2</v>
      </c>
      <c r="F76" s="325">
        <v>-0.9</v>
      </c>
      <c r="G76" s="325">
        <v>-4.5</v>
      </c>
      <c r="H76" s="325">
        <v>5.8</v>
      </c>
      <c r="I76" s="325">
        <v>-5.0999999999999996</v>
      </c>
      <c r="J76" s="325">
        <v>-9.3000000000000007</v>
      </c>
      <c r="K76" s="325">
        <v>-2.5</v>
      </c>
      <c r="L76" s="325">
        <v>-7</v>
      </c>
      <c r="M76" s="325">
        <v>-5.0999999999999996</v>
      </c>
      <c r="N76" s="325">
        <v>2.7</v>
      </c>
      <c r="O76" s="29"/>
      <c r="P76"/>
    </row>
    <row r="77" spans="1:16">
      <c r="A77" s="5" t="s">
        <v>713</v>
      </c>
      <c r="B77" s="248">
        <v>18.899999999999999</v>
      </c>
      <c r="C77" s="248">
        <f t="shared" ref="C77" si="35">C59+C64+C68+C76</f>
        <v>-65.900000000000091</v>
      </c>
      <c r="D77" s="248">
        <f t="shared" ref="D77:N77" si="36">D59+D64+D68+D76</f>
        <v>-261.19999999999987</v>
      </c>
      <c r="E77" s="248">
        <f t="shared" si="36"/>
        <v>379.2</v>
      </c>
      <c r="F77" s="248">
        <f t="shared" si="36"/>
        <v>-12.200000000000182</v>
      </c>
      <c r="G77" s="248">
        <f t="shared" si="36"/>
        <v>3.3000000000001819</v>
      </c>
      <c r="H77" s="248">
        <f t="shared" si="36"/>
        <v>-87.099999999999866</v>
      </c>
      <c r="I77" s="248">
        <f t="shared" si="36"/>
        <v>94.30000000000004</v>
      </c>
      <c r="J77" s="248">
        <f t="shared" si="36"/>
        <v>-27.000000000000046</v>
      </c>
      <c r="K77" s="248">
        <f t="shared" si="36"/>
        <v>46.200000000000024</v>
      </c>
      <c r="L77" s="248">
        <f t="shared" si="36"/>
        <v>-267.60000000000036</v>
      </c>
      <c r="M77" s="248">
        <f t="shared" si="36"/>
        <v>245.69999999999996</v>
      </c>
      <c r="N77" s="248">
        <f t="shared" si="36"/>
        <v>76.59999999999998</v>
      </c>
      <c r="O77" s="29"/>
      <c r="P77"/>
    </row>
    <row r="78" spans="1:16">
      <c r="B78" s="917"/>
      <c r="C78" s="917"/>
      <c r="D78" s="917"/>
      <c r="E78" s="917"/>
      <c r="F78" s="917"/>
      <c r="G78" s="917"/>
      <c r="H78" s="917"/>
      <c r="I78" s="917"/>
      <c r="J78" s="918"/>
      <c r="N78" s="16"/>
      <c r="O78"/>
      <c r="P78" t="s">
        <v>798</v>
      </c>
    </row>
    <row r="79" spans="1:16">
      <c r="A79" s="41" t="s">
        <v>799</v>
      </c>
      <c r="B79" s="41"/>
      <c r="C79" s="41"/>
      <c r="D79" s="41"/>
      <c r="E79" s="41"/>
      <c r="F79" s="1485" t="s">
        <v>721</v>
      </c>
      <c r="G79" s="1485"/>
      <c r="H79" s="1485"/>
      <c r="I79" s="1485" t="s">
        <v>800</v>
      </c>
      <c r="J79" s="1485"/>
      <c r="K79" s="41" t="s">
        <v>723</v>
      </c>
      <c r="L79" s="41" t="s">
        <v>724</v>
      </c>
      <c r="M79" s="41" t="s">
        <v>725</v>
      </c>
      <c r="N79" s="27"/>
      <c r="O79"/>
      <c r="P79"/>
    </row>
    <row r="80" spans="1:16">
      <c r="A80" s="18" t="s">
        <v>801</v>
      </c>
      <c r="B80" s="19">
        <v>10600</v>
      </c>
      <c r="C80" s="19"/>
      <c r="D80" s="32" t="s">
        <v>802</v>
      </c>
      <c r="E80" s="16"/>
      <c r="F80" s="1482"/>
      <c r="G80" s="1482"/>
      <c r="H80" s="1482"/>
      <c r="I80" s="1483"/>
      <c r="J80" s="1483"/>
      <c r="K80" s="55"/>
      <c r="L80" s="54"/>
      <c r="M80" s="54"/>
      <c r="N80" s="16"/>
      <c r="O80" s="32" t="s">
        <v>803</v>
      </c>
      <c r="P80"/>
    </row>
    <row r="81" spans="1:16">
      <c r="A81" s="18" t="s">
        <v>804</v>
      </c>
      <c r="B81" s="19">
        <v>182190</v>
      </c>
      <c r="C81" s="19"/>
      <c r="D81" s="32" t="s">
        <v>805</v>
      </c>
      <c r="E81" s="16"/>
      <c r="F81" s="1482"/>
      <c r="G81" s="1482"/>
      <c r="H81" s="1482"/>
      <c r="I81" s="1483"/>
      <c r="J81" s="1483"/>
      <c r="K81" s="55"/>
      <c r="L81" s="54"/>
      <c r="M81" s="54"/>
      <c r="N81" s="16"/>
      <c r="O81" s="32" t="s">
        <v>803</v>
      </c>
      <c r="P81"/>
    </row>
    <row r="82" spans="1:16">
      <c r="A82" s="18" t="s">
        <v>47</v>
      </c>
      <c r="B82" s="19">
        <f>73.53*(100)</f>
        <v>7353</v>
      </c>
      <c r="C82" s="575"/>
      <c r="D82" s="32" t="s">
        <v>805</v>
      </c>
      <c r="E82" s="56"/>
      <c r="F82" s="1482"/>
      <c r="G82" s="1482"/>
      <c r="H82" s="1482"/>
      <c r="I82" s="1483"/>
      <c r="J82" s="1483"/>
      <c r="K82" s="55"/>
      <c r="L82" s="54"/>
      <c r="M82" s="54"/>
      <c r="N82" s="58"/>
      <c r="O82" s="32" t="s">
        <v>803</v>
      </c>
      <c r="P82"/>
    </row>
    <row r="83" spans="1:16">
      <c r="A83" s="18" t="s">
        <v>51</v>
      </c>
      <c r="B83" s="575">
        <v>0.11940000000000001</v>
      </c>
      <c r="C83" s="576"/>
      <c r="D83" s="32" t="s">
        <v>805</v>
      </c>
      <c r="E83" s="57"/>
      <c r="F83" s="1482"/>
      <c r="G83" s="1482"/>
      <c r="H83" s="1482"/>
      <c r="I83" s="1483"/>
      <c r="J83" s="1483"/>
      <c r="K83" s="55"/>
      <c r="L83" s="54"/>
      <c r="M83" s="54"/>
      <c r="N83" s="58"/>
      <c r="O83" s="32" t="s">
        <v>803</v>
      </c>
      <c r="P83"/>
    </row>
    <row r="84" spans="1:16">
      <c r="A84" s="18" t="s">
        <v>717</v>
      </c>
      <c r="B84" s="19" t="s">
        <v>60</v>
      </c>
      <c r="C84" s="19"/>
      <c r="D84" s="32" t="s">
        <v>802</v>
      </c>
      <c r="E84" s="16"/>
      <c r="F84" s="1482"/>
      <c r="G84" s="1482"/>
      <c r="H84" s="1482"/>
      <c r="I84" s="1483"/>
      <c r="J84" s="1483"/>
      <c r="K84" s="55"/>
      <c r="L84" s="54"/>
      <c r="M84" s="54"/>
      <c r="N84" s="16"/>
      <c r="O84" s="32" t="s">
        <v>803</v>
      </c>
      <c r="P84"/>
    </row>
    <row r="85" spans="1:16">
      <c r="A85" s="18" t="s">
        <v>806</v>
      </c>
      <c r="B85" s="575">
        <v>1.7399999999999999E-2</v>
      </c>
      <c r="C85" s="577"/>
      <c r="D85" s="32" t="s">
        <v>805</v>
      </c>
      <c r="E85" s="16"/>
      <c r="F85" s="1482"/>
      <c r="G85" s="1482"/>
      <c r="H85" s="1482"/>
      <c r="I85" s="1483"/>
      <c r="J85" s="1483"/>
      <c r="K85" s="54"/>
      <c r="L85" s="54"/>
      <c r="M85" s="54"/>
      <c r="N85" s="16"/>
      <c r="O85" s="32" t="s">
        <v>803</v>
      </c>
      <c r="P85"/>
    </row>
    <row r="86" spans="1:16">
      <c r="A86" s="18" t="s">
        <v>719</v>
      </c>
      <c r="B86" s="19"/>
      <c r="C86" s="19"/>
      <c r="D86" s="32" t="s">
        <v>807</v>
      </c>
      <c r="E86" s="16"/>
      <c r="F86" s="1482"/>
      <c r="G86" s="1482"/>
      <c r="H86" s="1482"/>
      <c r="I86" s="1483"/>
      <c r="J86" s="1483"/>
      <c r="K86" s="54"/>
      <c r="L86" s="54"/>
      <c r="M86" s="54"/>
      <c r="N86" s="16"/>
      <c r="O86" s="32" t="s">
        <v>803</v>
      </c>
    </row>
    <row r="87" spans="1:16">
      <c r="B87" s="41">
        <f>B5</f>
        <v>2024</v>
      </c>
      <c r="C87" s="41">
        <f>C5</f>
        <v>2023</v>
      </c>
      <c r="D87" s="41">
        <f t="shared" ref="D87:E87" si="37">D5</f>
        <v>2022</v>
      </c>
      <c r="E87" s="41">
        <f t="shared" si="37"/>
        <v>2021</v>
      </c>
      <c r="F87" s="33"/>
      <c r="H87" s="33"/>
      <c r="I87" s="33"/>
      <c r="J87" s="33"/>
      <c r="K87" s="33"/>
      <c r="L87" s="33"/>
      <c r="M87" s="33"/>
      <c r="N87" s="33"/>
      <c r="O87"/>
    </row>
    <row r="88" spans="1:16">
      <c r="A88" s="18" t="s">
        <v>720</v>
      </c>
      <c r="B88" s="577">
        <f>OP!C28</f>
        <v>1.274E-2</v>
      </c>
      <c r="F88" s="32" t="s">
        <v>807</v>
      </c>
      <c r="I88" s="5"/>
      <c r="L88" s="14"/>
      <c r="M88" s="14"/>
      <c r="P88"/>
    </row>
    <row r="89" spans="1:16">
      <c r="A89" s="18" t="s">
        <v>73</v>
      </c>
      <c r="B89" s="54">
        <v>3.17</v>
      </c>
      <c r="C89" s="53">
        <v>9.0500000000000007</v>
      </c>
      <c r="D89" s="53">
        <v>0.56000000000000005</v>
      </c>
      <c r="E89" s="53">
        <v>4.25</v>
      </c>
      <c r="F89" s="32" t="s">
        <v>807</v>
      </c>
      <c r="I89" s="963"/>
      <c r="L89" s="14"/>
      <c r="M89" s="14"/>
      <c r="P89" s="41"/>
    </row>
    <row r="90" spans="1:16">
      <c r="I90" s="28"/>
    </row>
    <row r="92" spans="1:16">
      <c r="A92" s="686" t="s">
        <v>808</v>
      </c>
      <c r="B92" s="689">
        <f t="shared" ref="B92:M92" si="38">B93/(B93+B6)</f>
        <v>-8.1323404901982088E-2</v>
      </c>
      <c r="C92" s="689">
        <f t="shared" si="38"/>
        <v>-8.3020164986251144E-2</v>
      </c>
      <c r="D92" s="689">
        <f t="shared" si="38"/>
        <v>-8.7324186728794537E-2</v>
      </c>
      <c r="E92" s="689">
        <f t="shared" si="38"/>
        <v>-9.4080593337651286E-2</v>
      </c>
      <c r="F92" s="689">
        <f t="shared" si="38"/>
        <v>-0.10159757063638764</v>
      </c>
      <c r="G92" s="689">
        <f t="shared" si="38"/>
        <v>-0.10456333274357962</v>
      </c>
      <c r="H92" s="689">
        <f t="shared" si="38"/>
        <v>-0.10839957914425999</v>
      </c>
      <c r="I92" s="689">
        <f t="shared" si="38"/>
        <v>-0.11059775199200171</v>
      </c>
      <c r="J92" s="689">
        <f t="shared" si="38"/>
        <v>-0.1150008513536523</v>
      </c>
      <c r="K92" s="689">
        <f t="shared" si="38"/>
        <v>-0.11963446572187449</v>
      </c>
      <c r="L92" s="689">
        <f t="shared" si="38"/>
        <v>-0.12563592637128851</v>
      </c>
      <c r="M92" s="689">
        <f t="shared" si="38"/>
        <v>-0.15503139458030404</v>
      </c>
      <c r="N92" s="689">
        <f>N93/(N93+N6)</f>
        <v>-0.13942906203047864</v>
      </c>
    </row>
    <row r="93" spans="1:16">
      <c r="A93" s="687" t="s">
        <v>809</v>
      </c>
      <c r="B93" s="691">
        <v>-749.2</v>
      </c>
      <c r="C93" s="691">
        <v>-724.6</v>
      </c>
      <c r="D93" s="691">
        <v>-708.4</v>
      </c>
      <c r="E93" s="691">
        <v>-740.8</v>
      </c>
      <c r="F93" s="691">
        <v>-769.5</v>
      </c>
      <c r="G93" s="688">
        <v>-768.3</v>
      </c>
      <c r="H93" s="688">
        <v>-741.8</v>
      </c>
      <c r="I93" s="688">
        <v>-730.1</v>
      </c>
      <c r="J93" s="688">
        <v>-675.4</v>
      </c>
      <c r="K93" s="688">
        <v>-644.1</v>
      </c>
      <c r="L93" s="690">
        <v>-543.29999999999995</v>
      </c>
      <c r="M93" s="690">
        <v>-375.3</v>
      </c>
      <c r="N93" s="690">
        <v>-324.8</v>
      </c>
    </row>
    <row r="94" spans="1:16">
      <c r="B94" s="739"/>
      <c r="C94" s="739"/>
      <c r="D94" s="739"/>
      <c r="E94" s="739"/>
      <c r="F94" s="739"/>
      <c r="G94" s="739"/>
      <c r="H94" s="739"/>
      <c r="I94" s="739"/>
      <c r="J94" s="739"/>
      <c r="K94" s="739"/>
      <c r="L94" s="739"/>
      <c r="M94" s="739"/>
      <c r="N94" s="739"/>
    </row>
    <row r="96" spans="1:16">
      <c r="L96" s="14"/>
      <c r="M96" s="14"/>
      <c r="N96" s="16"/>
      <c r="O96" s="16"/>
    </row>
    <row r="97" spans="12:15">
      <c r="L97" s="14"/>
      <c r="M97" s="14"/>
      <c r="N97" s="16"/>
      <c r="O97" s="16"/>
    </row>
    <row r="98" spans="12:15">
      <c r="L98" s="14"/>
      <c r="M98" s="14"/>
      <c r="N98" s="16"/>
      <c r="O98" s="16"/>
    </row>
    <row r="99" spans="12:15">
      <c r="L99" s="14"/>
      <c r="M99" s="14"/>
      <c r="N99" s="16"/>
      <c r="O99" s="16"/>
    </row>
    <row r="100" spans="12:15">
      <c r="L100" s="14"/>
      <c r="M100" s="14"/>
      <c r="N100" s="16"/>
      <c r="O100" s="16"/>
    </row>
    <row r="101" spans="12:15">
      <c r="L101" s="14"/>
      <c r="M101" s="14"/>
      <c r="N101" s="16"/>
      <c r="O101" s="16"/>
    </row>
    <row r="102" spans="12:15">
      <c r="L102" s="14"/>
      <c r="M102" s="14"/>
      <c r="N102" s="16"/>
      <c r="O102" s="16"/>
    </row>
    <row r="103" spans="12:15">
      <c r="L103" s="14"/>
      <c r="M103" s="14"/>
      <c r="N103" s="16"/>
      <c r="O103" s="16"/>
    </row>
    <row r="104" spans="12:15">
      <c r="L104" s="14"/>
      <c r="M104" s="14"/>
      <c r="N104" s="16"/>
      <c r="O104" s="16"/>
    </row>
    <row r="105" spans="12:15">
      <c r="L105" s="14"/>
      <c r="M105" s="14"/>
      <c r="N105" s="16"/>
      <c r="O105" s="16"/>
    </row>
    <row r="113" spans="1:17">
      <c r="B113" s="5"/>
      <c r="C113" s="5"/>
      <c r="D113" s="5"/>
      <c r="E113" s="5"/>
      <c r="F113" s="5"/>
      <c r="G113" s="5"/>
      <c r="H113" s="5"/>
      <c r="I113" s="5"/>
      <c r="J113" s="5"/>
      <c r="K113" s="5"/>
      <c r="L113" s="5"/>
      <c r="M113" s="5"/>
      <c r="N113" s="960"/>
      <c r="O113" s="939"/>
    </row>
    <row r="114" spans="1:17">
      <c r="A114" s="959"/>
      <c r="B114" s="21"/>
      <c r="C114" s="21"/>
      <c r="D114" s="21"/>
      <c r="E114" s="21"/>
      <c r="F114" s="21"/>
      <c r="G114" s="21"/>
      <c r="H114" s="21"/>
      <c r="I114" s="21"/>
      <c r="J114" s="21"/>
      <c r="K114" s="21"/>
      <c r="L114" s="963"/>
      <c r="M114" s="21"/>
    </row>
    <row r="115" spans="1:17">
      <c r="B115" s="5"/>
      <c r="C115" s="5"/>
      <c r="D115" s="5"/>
      <c r="E115" s="5"/>
      <c r="F115" s="5"/>
      <c r="G115" s="5"/>
      <c r="H115" s="5"/>
      <c r="I115" s="5"/>
      <c r="J115" s="5"/>
      <c r="K115" s="5"/>
      <c r="L115" s="21"/>
      <c r="M115" s="5"/>
    </row>
    <row r="116" spans="1:17">
      <c r="A116" s="959"/>
      <c r="B116" s="21"/>
      <c r="C116" s="21"/>
      <c r="D116" s="21"/>
      <c r="E116" s="21"/>
      <c r="F116" s="21"/>
      <c r="G116" s="21"/>
      <c r="H116" s="21"/>
      <c r="I116" s="21"/>
      <c r="J116" s="21"/>
      <c r="K116" s="21"/>
      <c r="L116" s="21"/>
      <c r="M116" s="21"/>
    </row>
    <row r="117" spans="1:17">
      <c r="B117" s="963"/>
      <c r="C117" s="963"/>
      <c r="D117" s="963"/>
      <c r="E117" s="963"/>
      <c r="F117" s="963"/>
      <c r="G117" s="963"/>
      <c r="H117" s="963"/>
      <c r="I117" s="963"/>
      <c r="J117" s="963"/>
      <c r="K117" s="963"/>
      <c r="M117" s="963"/>
      <c r="N117" s="739"/>
      <c r="O117" s="964"/>
      <c r="P117" s="965"/>
    </row>
    <row r="118" spans="1:17">
      <c r="A118" s="959"/>
      <c r="B118" s="21"/>
      <c r="C118" s="21"/>
      <c r="D118" s="21"/>
      <c r="E118" s="21"/>
      <c r="F118" s="21"/>
      <c r="G118" s="21"/>
      <c r="H118" s="21"/>
      <c r="I118" s="21"/>
      <c r="J118" s="21"/>
      <c r="K118" s="21"/>
      <c r="M118" s="21"/>
      <c r="N118" s="739"/>
      <c r="O118" s="739"/>
      <c r="P118" s="739"/>
    </row>
    <row r="119" spans="1:17">
      <c r="B119" s="917"/>
      <c r="C119" s="917"/>
      <c r="D119" s="917"/>
      <c r="E119" s="917"/>
      <c r="F119" s="917"/>
      <c r="G119" s="917"/>
      <c r="H119" s="917"/>
      <c r="I119" s="917"/>
      <c r="J119" s="917"/>
      <c r="K119" s="917"/>
      <c r="L119" s="917"/>
      <c r="M119" s="917"/>
      <c r="N119" s="917"/>
      <c r="O119" s="961"/>
      <c r="P119" s="962"/>
    </row>
    <row r="120" spans="1:17">
      <c r="A120" s="959"/>
      <c r="B120" s="963"/>
      <c r="C120" s="963"/>
      <c r="D120" s="963"/>
      <c r="E120" s="963"/>
      <c r="F120" s="963"/>
      <c r="G120" s="963"/>
      <c r="H120" s="963"/>
      <c r="I120" s="963"/>
      <c r="J120" s="963"/>
      <c r="K120" s="963"/>
      <c r="L120" s="963"/>
      <c r="M120" s="963"/>
      <c r="N120" s="739"/>
      <c r="O120" s="964"/>
      <c r="P120" s="965"/>
    </row>
    <row r="121" spans="1:17">
      <c r="B121" s="5"/>
      <c r="C121" s="5"/>
      <c r="D121" s="5"/>
      <c r="E121" s="5"/>
      <c r="F121" s="5"/>
      <c r="G121" s="5"/>
      <c r="H121" s="5"/>
      <c r="I121" s="5"/>
      <c r="J121" s="5"/>
      <c r="K121" s="5"/>
      <c r="L121" s="5"/>
      <c r="M121" s="5"/>
    </row>
    <row r="122" spans="1:17">
      <c r="C122" s="918"/>
      <c r="D122" s="918"/>
    </row>
    <row r="123" spans="1:17">
      <c r="B123" s="21"/>
      <c r="C123" s="21"/>
      <c r="D123" s="21"/>
      <c r="E123" s="21"/>
      <c r="F123" s="21"/>
      <c r="G123" s="21"/>
      <c r="H123" s="21"/>
      <c r="I123" s="21"/>
      <c r="J123" s="21"/>
      <c r="K123" s="21"/>
      <c r="M123" s="21"/>
    </row>
    <row r="124" spans="1:17">
      <c r="B124" s="989"/>
      <c r="C124" s="963"/>
      <c r="D124" s="963"/>
      <c r="E124" s="989"/>
      <c r="F124" s="963"/>
      <c r="G124" s="963"/>
      <c r="H124" s="963"/>
      <c r="I124" s="963"/>
      <c r="J124" s="963"/>
      <c r="K124" s="963"/>
      <c r="L124" s="963"/>
      <c r="M124" s="963"/>
      <c r="N124" s="739"/>
      <c r="O124" s="964"/>
      <c r="P124" s="965"/>
      <c r="Q124" s="739"/>
    </row>
    <row r="127" spans="1:17">
      <c r="B127" s="917"/>
      <c r="C127" s="917"/>
      <c r="D127" s="917"/>
      <c r="E127" s="917"/>
      <c r="F127" s="917"/>
      <c r="G127" s="917"/>
      <c r="H127" s="917"/>
      <c r="I127" s="917"/>
      <c r="J127" s="917"/>
    </row>
    <row r="135" spans="41:53">
      <c r="AO135" s="5" t="e">
        <f>Assumptions!#REF!+1</f>
        <v>#REF!</v>
      </c>
      <c r="AP135" s="5"/>
      <c r="AQ135" s="5"/>
      <c r="AR135" s="5"/>
      <c r="AS135" s="5"/>
      <c r="AT135" s="5"/>
      <c r="AU135" s="5"/>
      <c r="AV135" s="5"/>
      <c r="AW135" s="5"/>
      <c r="AX135" s="5"/>
      <c r="AY135" s="5"/>
      <c r="AZ135" s="5"/>
      <c r="BA135" s="5"/>
    </row>
    <row r="136" spans="41:53">
      <c r="AO136" s="981">
        <f>DCF!AF43</f>
        <v>70.293291697292375</v>
      </c>
    </row>
    <row r="137" spans="41:53" ht="14.5">
      <c r="AO137" s="982" t="e">
        <f>Assumptions!#REF!*1.15</f>
        <v>#REF!</v>
      </c>
    </row>
    <row r="138" spans="41:53" ht="14.5">
      <c r="AO138" s="983" t="e">
        <f>Assumptions!#REF!*0.85</f>
        <v>#REF!</v>
      </c>
    </row>
  </sheetData>
  <mergeCells count="19">
    <mergeCell ref="I81:J81"/>
    <mergeCell ref="I82:J82"/>
    <mergeCell ref="I83:J83"/>
    <mergeCell ref="F81:H81"/>
    <mergeCell ref="F82:H82"/>
    <mergeCell ref="F83:H83"/>
    <mergeCell ref="F80:H80"/>
    <mergeCell ref="H2:K2"/>
    <mergeCell ref="E4:N4"/>
    <mergeCell ref="S5:T5"/>
    <mergeCell ref="I79:J79"/>
    <mergeCell ref="F79:H79"/>
    <mergeCell ref="I80:J80"/>
    <mergeCell ref="F85:H85"/>
    <mergeCell ref="F86:H86"/>
    <mergeCell ref="I85:J85"/>
    <mergeCell ref="I86:J86"/>
    <mergeCell ref="I84:J84"/>
    <mergeCell ref="F84:H84"/>
  </mergeCells>
  <phoneticPr fontId="80" type="noConversion"/>
  <pageMargins left="0.75" right="0.75" top="1" bottom="1" header="0" footer="0"/>
  <pageSetup orientation="portrait" horizontalDpi="4294967292"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7265625" defaultRowHeight="12.5"/>
  <cols>
    <col min="1" max="9" width="0" hidden="1" customWidth="1"/>
    <col min="11" max="11" width="21.7265625" bestFit="1" customWidth="1"/>
  </cols>
  <sheetData>
    <row r="2" spans="2:27" ht="13">
      <c r="E2" s="6" t="s">
        <v>810</v>
      </c>
      <c r="F2" s="6" t="s">
        <v>811</v>
      </c>
      <c r="H2" s="6" t="s">
        <v>407</v>
      </c>
      <c r="K2" s="1486" t="s">
        <v>810</v>
      </c>
      <c r="L2" s="1488" t="s">
        <v>812</v>
      </c>
      <c r="M2" s="1489"/>
      <c r="N2" s="1489"/>
      <c r="O2" s="1489"/>
      <c r="P2" s="1490"/>
      <c r="Q2" s="1489" t="s">
        <v>367</v>
      </c>
      <c r="R2" s="1489"/>
      <c r="S2" s="1489"/>
      <c r="T2" s="1489"/>
      <c r="U2" s="1489"/>
      <c r="V2" s="1489"/>
      <c r="W2" s="1489"/>
      <c r="X2" s="1489"/>
      <c r="Y2" s="1489"/>
      <c r="Z2" s="1489"/>
      <c r="AA2" s="1490"/>
    </row>
    <row r="3" spans="2:27" ht="13">
      <c r="E3" t="s">
        <v>813</v>
      </c>
      <c r="F3" t="s">
        <v>814</v>
      </c>
      <c r="H3" s="6" t="s">
        <v>360</v>
      </c>
      <c r="K3" s="1487"/>
      <c r="L3" s="61" t="s">
        <v>815</v>
      </c>
      <c r="M3" s="75" t="s">
        <v>816</v>
      </c>
      <c r="N3" s="75" t="s">
        <v>817</v>
      </c>
      <c r="O3" s="75" t="s">
        <v>818</v>
      </c>
      <c r="P3" s="76" t="s">
        <v>819</v>
      </c>
      <c r="Q3" s="75" t="s">
        <v>820</v>
      </c>
      <c r="R3" s="75" t="s">
        <v>821</v>
      </c>
      <c r="S3" s="75" t="s">
        <v>373</v>
      </c>
      <c r="T3" s="75" t="s">
        <v>822</v>
      </c>
      <c r="U3" s="75" t="s">
        <v>823</v>
      </c>
      <c r="V3" s="75" t="s">
        <v>824</v>
      </c>
      <c r="W3" s="75" t="s">
        <v>825</v>
      </c>
      <c r="X3" s="75" t="s">
        <v>826</v>
      </c>
      <c r="Y3" s="75" t="s">
        <v>827</v>
      </c>
      <c r="Z3" s="75" t="s">
        <v>828</v>
      </c>
      <c r="AA3" s="76" t="s">
        <v>397</v>
      </c>
    </row>
    <row r="4" spans="2:27" ht="13">
      <c r="B4" s="62"/>
      <c r="E4" t="s">
        <v>813</v>
      </c>
      <c r="F4" t="s">
        <v>829</v>
      </c>
      <c r="H4" s="6" t="s">
        <v>414</v>
      </c>
      <c r="K4" s="77" t="s">
        <v>813</v>
      </c>
      <c r="L4" s="78" t="s">
        <v>407</v>
      </c>
      <c r="M4" t="s">
        <v>407</v>
      </c>
      <c r="N4" t="s">
        <v>360</v>
      </c>
      <c r="O4" t="s">
        <v>407</v>
      </c>
      <c r="P4" s="79" t="s">
        <v>407</v>
      </c>
      <c r="Q4" t="s">
        <v>360</v>
      </c>
      <c r="R4" t="s">
        <v>360</v>
      </c>
      <c r="S4" t="s">
        <v>407</v>
      </c>
      <c r="T4" t="s">
        <v>407</v>
      </c>
      <c r="U4" t="s">
        <v>414</v>
      </c>
      <c r="V4" t="s">
        <v>407</v>
      </c>
      <c r="W4" t="s">
        <v>407</v>
      </c>
      <c r="X4" t="s">
        <v>407</v>
      </c>
      <c r="Y4" t="s">
        <v>407</v>
      </c>
      <c r="Z4" t="s">
        <v>407</v>
      </c>
      <c r="AA4" s="79" t="s">
        <v>360</v>
      </c>
    </row>
    <row r="5" spans="2:27" ht="14">
      <c r="B5" s="71" t="s">
        <v>341</v>
      </c>
      <c r="E5" t="s">
        <v>813</v>
      </c>
      <c r="F5" t="s">
        <v>830</v>
      </c>
      <c r="H5" s="6" t="s">
        <v>831</v>
      </c>
      <c r="K5" s="77" t="s">
        <v>832</v>
      </c>
      <c r="L5" s="78" t="s">
        <v>407</v>
      </c>
      <c r="M5" t="s">
        <v>407</v>
      </c>
      <c r="N5" t="s">
        <v>360</v>
      </c>
      <c r="O5" t="s">
        <v>360</v>
      </c>
      <c r="P5" s="79" t="s">
        <v>407</v>
      </c>
      <c r="Q5" t="s">
        <v>360</v>
      </c>
      <c r="R5" t="s">
        <v>360</v>
      </c>
      <c r="S5" t="s">
        <v>407</v>
      </c>
      <c r="T5" t="s">
        <v>407</v>
      </c>
      <c r="U5" t="s">
        <v>360</v>
      </c>
      <c r="V5" t="s">
        <v>360</v>
      </c>
      <c r="W5" t="s">
        <v>360</v>
      </c>
      <c r="X5" t="s">
        <v>414</v>
      </c>
      <c r="Y5" t="s">
        <v>407</v>
      </c>
      <c r="Z5" t="s">
        <v>414</v>
      </c>
      <c r="AA5" s="79" t="s">
        <v>407</v>
      </c>
    </row>
    <row r="6" spans="2:27">
      <c r="B6" s="73" t="s">
        <v>833</v>
      </c>
      <c r="E6" t="s">
        <v>813</v>
      </c>
      <c r="F6" t="s">
        <v>834</v>
      </c>
      <c r="K6" s="77" t="s">
        <v>328</v>
      </c>
      <c r="L6" s="78" t="s">
        <v>414</v>
      </c>
      <c r="M6" t="s">
        <v>831</v>
      </c>
      <c r="N6" t="s">
        <v>414</v>
      </c>
      <c r="O6" t="s">
        <v>414</v>
      </c>
      <c r="P6" s="79" t="s">
        <v>414</v>
      </c>
      <c r="Q6" t="s">
        <v>360</v>
      </c>
      <c r="R6" t="s">
        <v>414</v>
      </c>
      <c r="S6" t="s">
        <v>414</v>
      </c>
      <c r="T6" t="s">
        <v>407</v>
      </c>
      <c r="U6" t="s">
        <v>360</v>
      </c>
      <c r="V6" t="s">
        <v>360</v>
      </c>
      <c r="W6" t="s">
        <v>407</v>
      </c>
      <c r="X6" t="s">
        <v>414</v>
      </c>
      <c r="Y6" t="s">
        <v>407</v>
      </c>
      <c r="Z6" t="s">
        <v>831</v>
      </c>
      <c r="AA6" s="79" t="s">
        <v>407</v>
      </c>
    </row>
    <row r="7" spans="2:27">
      <c r="B7" s="73" t="s">
        <v>835</v>
      </c>
      <c r="E7" t="s">
        <v>813</v>
      </c>
      <c r="F7" t="s">
        <v>836</v>
      </c>
      <c r="K7" s="77" t="s">
        <v>817</v>
      </c>
      <c r="L7" s="78" t="s">
        <v>831</v>
      </c>
      <c r="M7" t="s">
        <v>831</v>
      </c>
      <c r="N7" t="s">
        <v>360</v>
      </c>
      <c r="O7" t="s">
        <v>831</v>
      </c>
      <c r="P7" s="79" t="s">
        <v>414</v>
      </c>
      <c r="Q7" t="s">
        <v>414</v>
      </c>
      <c r="R7" t="s">
        <v>360</v>
      </c>
      <c r="S7" t="s">
        <v>360</v>
      </c>
      <c r="T7" t="s">
        <v>360</v>
      </c>
      <c r="U7" t="s">
        <v>360</v>
      </c>
      <c r="V7" t="s">
        <v>414</v>
      </c>
      <c r="W7" t="s">
        <v>360</v>
      </c>
      <c r="X7" t="s">
        <v>360</v>
      </c>
      <c r="Y7" t="s">
        <v>414</v>
      </c>
      <c r="Z7" t="s">
        <v>414</v>
      </c>
      <c r="AA7" s="79" t="s">
        <v>407</v>
      </c>
    </row>
    <row r="8" spans="2:27">
      <c r="B8" s="73"/>
      <c r="K8" s="77" t="s">
        <v>837</v>
      </c>
      <c r="L8" s="78" t="s">
        <v>407</v>
      </c>
      <c r="M8" t="s">
        <v>407</v>
      </c>
      <c r="N8" t="s">
        <v>407</v>
      </c>
      <c r="O8" t="s">
        <v>360</v>
      </c>
      <c r="P8" s="79" t="s">
        <v>360</v>
      </c>
      <c r="Q8" t="s">
        <v>407</v>
      </c>
      <c r="R8" t="s">
        <v>360</v>
      </c>
      <c r="S8" t="s">
        <v>360</v>
      </c>
      <c r="T8" t="s">
        <v>414</v>
      </c>
      <c r="U8" t="s">
        <v>360</v>
      </c>
      <c r="V8" t="s">
        <v>407</v>
      </c>
      <c r="W8" t="s">
        <v>407</v>
      </c>
      <c r="X8" t="s">
        <v>360</v>
      </c>
      <c r="Y8" t="s">
        <v>360</v>
      </c>
      <c r="Z8" t="s">
        <v>414</v>
      </c>
      <c r="AA8" s="79" t="s">
        <v>407</v>
      </c>
    </row>
    <row r="9" spans="2:27">
      <c r="B9" s="73" t="s">
        <v>354</v>
      </c>
      <c r="E9" t="s">
        <v>813</v>
      </c>
      <c r="F9" t="s">
        <v>838</v>
      </c>
      <c r="K9" s="77" t="s">
        <v>839</v>
      </c>
      <c r="L9" s="78" t="s">
        <v>407</v>
      </c>
      <c r="M9" t="s">
        <v>407</v>
      </c>
      <c r="N9" t="s">
        <v>407</v>
      </c>
      <c r="O9" t="s">
        <v>407</v>
      </c>
      <c r="P9" s="79" t="s">
        <v>407</v>
      </c>
      <c r="Q9" t="s">
        <v>407</v>
      </c>
      <c r="R9" t="s">
        <v>407</v>
      </c>
      <c r="S9" t="s">
        <v>360</v>
      </c>
      <c r="T9" t="s">
        <v>414</v>
      </c>
      <c r="U9" t="s">
        <v>360</v>
      </c>
      <c r="V9" t="s">
        <v>407</v>
      </c>
      <c r="W9" t="s">
        <v>407</v>
      </c>
      <c r="X9" t="s">
        <v>407</v>
      </c>
      <c r="Y9" t="s">
        <v>407</v>
      </c>
      <c r="Z9" t="s">
        <v>360</v>
      </c>
      <c r="AA9" s="79" t="s">
        <v>407</v>
      </c>
    </row>
    <row r="10" spans="2:27">
      <c r="B10" s="73"/>
      <c r="K10" s="77" t="s">
        <v>840</v>
      </c>
      <c r="L10" s="78" t="s">
        <v>407</v>
      </c>
      <c r="M10" t="s">
        <v>360</v>
      </c>
      <c r="N10" t="s">
        <v>407</v>
      </c>
      <c r="O10" t="s">
        <v>360</v>
      </c>
      <c r="P10" s="79" t="s">
        <v>414</v>
      </c>
      <c r="Q10" t="s">
        <v>407</v>
      </c>
      <c r="R10" t="s">
        <v>407</v>
      </c>
      <c r="S10" t="s">
        <v>407</v>
      </c>
      <c r="T10" t="s">
        <v>407</v>
      </c>
      <c r="U10" t="s">
        <v>407</v>
      </c>
      <c r="V10" t="s">
        <v>407</v>
      </c>
      <c r="W10" t="s">
        <v>407</v>
      </c>
      <c r="X10" t="s">
        <v>407</v>
      </c>
      <c r="Y10" t="s">
        <v>360</v>
      </c>
      <c r="Z10" t="s">
        <v>407</v>
      </c>
      <c r="AA10" s="79" t="s">
        <v>407</v>
      </c>
    </row>
    <row r="11" spans="2:27">
      <c r="B11" s="73" t="s">
        <v>359</v>
      </c>
      <c r="E11" t="s">
        <v>813</v>
      </c>
      <c r="F11" t="s">
        <v>841</v>
      </c>
      <c r="K11" s="77" t="s">
        <v>842</v>
      </c>
      <c r="L11" s="78" t="s">
        <v>407</v>
      </c>
      <c r="M11" t="s">
        <v>360</v>
      </c>
      <c r="N11" t="s">
        <v>407</v>
      </c>
      <c r="O11" t="s">
        <v>407</v>
      </c>
      <c r="P11" s="79" t="s">
        <v>407</v>
      </c>
      <c r="Q11" t="s">
        <v>407</v>
      </c>
      <c r="R11" t="s">
        <v>407</v>
      </c>
      <c r="S11" t="s">
        <v>360</v>
      </c>
      <c r="T11" t="s">
        <v>407</v>
      </c>
      <c r="U11" t="s">
        <v>414</v>
      </c>
      <c r="V11" t="s">
        <v>407</v>
      </c>
      <c r="W11" t="s">
        <v>407</v>
      </c>
      <c r="X11" t="s">
        <v>407</v>
      </c>
      <c r="Y11" t="s">
        <v>407</v>
      </c>
      <c r="Z11" t="s">
        <v>407</v>
      </c>
      <c r="AA11" s="79" t="s">
        <v>407</v>
      </c>
    </row>
    <row r="12" spans="2:27">
      <c r="B12" s="72" t="s">
        <v>843</v>
      </c>
      <c r="E12" t="s">
        <v>813</v>
      </c>
      <c r="F12" t="s">
        <v>844</v>
      </c>
      <c r="K12" s="77" t="s">
        <v>845</v>
      </c>
      <c r="L12" s="78" t="s">
        <v>831</v>
      </c>
      <c r="M12" t="s">
        <v>831</v>
      </c>
      <c r="N12" t="s">
        <v>831</v>
      </c>
      <c r="O12" t="s">
        <v>414</v>
      </c>
      <c r="P12" s="79" t="s">
        <v>414</v>
      </c>
      <c r="Q12" t="s">
        <v>407</v>
      </c>
      <c r="R12" t="s">
        <v>360</v>
      </c>
      <c r="S12" t="s">
        <v>414</v>
      </c>
      <c r="T12" t="s">
        <v>831</v>
      </c>
      <c r="U12" t="s">
        <v>360</v>
      </c>
      <c r="V12" t="s">
        <v>831</v>
      </c>
      <c r="W12" t="s">
        <v>360</v>
      </c>
      <c r="X12" t="s">
        <v>831</v>
      </c>
      <c r="Y12" t="s">
        <v>831</v>
      </c>
      <c r="Z12" t="s">
        <v>831</v>
      </c>
      <c r="AA12" s="79" t="s">
        <v>414</v>
      </c>
    </row>
    <row r="13" spans="2:27" ht="14">
      <c r="B13" s="71" t="s">
        <v>367</v>
      </c>
      <c r="E13" t="s">
        <v>813</v>
      </c>
      <c r="F13" t="s">
        <v>846</v>
      </c>
      <c r="K13" s="77" t="s">
        <v>847</v>
      </c>
      <c r="L13" s="78" t="s">
        <v>360</v>
      </c>
      <c r="M13" t="s">
        <v>407</v>
      </c>
      <c r="N13" t="s">
        <v>414</v>
      </c>
      <c r="O13" t="s">
        <v>407</v>
      </c>
      <c r="P13" s="79" t="s">
        <v>407</v>
      </c>
      <c r="Q13" t="s">
        <v>407</v>
      </c>
      <c r="R13" t="s">
        <v>407</v>
      </c>
      <c r="S13" t="s">
        <v>407</v>
      </c>
      <c r="T13" t="s">
        <v>407</v>
      </c>
      <c r="U13" t="s">
        <v>414</v>
      </c>
      <c r="V13" t="s">
        <v>407</v>
      </c>
      <c r="W13" t="s">
        <v>407</v>
      </c>
      <c r="X13" t="s">
        <v>407</v>
      </c>
      <c r="Y13" t="s">
        <v>407</v>
      </c>
      <c r="Z13" t="s">
        <v>360</v>
      </c>
      <c r="AA13" s="79" t="s">
        <v>831</v>
      </c>
    </row>
    <row r="14" spans="2:27">
      <c r="B14" s="66" t="s">
        <v>848</v>
      </c>
      <c r="E14" t="s">
        <v>813</v>
      </c>
      <c r="F14" t="s">
        <v>849</v>
      </c>
      <c r="K14" s="77" t="s">
        <v>850</v>
      </c>
      <c r="L14" s="78" t="s">
        <v>831</v>
      </c>
      <c r="M14" t="s">
        <v>831</v>
      </c>
      <c r="N14" t="s">
        <v>831</v>
      </c>
      <c r="O14" t="s">
        <v>831</v>
      </c>
      <c r="P14" s="79" t="s">
        <v>414</v>
      </c>
      <c r="Q14" t="s">
        <v>414</v>
      </c>
      <c r="R14" t="s">
        <v>414</v>
      </c>
      <c r="S14" t="s">
        <v>360</v>
      </c>
      <c r="T14" t="s">
        <v>414</v>
      </c>
      <c r="U14" t="s">
        <v>407</v>
      </c>
      <c r="V14" t="s">
        <v>831</v>
      </c>
      <c r="W14" t="s">
        <v>360</v>
      </c>
      <c r="X14" t="s">
        <v>360</v>
      </c>
      <c r="Y14" t="s">
        <v>831</v>
      </c>
      <c r="Z14" t="s">
        <v>414</v>
      </c>
      <c r="AA14" s="79" t="s">
        <v>360</v>
      </c>
    </row>
    <row r="15" spans="2:27">
      <c r="B15" s="66" t="s">
        <v>851</v>
      </c>
      <c r="E15" t="s">
        <v>832</v>
      </c>
      <c r="F15" t="s">
        <v>852</v>
      </c>
      <c r="K15" s="77" t="s">
        <v>853</v>
      </c>
      <c r="L15" s="78" t="s">
        <v>407</v>
      </c>
      <c r="M15" t="s">
        <v>407</v>
      </c>
      <c r="N15" t="s">
        <v>360</v>
      </c>
      <c r="O15" t="s">
        <v>407</v>
      </c>
      <c r="P15" s="79" t="s">
        <v>407</v>
      </c>
      <c r="Q15" t="s">
        <v>360</v>
      </c>
      <c r="R15" t="s">
        <v>407</v>
      </c>
      <c r="S15" t="s">
        <v>407</v>
      </c>
      <c r="T15" t="s">
        <v>407</v>
      </c>
      <c r="U15" t="s">
        <v>414</v>
      </c>
      <c r="V15" t="s">
        <v>407</v>
      </c>
      <c r="W15" t="s">
        <v>360</v>
      </c>
      <c r="X15" t="s">
        <v>407</v>
      </c>
      <c r="Y15" t="s">
        <v>360</v>
      </c>
      <c r="Z15" t="s">
        <v>407</v>
      </c>
      <c r="AA15" s="79" t="s">
        <v>407</v>
      </c>
    </row>
    <row r="16" spans="2:27">
      <c r="B16" s="69" t="s">
        <v>854</v>
      </c>
      <c r="E16" t="s">
        <v>832</v>
      </c>
      <c r="F16" t="s">
        <v>855</v>
      </c>
      <c r="K16" s="80" t="s">
        <v>856</v>
      </c>
      <c r="L16" s="81" t="s">
        <v>831</v>
      </c>
      <c r="M16" s="82" t="s">
        <v>414</v>
      </c>
      <c r="N16" s="82" t="s">
        <v>414</v>
      </c>
      <c r="O16" s="82" t="s">
        <v>360</v>
      </c>
      <c r="P16" s="83" t="s">
        <v>414</v>
      </c>
      <c r="Q16" s="82" t="s">
        <v>407</v>
      </c>
      <c r="R16" s="82" t="s">
        <v>360</v>
      </c>
      <c r="S16" s="82" t="s">
        <v>360</v>
      </c>
      <c r="T16" s="82" t="s">
        <v>407</v>
      </c>
      <c r="U16" s="82" t="s">
        <v>360</v>
      </c>
      <c r="V16" s="82" t="s">
        <v>360</v>
      </c>
      <c r="W16" s="82" t="s">
        <v>360</v>
      </c>
      <c r="X16" s="82" t="s">
        <v>360</v>
      </c>
      <c r="Y16" s="82" t="s">
        <v>407</v>
      </c>
      <c r="Z16" s="82" t="s">
        <v>360</v>
      </c>
      <c r="AA16" s="83" t="s">
        <v>407</v>
      </c>
    </row>
    <row r="17" spans="2:22">
      <c r="B17" s="69" t="s">
        <v>857</v>
      </c>
      <c r="E17" t="s">
        <v>832</v>
      </c>
      <c r="F17" t="s">
        <v>858</v>
      </c>
    </row>
    <row r="18" spans="2:22" hidden="1">
      <c r="B18" s="66" t="s">
        <v>859</v>
      </c>
      <c r="E18" t="s">
        <v>832</v>
      </c>
      <c r="F18" t="s">
        <v>860</v>
      </c>
    </row>
    <row r="19" spans="2:22" ht="13" hidden="1">
      <c r="B19" s="66" t="s">
        <v>861</v>
      </c>
      <c r="E19" t="s">
        <v>832</v>
      </c>
      <c r="F19" t="s">
        <v>862</v>
      </c>
      <c r="L19" s="84" t="s">
        <v>813</v>
      </c>
      <c r="M19" s="85" t="s">
        <v>832</v>
      </c>
      <c r="N19" s="85" t="s">
        <v>328</v>
      </c>
      <c r="O19" s="85" t="s">
        <v>817</v>
      </c>
      <c r="P19" s="85" t="s">
        <v>839</v>
      </c>
      <c r="Q19" s="85" t="s">
        <v>842</v>
      </c>
      <c r="R19" s="85" t="s">
        <v>845</v>
      </c>
      <c r="S19" s="85" t="s">
        <v>847</v>
      </c>
      <c r="T19" s="85" t="s">
        <v>850</v>
      </c>
      <c r="U19" s="85" t="s">
        <v>853</v>
      </c>
      <c r="V19" s="86" t="s">
        <v>856</v>
      </c>
    </row>
    <row r="20" spans="2:22" hidden="1">
      <c r="B20" s="66" t="s">
        <v>385</v>
      </c>
      <c r="E20" t="s">
        <v>832</v>
      </c>
      <c r="F20" t="s">
        <v>863</v>
      </c>
      <c r="L20" s="78" t="s">
        <v>814</v>
      </c>
      <c r="M20" t="s">
        <v>852</v>
      </c>
      <c r="N20" t="s">
        <v>864</v>
      </c>
      <c r="O20" t="s">
        <v>865</v>
      </c>
      <c r="P20" t="s">
        <v>866</v>
      </c>
      <c r="Q20" t="s">
        <v>867</v>
      </c>
      <c r="R20" t="s">
        <v>868</v>
      </c>
      <c r="S20" t="s">
        <v>869</v>
      </c>
      <c r="T20" t="s">
        <v>870</v>
      </c>
      <c r="U20" t="s">
        <v>871</v>
      </c>
      <c r="V20" s="79" t="s">
        <v>872</v>
      </c>
    </row>
    <row r="21" spans="2:22" hidden="1">
      <c r="B21" s="66" t="s">
        <v>387</v>
      </c>
      <c r="E21" t="s">
        <v>832</v>
      </c>
      <c r="F21" t="s">
        <v>873</v>
      </c>
      <c r="L21" s="78" t="s">
        <v>829</v>
      </c>
      <c r="M21" t="s">
        <v>855</v>
      </c>
      <c r="N21" t="s">
        <v>874</v>
      </c>
      <c r="O21" t="s">
        <v>875</v>
      </c>
      <c r="P21" t="s">
        <v>876</v>
      </c>
      <c r="Q21" t="s">
        <v>877</v>
      </c>
      <c r="R21" t="s">
        <v>878</v>
      </c>
      <c r="S21" t="s">
        <v>879</v>
      </c>
      <c r="T21" t="s">
        <v>880</v>
      </c>
      <c r="U21" t="s">
        <v>881</v>
      </c>
      <c r="V21" s="79" t="s">
        <v>882</v>
      </c>
    </row>
    <row r="22" spans="2:22" hidden="1">
      <c r="B22" s="66" t="s">
        <v>392</v>
      </c>
      <c r="E22" t="s">
        <v>832</v>
      </c>
      <c r="F22" t="s">
        <v>883</v>
      </c>
      <c r="L22" s="78" t="s">
        <v>830</v>
      </c>
      <c r="M22" t="s">
        <v>858</v>
      </c>
      <c r="N22" t="s">
        <v>884</v>
      </c>
      <c r="O22" t="s">
        <v>885</v>
      </c>
      <c r="P22" t="s">
        <v>886</v>
      </c>
      <c r="Q22" t="s">
        <v>887</v>
      </c>
      <c r="R22" t="s">
        <v>888</v>
      </c>
      <c r="S22" t="s">
        <v>889</v>
      </c>
      <c r="T22" t="s">
        <v>890</v>
      </c>
      <c r="U22" t="s">
        <v>891</v>
      </c>
      <c r="V22" s="79" t="s">
        <v>892</v>
      </c>
    </row>
    <row r="23" spans="2:22" hidden="1">
      <c r="B23" s="66" t="s">
        <v>396</v>
      </c>
      <c r="E23" t="s">
        <v>832</v>
      </c>
      <c r="F23" t="s">
        <v>893</v>
      </c>
      <c r="L23" s="78" t="s">
        <v>834</v>
      </c>
      <c r="M23" t="s">
        <v>860</v>
      </c>
      <c r="N23" t="s">
        <v>894</v>
      </c>
      <c r="O23" t="s">
        <v>895</v>
      </c>
      <c r="P23" t="s">
        <v>896</v>
      </c>
      <c r="Q23" t="s">
        <v>897</v>
      </c>
      <c r="R23" t="s">
        <v>898</v>
      </c>
      <c r="S23" t="s">
        <v>899</v>
      </c>
      <c r="T23" t="s">
        <v>900</v>
      </c>
      <c r="U23" t="s">
        <v>901</v>
      </c>
      <c r="V23" s="79" t="s">
        <v>902</v>
      </c>
    </row>
    <row r="24" spans="2:22" hidden="1">
      <c r="B24" s="68" t="s">
        <v>397</v>
      </c>
      <c r="E24" t="s">
        <v>832</v>
      </c>
      <c r="F24" t="s">
        <v>903</v>
      </c>
      <c r="L24" s="78" t="s">
        <v>836</v>
      </c>
      <c r="M24" t="s">
        <v>862</v>
      </c>
      <c r="N24" t="s">
        <v>904</v>
      </c>
      <c r="O24" t="s">
        <v>905</v>
      </c>
      <c r="P24" t="s">
        <v>906</v>
      </c>
      <c r="Q24" t="s">
        <v>907</v>
      </c>
      <c r="R24" t="s">
        <v>908</v>
      </c>
      <c r="S24" t="s">
        <v>909</v>
      </c>
      <c r="T24" t="s">
        <v>910</v>
      </c>
      <c r="U24" t="s">
        <v>911</v>
      </c>
      <c r="V24" s="79" t="s">
        <v>912</v>
      </c>
    </row>
    <row r="25" spans="2:22" hidden="1">
      <c r="E25" t="s">
        <v>832</v>
      </c>
      <c r="F25" t="s">
        <v>913</v>
      </c>
      <c r="L25" s="78" t="s">
        <v>838</v>
      </c>
      <c r="M25" t="s">
        <v>863</v>
      </c>
      <c r="N25" t="s">
        <v>914</v>
      </c>
      <c r="P25" t="s">
        <v>915</v>
      </c>
      <c r="Q25" t="s">
        <v>916</v>
      </c>
      <c r="R25" t="s">
        <v>917</v>
      </c>
      <c r="S25" t="s">
        <v>918</v>
      </c>
      <c r="T25" t="s">
        <v>919</v>
      </c>
      <c r="U25" t="s">
        <v>920</v>
      </c>
      <c r="V25" s="79"/>
    </row>
    <row r="26" spans="2:22" hidden="1">
      <c r="E26" t="s">
        <v>832</v>
      </c>
      <c r="F26" t="s">
        <v>921</v>
      </c>
      <c r="L26" s="78" t="s">
        <v>841</v>
      </c>
      <c r="M26" t="s">
        <v>873</v>
      </c>
      <c r="N26" t="s">
        <v>922</v>
      </c>
      <c r="P26" t="s">
        <v>923</v>
      </c>
      <c r="Q26" t="s">
        <v>924</v>
      </c>
      <c r="R26" t="s">
        <v>925</v>
      </c>
      <c r="S26" t="s">
        <v>926</v>
      </c>
      <c r="T26" t="s">
        <v>927</v>
      </c>
      <c r="U26" t="s">
        <v>928</v>
      </c>
      <c r="V26" s="79"/>
    </row>
    <row r="27" spans="2:22" hidden="1">
      <c r="E27" t="s">
        <v>832</v>
      </c>
      <c r="F27" t="s">
        <v>929</v>
      </c>
      <c r="L27" s="78" t="s">
        <v>844</v>
      </c>
      <c r="M27" t="s">
        <v>883</v>
      </c>
      <c r="N27" t="s">
        <v>930</v>
      </c>
      <c r="P27" t="s">
        <v>931</v>
      </c>
      <c r="Q27" t="s">
        <v>932</v>
      </c>
      <c r="R27" t="s">
        <v>933</v>
      </c>
      <c r="S27" t="s">
        <v>934</v>
      </c>
      <c r="T27" t="s">
        <v>935</v>
      </c>
      <c r="U27" t="s">
        <v>936</v>
      </c>
      <c r="V27" s="79"/>
    </row>
    <row r="28" spans="2:22" hidden="1">
      <c r="E28" t="s">
        <v>832</v>
      </c>
      <c r="F28" t="s">
        <v>937</v>
      </c>
      <c r="L28" s="78" t="s">
        <v>846</v>
      </c>
      <c r="M28" t="s">
        <v>893</v>
      </c>
      <c r="N28" t="s">
        <v>938</v>
      </c>
      <c r="P28" t="s">
        <v>939</v>
      </c>
      <c r="Q28" t="s">
        <v>940</v>
      </c>
      <c r="R28" t="s">
        <v>941</v>
      </c>
      <c r="S28" t="s">
        <v>942</v>
      </c>
      <c r="T28" t="s">
        <v>943</v>
      </c>
      <c r="V28" s="79"/>
    </row>
    <row r="29" spans="2:22" hidden="1">
      <c r="E29" t="s">
        <v>832</v>
      </c>
      <c r="F29" t="s">
        <v>944</v>
      </c>
      <c r="L29" s="81" t="s">
        <v>849</v>
      </c>
      <c r="M29" s="82" t="s">
        <v>903</v>
      </c>
      <c r="N29" s="82" t="s">
        <v>945</v>
      </c>
      <c r="O29" s="82"/>
      <c r="P29" s="82" t="s">
        <v>946</v>
      </c>
      <c r="Q29" s="82" t="s">
        <v>947</v>
      </c>
      <c r="R29" s="82" t="s">
        <v>948</v>
      </c>
      <c r="S29" s="82" t="s">
        <v>949</v>
      </c>
      <c r="T29" s="82" t="s">
        <v>950</v>
      </c>
      <c r="U29" s="82"/>
      <c r="V29" s="83"/>
    </row>
    <row r="30" spans="2:22" hidden="1">
      <c r="E30" t="s">
        <v>832</v>
      </c>
      <c r="F30" t="s">
        <v>951</v>
      </c>
      <c r="M30" t="s">
        <v>913</v>
      </c>
      <c r="N30" t="s">
        <v>952</v>
      </c>
      <c r="P30" t="s">
        <v>953</v>
      </c>
      <c r="R30" t="s">
        <v>954</v>
      </c>
      <c r="S30" t="s">
        <v>955</v>
      </c>
      <c r="T30" t="s">
        <v>956</v>
      </c>
    </row>
    <row r="31" spans="2:22" hidden="1">
      <c r="E31" t="s">
        <v>832</v>
      </c>
      <c r="F31" t="s">
        <v>957</v>
      </c>
      <c r="M31" t="s">
        <v>921</v>
      </c>
      <c r="N31" t="s">
        <v>958</v>
      </c>
      <c r="P31" t="s">
        <v>959</v>
      </c>
      <c r="R31" t="s">
        <v>960</v>
      </c>
      <c r="S31" t="s">
        <v>961</v>
      </c>
    </row>
    <row r="32" spans="2:22" hidden="1">
      <c r="E32" t="s">
        <v>832</v>
      </c>
      <c r="F32" t="s">
        <v>962</v>
      </c>
      <c r="M32" t="s">
        <v>929</v>
      </c>
      <c r="P32" t="s">
        <v>963</v>
      </c>
      <c r="R32" t="s">
        <v>964</v>
      </c>
      <c r="S32" t="s">
        <v>965</v>
      </c>
    </row>
    <row r="33" spans="5:18" hidden="1">
      <c r="E33" t="s">
        <v>832</v>
      </c>
      <c r="F33" t="s">
        <v>966</v>
      </c>
      <c r="M33" t="s">
        <v>937</v>
      </c>
      <c r="R33" t="s">
        <v>967</v>
      </c>
    </row>
    <row r="34" spans="5:18" hidden="1">
      <c r="E34" t="s">
        <v>832</v>
      </c>
      <c r="F34" t="s">
        <v>968</v>
      </c>
      <c r="M34" t="s">
        <v>944</v>
      </c>
      <c r="R34" t="s">
        <v>969</v>
      </c>
    </row>
    <row r="35" spans="5:18" hidden="1">
      <c r="E35" t="s">
        <v>328</v>
      </c>
      <c r="F35" t="s">
        <v>864</v>
      </c>
      <c r="M35" t="s">
        <v>951</v>
      </c>
      <c r="R35" t="s">
        <v>970</v>
      </c>
    </row>
    <row r="36" spans="5:18" hidden="1">
      <c r="E36" t="s">
        <v>328</v>
      </c>
      <c r="F36" t="s">
        <v>874</v>
      </c>
      <c r="M36" t="s">
        <v>957</v>
      </c>
      <c r="R36" t="s">
        <v>971</v>
      </c>
    </row>
    <row r="37" spans="5:18" hidden="1">
      <c r="E37" t="s">
        <v>328</v>
      </c>
      <c r="F37" t="s">
        <v>884</v>
      </c>
      <c r="M37" t="s">
        <v>962</v>
      </c>
    </row>
    <row r="38" spans="5:18" hidden="1">
      <c r="E38" t="s">
        <v>328</v>
      </c>
      <c r="F38" t="s">
        <v>894</v>
      </c>
      <c r="M38" t="s">
        <v>966</v>
      </c>
    </row>
    <row r="39" spans="5:18" hidden="1">
      <c r="E39" t="s">
        <v>328</v>
      </c>
      <c r="F39" t="s">
        <v>904</v>
      </c>
      <c r="M39" t="s">
        <v>968</v>
      </c>
    </row>
    <row r="40" spans="5:18" hidden="1">
      <c r="E40" t="s">
        <v>328</v>
      </c>
      <c r="F40" t="s">
        <v>914</v>
      </c>
    </row>
    <row r="41" spans="5:18" hidden="1">
      <c r="E41" t="s">
        <v>328</v>
      </c>
      <c r="F41" t="s">
        <v>922</v>
      </c>
    </row>
    <row r="42" spans="5:18">
      <c r="E42" t="s">
        <v>328</v>
      </c>
      <c r="F42" t="s">
        <v>930</v>
      </c>
    </row>
    <row r="43" spans="5:18">
      <c r="E43" t="s">
        <v>328</v>
      </c>
      <c r="F43" t="s">
        <v>938</v>
      </c>
    </row>
    <row r="44" spans="5:18">
      <c r="E44" t="s">
        <v>328</v>
      </c>
      <c r="F44" t="s">
        <v>945</v>
      </c>
    </row>
    <row r="45" spans="5:18">
      <c r="E45" t="s">
        <v>328</v>
      </c>
      <c r="F45" t="s">
        <v>952</v>
      </c>
    </row>
    <row r="46" spans="5:18">
      <c r="E46" t="s">
        <v>328</v>
      </c>
      <c r="F46" t="s">
        <v>958</v>
      </c>
    </row>
    <row r="47" spans="5:18">
      <c r="E47" t="s">
        <v>817</v>
      </c>
      <c r="F47" t="s">
        <v>865</v>
      </c>
    </row>
    <row r="48" spans="5:18">
      <c r="E48" t="s">
        <v>817</v>
      </c>
      <c r="F48" t="s">
        <v>875</v>
      </c>
    </row>
    <row r="49" spans="5:6">
      <c r="E49" t="s">
        <v>817</v>
      </c>
      <c r="F49" t="s">
        <v>885</v>
      </c>
    </row>
    <row r="50" spans="5:6">
      <c r="E50" t="s">
        <v>817</v>
      </c>
      <c r="F50" t="s">
        <v>895</v>
      </c>
    </row>
    <row r="51" spans="5:6">
      <c r="E51" t="s">
        <v>817</v>
      </c>
      <c r="F51" t="s">
        <v>905</v>
      </c>
    </row>
    <row r="52" spans="5:6">
      <c r="E52" t="s">
        <v>839</v>
      </c>
      <c r="F52" t="s">
        <v>866</v>
      </c>
    </row>
    <row r="53" spans="5:6">
      <c r="E53" t="s">
        <v>839</v>
      </c>
      <c r="F53" t="s">
        <v>876</v>
      </c>
    </row>
    <row r="54" spans="5:6">
      <c r="E54" t="s">
        <v>839</v>
      </c>
      <c r="F54" t="s">
        <v>886</v>
      </c>
    </row>
    <row r="55" spans="5:6">
      <c r="E55" t="s">
        <v>839</v>
      </c>
      <c r="F55" t="s">
        <v>896</v>
      </c>
    </row>
    <row r="56" spans="5:6">
      <c r="E56" t="s">
        <v>839</v>
      </c>
      <c r="F56" t="s">
        <v>906</v>
      </c>
    </row>
    <row r="57" spans="5:6">
      <c r="E57" t="s">
        <v>839</v>
      </c>
      <c r="F57" t="s">
        <v>915</v>
      </c>
    </row>
    <row r="58" spans="5:6">
      <c r="E58" t="s">
        <v>839</v>
      </c>
      <c r="F58" t="s">
        <v>923</v>
      </c>
    </row>
    <row r="59" spans="5:6">
      <c r="E59" t="s">
        <v>839</v>
      </c>
      <c r="F59" t="s">
        <v>931</v>
      </c>
    </row>
    <row r="60" spans="5:6">
      <c r="E60" t="s">
        <v>839</v>
      </c>
      <c r="F60" t="s">
        <v>939</v>
      </c>
    </row>
    <row r="61" spans="5:6">
      <c r="E61" t="s">
        <v>839</v>
      </c>
      <c r="F61" t="s">
        <v>946</v>
      </c>
    </row>
    <row r="62" spans="5:6">
      <c r="E62" t="s">
        <v>839</v>
      </c>
      <c r="F62" t="s">
        <v>953</v>
      </c>
    </row>
    <row r="63" spans="5:6">
      <c r="E63" t="s">
        <v>839</v>
      </c>
      <c r="F63" t="s">
        <v>959</v>
      </c>
    </row>
    <row r="64" spans="5:6">
      <c r="E64" t="s">
        <v>839</v>
      </c>
      <c r="F64" t="s">
        <v>963</v>
      </c>
    </row>
    <row r="65" spans="5:6">
      <c r="E65" t="s">
        <v>842</v>
      </c>
      <c r="F65" t="s">
        <v>867</v>
      </c>
    </row>
    <row r="66" spans="5:6">
      <c r="E66" t="s">
        <v>842</v>
      </c>
      <c r="F66" t="s">
        <v>877</v>
      </c>
    </row>
    <row r="67" spans="5:6">
      <c r="E67" t="s">
        <v>842</v>
      </c>
      <c r="F67" t="s">
        <v>887</v>
      </c>
    </row>
    <row r="68" spans="5:6">
      <c r="E68" t="s">
        <v>842</v>
      </c>
      <c r="F68" t="s">
        <v>897</v>
      </c>
    </row>
    <row r="69" spans="5:6">
      <c r="E69" t="s">
        <v>842</v>
      </c>
      <c r="F69" t="s">
        <v>907</v>
      </c>
    </row>
    <row r="70" spans="5:6">
      <c r="E70" t="s">
        <v>842</v>
      </c>
      <c r="F70" t="s">
        <v>916</v>
      </c>
    </row>
    <row r="71" spans="5:6">
      <c r="E71" t="s">
        <v>842</v>
      </c>
      <c r="F71" t="s">
        <v>924</v>
      </c>
    </row>
    <row r="72" spans="5:6">
      <c r="E72" t="s">
        <v>842</v>
      </c>
      <c r="F72" t="s">
        <v>932</v>
      </c>
    </row>
    <row r="73" spans="5:6">
      <c r="E73" t="s">
        <v>842</v>
      </c>
      <c r="F73" t="s">
        <v>940</v>
      </c>
    </row>
    <row r="74" spans="5:6">
      <c r="E74" t="s">
        <v>842</v>
      </c>
      <c r="F74" t="s">
        <v>947</v>
      </c>
    </row>
    <row r="75" spans="5:6">
      <c r="E75" t="s">
        <v>845</v>
      </c>
      <c r="F75" t="s">
        <v>868</v>
      </c>
    </row>
    <row r="76" spans="5:6">
      <c r="E76" t="s">
        <v>845</v>
      </c>
      <c r="F76" t="s">
        <v>878</v>
      </c>
    </row>
    <row r="77" spans="5:6">
      <c r="E77" t="s">
        <v>845</v>
      </c>
      <c r="F77" t="s">
        <v>888</v>
      </c>
    </row>
    <row r="78" spans="5:6">
      <c r="E78" t="s">
        <v>845</v>
      </c>
      <c r="F78" t="s">
        <v>898</v>
      </c>
    </row>
    <row r="79" spans="5:6">
      <c r="E79" t="s">
        <v>845</v>
      </c>
      <c r="F79" t="s">
        <v>908</v>
      </c>
    </row>
    <row r="80" spans="5:6">
      <c r="E80" t="s">
        <v>845</v>
      </c>
      <c r="F80" t="s">
        <v>917</v>
      </c>
    </row>
    <row r="81" spans="5:6">
      <c r="E81" t="s">
        <v>845</v>
      </c>
      <c r="F81" t="s">
        <v>925</v>
      </c>
    </row>
    <row r="82" spans="5:6">
      <c r="E82" t="s">
        <v>845</v>
      </c>
      <c r="F82" t="s">
        <v>933</v>
      </c>
    </row>
    <row r="83" spans="5:6">
      <c r="E83" t="s">
        <v>845</v>
      </c>
      <c r="F83" t="s">
        <v>941</v>
      </c>
    </row>
    <row r="84" spans="5:6">
      <c r="E84" t="s">
        <v>845</v>
      </c>
      <c r="F84" t="s">
        <v>948</v>
      </c>
    </row>
    <row r="85" spans="5:6">
      <c r="E85" t="s">
        <v>845</v>
      </c>
      <c r="F85" t="s">
        <v>954</v>
      </c>
    </row>
    <row r="86" spans="5:6">
      <c r="E86" t="s">
        <v>845</v>
      </c>
      <c r="F86" t="s">
        <v>960</v>
      </c>
    </row>
    <row r="87" spans="5:6">
      <c r="E87" t="s">
        <v>845</v>
      </c>
      <c r="F87" t="s">
        <v>964</v>
      </c>
    </row>
    <row r="88" spans="5:6">
      <c r="E88" t="s">
        <v>845</v>
      </c>
      <c r="F88" t="s">
        <v>967</v>
      </c>
    </row>
    <row r="89" spans="5:6">
      <c r="E89" t="s">
        <v>845</v>
      </c>
      <c r="F89" t="s">
        <v>969</v>
      </c>
    </row>
    <row r="90" spans="5:6">
      <c r="E90" t="s">
        <v>845</v>
      </c>
      <c r="F90" t="s">
        <v>970</v>
      </c>
    </row>
    <row r="91" spans="5:6">
      <c r="E91" t="s">
        <v>845</v>
      </c>
      <c r="F91" t="s">
        <v>971</v>
      </c>
    </row>
    <row r="92" spans="5:6">
      <c r="E92" t="s">
        <v>847</v>
      </c>
      <c r="F92" t="s">
        <v>869</v>
      </c>
    </row>
    <row r="93" spans="5:6">
      <c r="E93" t="s">
        <v>847</v>
      </c>
      <c r="F93" t="s">
        <v>879</v>
      </c>
    </row>
    <row r="94" spans="5:6">
      <c r="E94" t="s">
        <v>847</v>
      </c>
      <c r="F94" t="s">
        <v>889</v>
      </c>
    </row>
    <row r="95" spans="5:6">
      <c r="E95" t="s">
        <v>847</v>
      </c>
      <c r="F95" t="s">
        <v>899</v>
      </c>
    </row>
    <row r="96" spans="5:6">
      <c r="E96" t="s">
        <v>847</v>
      </c>
      <c r="F96" t="s">
        <v>909</v>
      </c>
    </row>
    <row r="97" spans="5:6">
      <c r="E97" t="s">
        <v>847</v>
      </c>
      <c r="F97" t="s">
        <v>918</v>
      </c>
    </row>
    <row r="98" spans="5:6">
      <c r="E98" t="s">
        <v>847</v>
      </c>
      <c r="F98" t="s">
        <v>926</v>
      </c>
    </row>
    <row r="99" spans="5:6">
      <c r="E99" t="s">
        <v>847</v>
      </c>
      <c r="F99" t="s">
        <v>934</v>
      </c>
    </row>
    <row r="100" spans="5:6">
      <c r="E100" t="s">
        <v>847</v>
      </c>
      <c r="F100" t="s">
        <v>942</v>
      </c>
    </row>
    <row r="101" spans="5:6">
      <c r="E101" t="s">
        <v>847</v>
      </c>
      <c r="F101" t="s">
        <v>949</v>
      </c>
    </row>
    <row r="102" spans="5:6">
      <c r="E102" t="s">
        <v>847</v>
      </c>
      <c r="F102" t="s">
        <v>955</v>
      </c>
    </row>
    <row r="103" spans="5:6">
      <c r="E103" t="s">
        <v>847</v>
      </c>
      <c r="F103" t="s">
        <v>961</v>
      </c>
    </row>
    <row r="104" spans="5:6">
      <c r="E104" t="s">
        <v>847</v>
      </c>
      <c r="F104" t="s">
        <v>965</v>
      </c>
    </row>
    <row r="105" spans="5:6">
      <c r="E105" t="s">
        <v>850</v>
      </c>
      <c r="F105" t="s">
        <v>870</v>
      </c>
    </row>
    <row r="106" spans="5:6">
      <c r="E106" t="s">
        <v>850</v>
      </c>
      <c r="F106" t="s">
        <v>880</v>
      </c>
    </row>
    <row r="107" spans="5:6">
      <c r="E107" t="s">
        <v>850</v>
      </c>
      <c r="F107" t="s">
        <v>890</v>
      </c>
    </row>
    <row r="108" spans="5:6">
      <c r="E108" t="s">
        <v>850</v>
      </c>
      <c r="F108" t="s">
        <v>900</v>
      </c>
    </row>
    <row r="109" spans="5:6">
      <c r="E109" t="s">
        <v>850</v>
      </c>
      <c r="F109" t="s">
        <v>910</v>
      </c>
    </row>
    <row r="110" spans="5:6">
      <c r="E110" t="s">
        <v>850</v>
      </c>
      <c r="F110" t="s">
        <v>919</v>
      </c>
    </row>
    <row r="111" spans="5:6">
      <c r="E111" t="s">
        <v>850</v>
      </c>
      <c r="F111" t="s">
        <v>927</v>
      </c>
    </row>
    <row r="112" spans="5:6">
      <c r="E112" t="s">
        <v>850</v>
      </c>
      <c r="F112" t="s">
        <v>935</v>
      </c>
    </row>
    <row r="113" spans="5:6">
      <c r="E113" t="s">
        <v>850</v>
      </c>
      <c r="F113" t="s">
        <v>943</v>
      </c>
    </row>
    <row r="114" spans="5:6">
      <c r="E114" t="s">
        <v>850</v>
      </c>
      <c r="F114" t="s">
        <v>950</v>
      </c>
    </row>
    <row r="115" spans="5:6">
      <c r="E115" t="s">
        <v>850</v>
      </c>
      <c r="F115" t="s">
        <v>956</v>
      </c>
    </row>
    <row r="116" spans="5:6">
      <c r="E116" t="s">
        <v>853</v>
      </c>
      <c r="F116" t="s">
        <v>871</v>
      </c>
    </row>
    <row r="117" spans="5:6">
      <c r="E117" t="s">
        <v>853</v>
      </c>
      <c r="F117" t="s">
        <v>881</v>
      </c>
    </row>
    <row r="118" spans="5:6">
      <c r="E118" t="s">
        <v>853</v>
      </c>
      <c r="F118" t="s">
        <v>891</v>
      </c>
    </row>
    <row r="119" spans="5:6">
      <c r="E119" t="s">
        <v>853</v>
      </c>
      <c r="F119" t="s">
        <v>901</v>
      </c>
    </row>
    <row r="120" spans="5:6">
      <c r="E120" t="s">
        <v>853</v>
      </c>
      <c r="F120" t="s">
        <v>911</v>
      </c>
    </row>
    <row r="121" spans="5:6">
      <c r="E121" t="s">
        <v>853</v>
      </c>
      <c r="F121" t="s">
        <v>920</v>
      </c>
    </row>
    <row r="122" spans="5:6">
      <c r="E122" t="s">
        <v>853</v>
      </c>
      <c r="F122" t="s">
        <v>928</v>
      </c>
    </row>
    <row r="123" spans="5:6">
      <c r="E123" t="s">
        <v>853</v>
      </c>
      <c r="F123" t="s">
        <v>936</v>
      </c>
    </row>
    <row r="124" spans="5:6">
      <c r="E124" t="s">
        <v>856</v>
      </c>
      <c r="F124" t="s">
        <v>872</v>
      </c>
    </row>
    <row r="125" spans="5:6">
      <c r="E125" t="s">
        <v>856</v>
      </c>
      <c r="F125" t="s">
        <v>882</v>
      </c>
    </row>
    <row r="126" spans="5:6">
      <c r="E126" t="s">
        <v>856</v>
      </c>
      <c r="F126" t="s">
        <v>892</v>
      </c>
    </row>
    <row r="127" spans="5:6">
      <c r="E127" t="s">
        <v>856</v>
      </c>
      <c r="F127" t="s">
        <v>902</v>
      </c>
    </row>
    <row r="128" spans="5:6">
      <c r="E128" t="s">
        <v>856</v>
      </c>
      <c r="F128" t="s">
        <v>912</v>
      </c>
    </row>
  </sheetData>
  <mergeCells count="3">
    <mergeCell ref="K2:K3"/>
    <mergeCell ref="L2:P2"/>
    <mergeCell ref="Q2:AA2"/>
  </mergeCells>
  <phoneticPr fontId="8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81089C-6E2A-4FD7-A402-55E9C86C97B5}">
  <ds:schemaRefs>
    <ds:schemaRef ds:uri="http://purl.org/dc/elements/1.1/"/>
    <ds:schemaRef ds:uri="http://schemas.microsoft.com/office/2006/documentManagement/types"/>
    <ds:schemaRef ds:uri="http://purl.org/dc/dcmitype/"/>
    <ds:schemaRef ds:uri="http://purl.org/dc/terms/"/>
    <ds:schemaRef ds:uri="http://schemas.openxmlformats.org/package/2006/metadata/core-properties"/>
    <ds:schemaRef ds:uri="6ba73c8a-1af7-4183-b158-1cd1291da2b6"/>
    <ds:schemaRef ds:uri="http://schemas.microsoft.com/office/infopath/2007/PartnerControls"/>
    <ds:schemaRef ds:uri="8c89d0e4-a8d9-42ba-a773-c59a56f7723e"/>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4E33FEE-1117-4802-A5BB-FA073D1C6E04}">
  <ds:schemaRefs>
    <ds:schemaRef ds:uri="http://schemas.microsoft.com/sharepoint/v3/contenttype/forms"/>
  </ds:schemaRefs>
</ds:datastoreItem>
</file>

<file path=customXml/itemProps3.xml><?xml version="1.0" encoding="utf-8"?>
<ds:datastoreItem xmlns:ds="http://schemas.openxmlformats.org/officeDocument/2006/customXml" ds:itemID="{23C38749-0DAC-4743-8393-7AC643BF2C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10</vt:i4>
      </vt:variant>
      <vt:variant>
        <vt:lpstr>Intervalos com Nome</vt:lpstr>
      </vt:variant>
      <vt:variant>
        <vt:i4>2</vt:i4>
      </vt:variant>
    </vt:vector>
  </HeadingPairs>
  <TitlesOfParts>
    <vt:vector size="12" baseType="lpstr">
      <vt:lpstr>OP</vt:lpstr>
      <vt:lpstr>Segments</vt:lpstr>
      <vt:lpstr>Acuerdo</vt:lpstr>
      <vt:lpstr>Peers</vt:lpstr>
      <vt:lpstr>ESG</vt:lpstr>
      <vt:lpstr>DCF</vt:lpstr>
      <vt:lpstr>Assumptions</vt:lpstr>
      <vt:lpstr>Fin. Data</vt:lpstr>
      <vt:lpstr>Inputs</vt:lpstr>
      <vt:lpstr>Sector Impact</vt:lpstr>
      <vt:lpstr>OP!Área_de_Impressão</vt:lpstr>
      <vt:lpstr>Sectors</vt:lpstr>
    </vt:vector>
  </TitlesOfParts>
  <Manager/>
  <Company>HIL CONSULTORES, 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THOR CORDEIRO ALVES PINTO</cp:lastModifiedBy>
  <cp:revision/>
  <dcterms:created xsi:type="dcterms:W3CDTF">2000-04-19T14:51:26Z</dcterms:created>
  <dcterms:modified xsi:type="dcterms:W3CDTF">2025-04-14T20:20:28Z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