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updateLinks="always"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Researches/24-25/4th cycle/Team 5 (Raul Vasconcelos)/"/>
    </mc:Choice>
  </mc:AlternateContent>
  <xr:revisionPtr revIDLastSave="6343" documentId="11_ACEC97DE5A4321A612194BFFC2F50950DC1BDF3B" xr6:coauthVersionLast="47" xr6:coauthVersionMax="47" xr10:uidLastSave="{0CE0C5B0-AB1A-4152-ACE8-FA36E5F42BED}"/>
  <bookViews>
    <workbookView xWindow="-105" yWindow="0" windowWidth="14610" windowHeight="16305" tabRatio="644" firstSheet="7" xr2:uid="{00000000-000D-0000-FFFF-FFFF00000000}"/>
  </bookViews>
  <sheets>
    <sheet name="OP" sheetId="20" r:id="rId1"/>
    <sheet name="COVID-19 impact" sheetId="12" state="hidden" r:id="rId2"/>
    <sheet name="Segments" sheetId="3" r:id="rId3"/>
    <sheet name="Peers" sheetId="10" r:id="rId4"/>
    <sheet name="Acuerdo" sheetId="11" state="hidden" r:id="rId5"/>
    <sheet name="ESG" sheetId="7" r:id="rId6"/>
    <sheet name="DCF" sheetId="4" state="hidden" r:id="rId7"/>
    <sheet name="DCFF" sheetId="16" r:id="rId8"/>
    <sheet name="Cifras_en_Millones" sheetId="17" r:id="rId9"/>
    <sheet name="Cifras_Originales" sheetId="18" r:id="rId10"/>
    <sheet name="Q" sheetId="19" r:id="rId11"/>
  </sheets>
  <externalReferences>
    <externalReference r:id="rId12"/>
    <externalReference r:id="rId13"/>
  </externalReferences>
  <definedNames>
    <definedName name="Benchmark">[1]ControlsH!$B$3</definedName>
    <definedName name="BestConsOv" localSheetId="0">#REF!</definedName>
    <definedName name="BestConsOv">#REF!</definedName>
    <definedName name="Broker_Name" localSheetId="0">OFFSET(#REF!,0,0,[1]ControlsH!$E$5, 1)</definedName>
    <definedName name="Broker_Name">OFFSET(#REF!,0,0,[1]ControlsH!$E$5, 1)</definedName>
    <definedName name="calCODE">[1]ControlsH!$C$4</definedName>
    <definedName name="Chart_Benchmark_100_Size">OFFSET(#REF!, 0, 0, [1]ControlsH!$E$3, 1)</definedName>
    <definedName name="Chart_Date_Size" localSheetId="0">OFFSET(#REF!, 0, 0, [1]ControlsH!$E$3, 1)</definedName>
    <definedName name="Chart_Date_Size">OFFSET(#REF!, 0, 0, [1]ControlsH!$E$3, 1)</definedName>
    <definedName name="Chart_Date_VAL1_Size" localSheetId="0">OFFSET(#REF!, 0, 0, [1]ControlsH!$I$3, 1)</definedName>
    <definedName name="Chart_Date_VAL1_Size">OFFSET(#REF!, 0, 0, [1]ControlsH!$I$3, 1)</definedName>
    <definedName name="Chart_Date_VAL2_Size" localSheetId="0">OFFSET(#REF!, 0, 0, [1]ControlsH!$I$5, 1)</definedName>
    <definedName name="Chart_Date_VAL2_Size">OFFSET(#REF!, 0, 0, [1]ControlsH!$I$5, 1)</definedName>
    <definedName name="Chart_Peer_100_Size" localSheetId="0">OFFSET(#REF!, 0, 0, [1]ControlsH!$E$3, 1)</definedName>
    <definedName name="Chart_Peer_100_Size">OFFSET(#REF!, 0, 0, [1]ControlsH!$E$3, 1)</definedName>
    <definedName name="Chart_Price_100_Size" localSheetId="0">OFFSET(#REF!, 0, 0, [1]ControlsH!$E$3, 1)</definedName>
    <definedName name="Chart_Price_100_Size">OFFSET(#REF!, 0, 0, [1]ControlsH!$E$3, 1)</definedName>
    <definedName name="Chart_Price_Size" localSheetId="0">OFFSET(#REF!, 0, 0, [1]ControlsH!$E$3, 1)</definedName>
    <definedName name="Chart_Price_Size">OFFSET(#REF!, 0, 0, [1]ControlsH!$E$3, 1)</definedName>
    <definedName name="Chart_VAL1_FY1_Size" localSheetId="0">OFFSET(#REF!, 0, 0, [1]ControlsH!$F$3, 1)</definedName>
    <definedName name="Chart_VAL1_FY1_Size">OFFSET(#REF!, 0, 0, [1]ControlsH!$F$3, 1)</definedName>
    <definedName name="Chart_VAL1_FY2_Size" localSheetId="0">OFFSET(#REF!, 0, 0, [1]ControlsH!$G$3, 1)</definedName>
    <definedName name="Chart_VAL1_FY2_Size">OFFSET(#REF!, 0, 0, [1]ControlsH!$G$3, 1)</definedName>
    <definedName name="Chart_VAL1_FY3_Size" localSheetId="0">OFFSET(#REF!, 0, 0, [1]ControlsH!$H$3, 1)</definedName>
    <definedName name="Chart_VAL1_FY3_Size">OFFSET(#REF!, 0, 0, [1]ControlsH!$H$3, 1)</definedName>
    <definedName name="Chart_VAL2_FY1_Size" localSheetId="0">OFFSET(#REF!, 0, 0, [1]ControlsH!$F$5, 1)</definedName>
    <definedName name="Chart_VAL2_FY1_Size">OFFSET(#REF!, 0, 0, [1]ControlsH!$F$5, 1)</definedName>
    <definedName name="Chart_VAL2_FY2_Size" localSheetId="0">OFFSET(#REF!, 0, 0, [1]ControlsH!$G$5, 1)</definedName>
    <definedName name="Chart_VAL2_FY2_Size">OFFSET(#REF!, 0, 0, [1]ControlsH!$G$5, 1)</definedName>
    <definedName name="Chart_VAL2_FY3_Size" localSheetId="0">OFFSET(#REF!, 0, 0, [1]ControlsH!$H$5, 1)</definedName>
    <definedName name="Chart_VAL2_FY3_Size">OFFSET(#REF!, 0, 0, [1]ControlsH!$H$5, 1)</definedName>
    <definedName name="Chart_Volume_Size" localSheetId="0">OFFSET(#REF!, 0, 0, [1]ControlsH!$E$3,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 localSheetId="0">#REF!</definedName>
    <definedName name="custED">#REF!</definedName>
    <definedName name="custSD" localSheetId="0">#REF!</definedName>
    <definedName name="custSD">#REF!</definedName>
    <definedName name="dayCODE">[1]ControlsH!$C$5</definedName>
    <definedName name="ED">[1]ControlsH!$B$5</definedName>
    <definedName name="ESTBrokersItem" localSheetId="0">#REF!</definedName>
    <definedName name="ESTBrokersItem">#REF!</definedName>
    <definedName name="ESTBrokersPeriod" localSheetId="0">#REF!</definedName>
    <definedName name="ESTBrokersPeriod">#REF!</definedName>
    <definedName name="ESTDetailBroker" localSheetId="0">#REF!</definedName>
    <definedName name="ESTDetailBroker">#REF!</definedName>
    <definedName name="ESTDetailBroker2" localSheetId="0">#REF!</definedName>
    <definedName name="ESTDetailBroker2">#REF!</definedName>
    <definedName name="ESTDetailPeriod" localSheetId="0">#REF!</definedName>
    <definedName name="ESTDetailPeriod">#REF!</definedName>
    <definedName name="EstDetPerO" localSheetId="0">#REF!</definedName>
    <definedName name="EstDetPerO">#REF!</definedName>
    <definedName name="EstDetPerT" localSheetId="0">#REF!</definedName>
    <definedName name="EstDetPerT">#REF!</definedName>
    <definedName name="FinancialsPeriod" localSheetId="0">#REF!</definedName>
    <definedName name="FinancialsPeriod">#REF!</definedName>
    <definedName name="fundTICKER">[1]ControlsH!$B$15</definedName>
    <definedName name="GraphValRatio1" localSheetId="0">#REF!</definedName>
    <definedName name="GraphValRatio1">#REF!</definedName>
    <definedName name="GraphValRatio2" localSheetId="0">#REF!</definedName>
    <definedName name="GraphValRatio2">#REF!</definedName>
    <definedName name="Index1" localSheetId="0">#REF!</definedName>
    <definedName name="Index1">#REF!</definedName>
    <definedName name="Lang">[1]Overview!$D$11</definedName>
    <definedName name="newCrncy">[1]ControlsH!$B$21:$B$199</definedName>
    <definedName name="newEstBrokerPeriod" localSheetId="0">#REF!</definedName>
    <definedName name="newEstBrokerPeriod">#REF!</definedName>
    <definedName name="newEstBrokersItem" localSheetId="0">#REF!</definedName>
    <definedName name="newEstBrokersItem">#REF!</definedName>
    <definedName name="newEstDetailBroker" localSheetId="0">#REF!</definedName>
    <definedName name="newEstDetailBroker">#REF!</definedName>
    <definedName name="newEstDetailBroker2" localSheetId="0">#REF!</definedName>
    <definedName name="newEstDetailBroker2">#REF!</definedName>
    <definedName name="newEstDetailPeriod" localSheetId="0">#REF!</definedName>
    <definedName name="newEstDetailPeriod">#REF!</definedName>
    <definedName name="newFinancialsPeriod" localSheetId="0">#REF!</definedName>
    <definedName name="newFinancialsPeriod">#REF!</definedName>
    <definedName name="newOverviewCon" localSheetId="0">#REF!</definedName>
    <definedName name="newOverviewCon">#REF!</definedName>
    <definedName name="newOverviewYear" localSheetId="0">#REF!</definedName>
    <definedName name="newOverviewYear">#REF!</definedName>
    <definedName name="newOwners" localSheetId="0">#REF!</definedName>
    <definedName name="newOwners">#REF!</definedName>
    <definedName name="newPeersRatio" localSheetId="0">#REF!</definedName>
    <definedName name="newPeersRatio">#REF!</definedName>
    <definedName name="newPeriod" localSheetId="0">#REF!</definedName>
    <definedName name="newPeriod">#REF!</definedName>
    <definedName name="newValRatio1" localSheetId="0">#REF!</definedName>
    <definedName name="newValRatio1">#REF!</definedName>
    <definedName name="newValRatio2" localSheetId="0">#REF!</definedName>
    <definedName name="newValRatio2">#REF!</definedName>
    <definedName name="OverviewValRatioPeriod">[1]Overview!$D$30</definedName>
    <definedName name="PeerDate1">[1]Peers!$S$11</definedName>
    <definedName name="peerHist1" localSheetId="0">#REF!</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_xlnm.Print_Area" localSheetId="8">Cifras_en_Millones!$A$1:$L$88</definedName>
    <definedName name="_xlnm.Print_Area" localSheetId="2">Segments!#REF!</definedName>
    <definedName name="salesGEOG">OFFSET([1]Overview!$W$16, 0, 0,#REF!, 1)</definedName>
    <definedName name="salesPROD" localSheetId="0">OFFSET([1]Overview!$Q$16, 0, 0,#REF!, 1)</definedName>
    <definedName name="salesPROD">OFFSET([1]Overview!$Q$16, 0, 0,#REF!, 1)</definedName>
    <definedName name="SD">[1]ControlsH!$B$4</definedName>
    <definedName name="shBroker1" localSheetId="0">#REF!</definedName>
    <definedName name="shBroker1">#REF!</definedName>
    <definedName name="shBrokerRange" localSheetId="0">#REF!</definedName>
    <definedName name="shBrokerRange">#REF!</definedName>
    <definedName name="shOverviewYear" localSheetId="0">#REF!</definedName>
    <definedName name="shOverviewYear">#REF!</definedName>
    <definedName name="shPeer1" localSheetId="0">#REF!</definedName>
    <definedName name="shPeer1">#REF!</definedName>
    <definedName name="shPeerRange" localSheetId="0">#REF!</definedName>
    <definedName name="shPeerRange">#REF!</definedName>
    <definedName name="shPeersDate1" localSheetId="0">#REF!</definedName>
    <definedName name="shPeersDate1">#REF!</definedName>
    <definedName name="startingDate" localSheetId="0">#REF!</definedName>
    <definedName name="startingDate">#REF!</definedName>
    <definedName name="Target_Price" localSheetId="0">OFFSET(#REF!,0,0,[1]ControlsH!$E$5, 1)</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 i="16" l="1"/>
  <c r="L6" i="16"/>
  <c r="H93" i="16"/>
  <c r="D84" i="16"/>
  <c r="D88" i="16"/>
  <c r="D89" i="16"/>
  <c r="D82" i="16"/>
  <c r="D80" i="16"/>
  <c r="J5" i="3"/>
  <c r="H6" i="3"/>
  <c r="H5" i="3"/>
  <c r="H4" i="3"/>
  <c r="H19" i="3"/>
  <c r="H18" i="3"/>
  <c r="H17" i="3"/>
  <c r="D10" i="16"/>
  <c r="E10" i="16"/>
  <c r="F10" i="16"/>
  <c r="G10" i="16"/>
  <c r="H19" i="16"/>
  <c r="I19" i="16"/>
  <c r="J19" i="16"/>
  <c r="K19" i="16"/>
  <c r="J8" i="16"/>
  <c r="E16" i="10"/>
  <c r="D16" i="10"/>
  <c r="C16" i="10"/>
  <c r="H10" i="16"/>
  <c r="H22" i="16"/>
  <c r="E98" i="16"/>
  <c r="B16" i="10"/>
  <c r="E3" i="10" a="1"/>
  <c r="E3" i="10" s="1"/>
  <c r="D3" i="10" a="1"/>
  <c r="D3" i="10" s="1"/>
  <c r="C3" i="10" a="1"/>
  <c r="C3" i="10" s="1"/>
  <c r="B3" i="10" a="1"/>
  <c r="B3" i="10" s="1"/>
  <c r="E2" i="10" a="1"/>
  <c r="E2" i="10" s="1"/>
  <c r="D2" i="10" a="1"/>
  <c r="D2" i="10" s="1"/>
  <c r="C2" i="10" a="1"/>
  <c r="C2" i="10" s="1"/>
  <c r="B2" i="10" a="1"/>
  <c r="B2" i="10" s="1"/>
  <c r="I10" i="16"/>
  <c r="G13" i="16"/>
  <c r="E20" i="10"/>
  <c r="D20" i="10"/>
  <c r="C20" i="10"/>
  <c r="B20" i="10"/>
  <c r="E11" i="10"/>
  <c r="D11" i="10"/>
  <c r="C11" i="10"/>
  <c r="B11" i="10"/>
  <c r="C9" i="10"/>
  <c r="C15" i="10"/>
  <c r="B15" i="10"/>
  <c r="E14" i="10"/>
  <c r="B14" i="10"/>
  <c r="C14" i="10"/>
  <c r="E6" i="10"/>
  <c r="E5" i="10"/>
  <c r="D6" i="10"/>
  <c r="D5" i="10"/>
  <c r="C6" i="10"/>
  <c r="C5" i="10"/>
  <c r="B5" i="10"/>
  <c r="N27" i="18"/>
  <c r="M27" i="18"/>
  <c r="L27" i="18"/>
  <c r="K27" i="18"/>
  <c r="L45" i="17" s="1"/>
  <c r="J27" i="18"/>
  <c r="I27" i="18"/>
  <c r="H27" i="18"/>
  <c r="G27" i="18"/>
  <c r="H45" i="17" s="1"/>
  <c r="F27" i="18"/>
  <c r="G45" i="17" s="1"/>
  <c r="E27" i="18"/>
  <c r="D27" i="18"/>
  <c r="C27" i="18"/>
  <c r="D45" i="17" s="1"/>
  <c r="B27" i="18"/>
  <c r="C45" i="17" s="1"/>
  <c r="E7" i="20" s="1"/>
  <c r="E15" i="10"/>
  <c r="D15" i="10"/>
  <c r="B6" i="10"/>
  <c r="G6" i="18"/>
  <c r="C33" i="20" s="1"/>
  <c r="D14" i="10"/>
  <c r="D9" i="10"/>
  <c r="E9" i="10"/>
  <c r="B9" i="10"/>
  <c r="C16" i="3"/>
  <c r="D3" i="3"/>
  <c r="D9" i="18"/>
  <c r="E14" i="17" s="1"/>
  <c r="M7" i="16"/>
  <c r="M37" i="16"/>
  <c r="G98" i="16"/>
  <c r="F98" i="16"/>
  <c r="D98" i="16"/>
  <c r="E97" i="16"/>
  <c r="F97" i="16"/>
  <c r="G97" i="16"/>
  <c r="I92" i="16"/>
  <c r="J92" i="16"/>
  <c r="K92" i="16"/>
  <c r="L92" i="16"/>
  <c r="M92" i="16"/>
  <c r="N92" i="16"/>
  <c r="O92" i="16"/>
  <c r="P92" i="16"/>
  <c r="Q92" i="16"/>
  <c r="R92" i="16"/>
  <c r="S92" i="16"/>
  <c r="T92" i="16"/>
  <c r="U92" i="16"/>
  <c r="V92" i="16"/>
  <c r="W92" i="16"/>
  <c r="X92" i="16"/>
  <c r="Y92" i="16"/>
  <c r="Z92" i="16"/>
  <c r="AA92" i="16"/>
  <c r="AB92" i="16"/>
  <c r="AC92" i="16"/>
  <c r="AD92" i="16"/>
  <c r="AE92" i="16"/>
  <c r="AF92" i="16"/>
  <c r="H82" i="16"/>
  <c r="G82" i="16"/>
  <c r="F88" i="16" s="1"/>
  <c r="F82" i="16"/>
  <c r="E88" i="16" s="1"/>
  <c r="E82" i="16"/>
  <c r="D90" i="16" s="1"/>
  <c r="E79" i="16"/>
  <c r="F79" i="16"/>
  <c r="G79" i="16"/>
  <c r="H79" i="16"/>
  <c r="D67" i="16" a="1"/>
  <c r="D67" i="16" s="1"/>
  <c r="F29" i="16"/>
  <c r="D29" i="16"/>
  <c r="E29" i="16"/>
  <c r="G29" i="16"/>
  <c r="E4" i="16"/>
  <c r="F4" i="16"/>
  <c r="G4" i="16"/>
  <c r="O42" i="16"/>
  <c r="N42" i="16"/>
  <c r="M42" i="16"/>
  <c r="E57" i="16"/>
  <c r="E56" i="16"/>
  <c r="E70" i="16"/>
  <c r="F70" i="16"/>
  <c r="G70" i="16"/>
  <c r="J6" i="16"/>
  <c r="J10" i="16"/>
  <c r="G33" i="16"/>
  <c r="D33" i="16"/>
  <c r="E33" i="16"/>
  <c r="F33" i="16"/>
  <c r="D26" i="16"/>
  <c r="E26" i="16"/>
  <c r="F26" i="16"/>
  <c r="G26" i="16"/>
  <c r="B12" i="18"/>
  <c r="K29" i="20" s="1"/>
  <c r="K28" i="20" s="1"/>
  <c r="N10" i="18"/>
  <c r="M10" i="18"/>
  <c r="L10" i="18"/>
  <c r="M15" i="17" s="1"/>
  <c r="K10" i="18"/>
  <c r="L15" i="17" s="1"/>
  <c r="J10" i="18"/>
  <c r="K15" i="17" s="1"/>
  <c r="I10" i="18"/>
  <c r="J15" i="17" s="1"/>
  <c r="H10" i="18"/>
  <c r="I15" i="17" s="1"/>
  <c r="G10" i="18"/>
  <c r="H15" i="17" s="1"/>
  <c r="F10" i="18"/>
  <c r="G15" i="17" s="1"/>
  <c r="E10" i="18"/>
  <c r="D13" i="16" s="1"/>
  <c r="D10" i="18"/>
  <c r="E15" i="17" s="1"/>
  <c r="C10" i="18"/>
  <c r="F13" i="16" s="1"/>
  <c r="G12" i="16"/>
  <c r="N9" i="18"/>
  <c r="M9" i="18"/>
  <c r="L9" i="18"/>
  <c r="M14" i="17" s="1"/>
  <c r="K9" i="18"/>
  <c r="L14" i="17" s="1"/>
  <c r="J9" i="18"/>
  <c r="K14" i="17" s="1"/>
  <c r="I9" i="18"/>
  <c r="J14" i="17" s="1"/>
  <c r="H9" i="18"/>
  <c r="I14" i="17" s="1"/>
  <c r="G9" i="18"/>
  <c r="H14" i="17" s="1"/>
  <c r="F9" i="18"/>
  <c r="G14" i="17" s="1"/>
  <c r="E9" i="18"/>
  <c r="D12" i="16" s="1"/>
  <c r="E12" i="16"/>
  <c r="C9" i="18"/>
  <c r="F12" i="16" s="1"/>
  <c r="N15" i="18"/>
  <c r="M15" i="18"/>
  <c r="L15" i="18"/>
  <c r="M21" i="17" s="1"/>
  <c r="K15" i="18"/>
  <c r="L21" i="17" s="1"/>
  <c r="J15" i="18"/>
  <c r="K21" i="17" s="1"/>
  <c r="I15" i="18"/>
  <c r="J21" i="17" s="1"/>
  <c r="H15" i="18"/>
  <c r="I21" i="17" s="1"/>
  <c r="G15" i="18"/>
  <c r="H21" i="17" s="1"/>
  <c r="F15" i="18"/>
  <c r="G21" i="17" s="1"/>
  <c r="E15" i="18"/>
  <c r="F21" i="17" s="1"/>
  <c r="D15" i="16" s="1"/>
  <c r="D15" i="18"/>
  <c r="E21" i="17" s="1"/>
  <c r="E15" i="16" s="1"/>
  <c r="C15" i="18"/>
  <c r="B15" i="18"/>
  <c r="C21" i="17" s="1"/>
  <c r="G15" i="16" s="1"/>
  <c r="N8" i="18"/>
  <c r="N7" i="18"/>
  <c r="N6" i="18"/>
  <c r="C26" i="20" s="1"/>
  <c r="N11" i="18"/>
  <c r="H26" i="20" s="1"/>
  <c r="M11" i="18"/>
  <c r="H27" i="20" s="1"/>
  <c r="L11" i="18"/>
  <c r="M17" i="17" s="1"/>
  <c r="K11" i="18"/>
  <c r="H29" i="20" s="1"/>
  <c r="J11" i="18"/>
  <c r="I11" i="18"/>
  <c r="H11" i="18"/>
  <c r="G11" i="18"/>
  <c r="F11" i="18"/>
  <c r="H34" i="20" s="1"/>
  <c r="E11" i="18"/>
  <c r="F17" i="17" s="1"/>
  <c r="D9" i="16" s="1"/>
  <c r="D11" i="18"/>
  <c r="C11" i="18"/>
  <c r="H37" i="20" s="1"/>
  <c r="B11" i="18"/>
  <c r="H38" i="20" s="1"/>
  <c r="N42" i="18"/>
  <c r="M42" i="18"/>
  <c r="L42" i="18"/>
  <c r="M63" i="17" s="1"/>
  <c r="K42" i="18"/>
  <c r="L63" i="17" s="1"/>
  <c r="J42" i="18"/>
  <c r="K63" i="17" s="1"/>
  <c r="I42" i="18"/>
  <c r="J63" i="17" s="1"/>
  <c r="H42" i="18"/>
  <c r="I63" i="17" s="1"/>
  <c r="G42" i="18"/>
  <c r="H63" i="17" s="1"/>
  <c r="F42" i="18"/>
  <c r="G63" i="17" s="1"/>
  <c r="E42" i="18"/>
  <c r="F63" i="17" s="1"/>
  <c r="D42" i="18"/>
  <c r="E63" i="17" s="1"/>
  <c r="C42" i="18"/>
  <c r="D63" i="17" s="1"/>
  <c r="B42" i="18"/>
  <c r="C63" i="17" s="1"/>
  <c r="B39" i="18"/>
  <c r="N39" i="18"/>
  <c r="M39" i="18"/>
  <c r="L39" i="18"/>
  <c r="M57" i="17" s="1"/>
  <c r="K39" i="18"/>
  <c r="J39" i="18"/>
  <c r="J44" i="18" s="1"/>
  <c r="I39" i="18"/>
  <c r="I44" i="18" s="1"/>
  <c r="H39" i="18"/>
  <c r="I57" i="17" s="1"/>
  <c r="G39" i="18"/>
  <c r="F39" i="18"/>
  <c r="E39" i="18"/>
  <c r="F57" i="17" s="1"/>
  <c r="D39" i="18"/>
  <c r="C39" i="18"/>
  <c r="N25" i="18"/>
  <c r="B48" i="18" a="1"/>
  <c r="B48" i="18" s="1"/>
  <c r="C71" i="17" s="1"/>
  <c r="N37" i="18"/>
  <c r="M37" i="18"/>
  <c r="L37" i="18"/>
  <c r="K37" i="18"/>
  <c r="L55" i="17" s="1"/>
  <c r="J37" i="18"/>
  <c r="K55" i="17" s="1"/>
  <c r="I37" i="18"/>
  <c r="J55" i="17" s="1"/>
  <c r="H37" i="18"/>
  <c r="I55" i="17" s="1"/>
  <c r="G37" i="18"/>
  <c r="H55" i="17" s="1"/>
  <c r="F37" i="18"/>
  <c r="G55" i="17" s="1"/>
  <c r="E37" i="18"/>
  <c r="F55" i="17" s="1"/>
  <c r="D37" i="18"/>
  <c r="E55" i="17" s="1"/>
  <c r="C37" i="18"/>
  <c r="D55" i="17" s="1"/>
  <c r="N36" i="18"/>
  <c r="M36" i="18"/>
  <c r="L36" i="18"/>
  <c r="M54" i="17" s="1"/>
  <c r="K36" i="18"/>
  <c r="L54" i="17" s="1"/>
  <c r="J36" i="18"/>
  <c r="K54" i="17" s="1"/>
  <c r="I36" i="18"/>
  <c r="J54" i="17" s="1"/>
  <c r="H36" i="18"/>
  <c r="I54" i="17" s="1"/>
  <c r="G36" i="18"/>
  <c r="H54" i="17" s="1"/>
  <c r="F36" i="18"/>
  <c r="G54" i="17" s="1"/>
  <c r="E36" i="18"/>
  <c r="F54" i="17" s="1"/>
  <c r="D36" i="18"/>
  <c r="E54" i="17" s="1"/>
  <c r="C36" i="18"/>
  <c r="D54" i="17" s="1"/>
  <c r="B37" i="18"/>
  <c r="C55" i="17" s="1"/>
  <c r="B36" i="18"/>
  <c r="C54" i="17" s="1"/>
  <c r="N35" i="18"/>
  <c r="M35" i="18"/>
  <c r="L35" i="18"/>
  <c r="M53" i="17" s="1"/>
  <c r="K35" i="18"/>
  <c r="L53" i="17" s="1"/>
  <c r="J35" i="18"/>
  <c r="K53" i="17" s="1"/>
  <c r="I35" i="18"/>
  <c r="J53" i="17" s="1"/>
  <c r="H35" i="18"/>
  <c r="I53" i="17" s="1"/>
  <c r="G35" i="18"/>
  <c r="H53" i="17" s="1"/>
  <c r="F35" i="18"/>
  <c r="G53" i="17" s="1"/>
  <c r="E35" i="18"/>
  <c r="F53" i="17" s="1"/>
  <c r="D35" i="18"/>
  <c r="E53" i="17" s="1"/>
  <c r="C35" i="18"/>
  <c r="D53" i="17" s="1"/>
  <c r="B35" i="18"/>
  <c r="C53" i="17" s="1"/>
  <c r="N33" i="18"/>
  <c r="M33" i="18"/>
  <c r="L33" i="18"/>
  <c r="M51" i="17" s="1"/>
  <c r="K33" i="18"/>
  <c r="L51" i="17" s="1"/>
  <c r="J33" i="18"/>
  <c r="K51" i="17" s="1"/>
  <c r="I33" i="18"/>
  <c r="J51" i="17" s="1"/>
  <c r="H33" i="18"/>
  <c r="I51" i="17" s="1"/>
  <c r="G33" i="18"/>
  <c r="H51" i="17" s="1"/>
  <c r="F33" i="18"/>
  <c r="G51" i="17" s="1"/>
  <c r="E33" i="18"/>
  <c r="D33" i="18"/>
  <c r="E51" i="17" s="1"/>
  <c r="C33" i="18"/>
  <c r="L32" i="20" s="1"/>
  <c r="B33" i="18"/>
  <c r="C51" i="17" s="1"/>
  <c r="N32" i="18"/>
  <c r="M32" i="18"/>
  <c r="L32" i="18"/>
  <c r="M50" i="17" s="1"/>
  <c r="K32" i="18"/>
  <c r="L50" i="17" s="1"/>
  <c r="J32" i="18"/>
  <c r="K50" i="17" s="1"/>
  <c r="I32" i="18"/>
  <c r="H32" i="18"/>
  <c r="I50" i="17" s="1"/>
  <c r="G32" i="18"/>
  <c r="H50" i="17" s="1"/>
  <c r="F32" i="18"/>
  <c r="G50" i="17" s="1"/>
  <c r="E32" i="18"/>
  <c r="F50" i="17" s="1"/>
  <c r="D32" i="18"/>
  <c r="E50" i="17" s="1"/>
  <c r="C32" i="18"/>
  <c r="D50" i="17" s="1"/>
  <c r="N31" i="18"/>
  <c r="M31" i="18"/>
  <c r="L31" i="18"/>
  <c r="M49" i="17" s="1"/>
  <c r="K31" i="18"/>
  <c r="L49" i="17" s="1"/>
  <c r="J31" i="18"/>
  <c r="I31" i="18"/>
  <c r="J49" i="17" s="1"/>
  <c r="H31" i="18"/>
  <c r="I49" i="17" s="1"/>
  <c r="G31" i="18"/>
  <c r="H49" i="17" s="1"/>
  <c r="F31" i="18"/>
  <c r="G49" i="17" s="1"/>
  <c r="E31" i="18"/>
  <c r="F49" i="17" s="1"/>
  <c r="D31" i="18"/>
  <c r="E49" i="17" s="1"/>
  <c r="C31" i="18"/>
  <c r="D49" i="17" s="1"/>
  <c r="B31" i="18"/>
  <c r="C49" i="17" s="1"/>
  <c r="B32" i="18"/>
  <c r="C50" i="17" s="1"/>
  <c r="M25" i="18"/>
  <c r="L25" i="18"/>
  <c r="M43" i="17" s="1"/>
  <c r="K25" i="18"/>
  <c r="L43" i="17" s="1"/>
  <c r="J25" i="18"/>
  <c r="K43" i="17" s="1"/>
  <c r="I25" i="18"/>
  <c r="J43" i="17" s="1"/>
  <c r="H25" i="18"/>
  <c r="I43" i="17" s="1"/>
  <c r="G25" i="18"/>
  <c r="H43" i="17" s="1"/>
  <c r="F25" i="18"/>
  <c r="G43" i="17" s="1"/>
  <c r="E25" i="18"/>
  <c r="F43" i="17" s="1"/>
  <c r="D25" i="18"/>
  <c r="E43" i="17" s="1"/>
  <c r="C25" i="18"/>
  <c r="D43" i="17" s="1"/>
  <c r="B25" i="18"/>
  <c r="C43" i="17" s="1"/>
  <c r="N24" i="18"/>
  <c r="M24" i="18"/>
  <c r="L24" i="18"/>
  <c r="M42" i="17" s="1"/>
  <c r="K24" i="18"/>
  <c r="L42" i="17" s="1"/>
  <c r="J24" i="18"/>
  <c r="K42" i="17" s="1"/>
  <c r="I24" i="18"/>
  <c r="J42" i="17" s="1"/>
  <c r="H24" i="18"/>
  <c r="I42" i="17" s="1"/>
  <c r="G24" i="18"/>
  <c r="H42" i="17" s="1"/>
  <c r="F24" i="18"/>
  <c r="G42" i="17" s="1"/>
  <c r="E24" i="18"/>
  <c r="F42" i="17" s="1"/>
  <c r="D24" i="18"/>
  <c r="E42" i="17" s="1"/>
  <c r="C24" i="18"/>
  <c r="D42" i="17" s="1"/>
  <c r="B24" i="18"/>
  <c r="C42" i="17" s="1"/>
  <c r="H23" i="18"/>
  <c r="I41" i="17" s="1"/>
  <c r="N23" i="18"/>
  <c r="M23" i="18"/>
  <c r="L23" i="18"/>
  <c r="M41" i="17" s="1"/>
  <c r="K23" i="18"/>
  <c r="L41" i="17" s="1"/>
  <c r="J23" i="18"/>
  <c r="K41" i="17" s="1"/>
  <c r="I23" i="18"/>
  <c r="J41" i="17" s="1"/>
  <c r="G23" i="18"/>
  <c r="H41" i="17" s="1"/>
  <c r="F23" i="18"/>
  <c r="G41" i="17" s="1"/>
  <c r="E23" i="18"/>
  <c r="F41" i="17" s="1"/>
  <c r="D23" i="18"/>
  <c r="E41" i="17" s="1"/>
  <c r="C23" i="18"/>
  <c r="D41" i="17" s="1"/>
  <c r="B23" i="18"/>
  <c r="N22" i="18"/>
  <c r="M22" i="18"/>
  <c r="L22" i="18"/>
  <c r="M40" i="17" s="1"/>
  <c r="K22" i="18"/>
  <c r="L40" i="17" s="1"/>
  <c r="J22" i="18"/>
  <c r="K40" i="17" s="1"/>
  <c r="I22" i="18"/>
  <c r="J40" i="17" s="1"/>
  <c r="H22" i="18"/>
  <c r="I40" i="17" s="1"/>
  <c r="G22" i="18"/>
  <c r="H40" i="17" s="1"/>
  <c r="F22" i="18"/>
  <c r="G40" i="17" s="1"/>
  <c r="E22" i="18"/>
  <c r="F40" i="17" s="1"/>
  <c r="D22" i="18"/>
  <c r="E40" i="17" s="1"/>
  <c r="C22" i="18"/>
  <c r="D40" i="17" s="1"/>
  <c r="B22" i="18"/>
  <c r="C40" i="17" s="1"/>
  <c r="N18" i="18"/>
  <c r="M18" i="18"/>
  <c r="L18" i="18"/>
  <c r="M29" i="17" s="1"/>
  <c r="K18" i="18"/>
  <c r="L29" i="17" s="1"/>
  <c r="J18" i="18"/>
  <c r="K29" i="17" s="1"/>
  <c r="I18" i="18"/>
  <c r="J29" i="17" s="1"/>
  <c r="H18" i="18"/>
  <c r="I29" i="17" s="1"/>
  <c r="G18" i="18"/>
  <c r="H29" i="17" s="1"/>
  <c r="F18" i="18"/>
  <c r="G29" i="17" s="1"/>
  <c r="E18" i="18"/>
  <c r="F29" i="17" s="1"/>
  <c r="D18" i="18"/>
  <c r="E29" i="17" s="1"/>
  <c r="C18" i="18"/>
  <c r="L34" i="20" s="1"/>
  <c r="B18" i="18"/>
  <c r="K34" i="20" s="1"/>
  <c r="N17" i="18"/>
  <c r="M17" i="18"/>
  <c r="L17" i="18"/>
  <c r="M27" i="17" s="1"/>
  <c r="K17" i="18"/>
  <c r="L27" i="17" s="1"/>
  <c r="J17" i="18"/>
  <c r="I17" i="18"/>
  <c r="J27" i="17" s="1"/>
  <c r="H17" i="18"/>
  <c r="I27" i="17" s="1"/>
  <c r="G17" i="18"/>
  <c r="H27" i="17" s="1"/>
  <c r="F17" i="18"/>
  <c r="E17" i="18"/>
  <c r="F27" i="17" s="1"/>
  <c r="D17" i="18"/>
  <c r="C17" i="18"/>
  <c r="L33" i="20" s="1"/>
  <c r="B17" i="18"/>
  <c r="K33" i="20" s="1"/>
  <c r="N16" i="18"/>
  <c r="F26" i="20" s="1"/>
  <c r="M16" i="18"/>
  <c r="F27" i="20" s="1"/>
  <c r="L16" i="18"/>
  <c r="M23" i="17" s="1"/>
  <c r="K16" i="18"/>
  <c r="F29" i="20" s="1"/>
  <c r="J16" i="18"/>
  <c r="F30" i="20" s="1"/>
  <c r="I16" i="18"/>
  <c r="F31" i="20" s="1"/>
  <c r="H16" i="18"/>
  <c r="F32" i="20" s="1"/>
  <c r="G16" i="18"/>
  <c r="H23" i="17" s="1"/>
  <c r="F16" i="18"/>
  <c r="G23" i="17" s="1"/>
  <c r="E16" i="18"/>
  <c r="F35" i="20" s="1"/>
  <c r="D16" i="18"/>
  <c r="C16" i="18"/>
  <c r="B16" i="18"/>
  <c r="K27" i="20" s="1"/>
  <c r="N14" i="18"/>
  <c r="O34" i="17" s="1"/>
  <c r="M14" i="18"/>
  <c r="N34" i="17" s="1"/>
  <c r="L14" i="18"/>
  <c r="M34" i="17" s="1"/>
  <c r="K14" i="18"/>
  <c r="L34" i="17" s="1"/>
  <c r="J14" i="18"/>
  <c r="I14" i="18"/>
  <c r="J34" i="17" s="1"/>
  <c r="H14" i="18"/>
  <c r="I34" i="17" s="1"/>
  <c r="G14" i="18"/>
  <c r="H34" i="17" s="1"/>
  <c r="F14" i="18"/>
  <c r="G34" i="17" s="1"/>
  <c r="E14" i="18"/>
  <c r="F34" i="17" s="1"/>
  <c r="D14" i="18"/>
  <c r="E34" i="17" s="1"/>
  <c r="C14" i="18"/>
  <c r="D34" i="17" s="1"/>
  <c r="B14" i="18"/>
  <c r="C34" i="17" s="1"/>
  <c r="K32" i="20" s="1"/>
  <c r="N13" i="18"/>
  <c r="O33" i="17" s="1"/>
  <c r="M13" i="18"/>
  <c r="N33" i="17" s="1"/>
  <c r="L13" i="18"/>
  <c r="K13" i="18"/>
  <c r="J13" i="18"/>
  <c r="K33" i="17" s="1"/>
  <c r="I13" i="18"/>
  <c r="J33" i="17" s="1"/>
  <c r="H13" i="18"/>
  <c r="G13" i="18"/>
  <c r="F13" i="18"/>
  <c r="G33" i="17" s="1"/>
  <c r="E13" i="18"/>
  <c r="F33" i="17" s="1"/>
  <c r="D13" i="18"/>
  <c r="C13" i="18"/>
  <c r="L31" i="20" s="1"/>
  <c r="B13" i="18"/>
  <c r="K31" i="20" s="1"/>
  <c r="N12" i="18"/>
  <c r="M12" i="18"/>
  <c r="L12" i="18"/>
  <c r="M18" i="17" s="1"/>
  <c r="K12" i="18"/>
  <c r="L18" i="17" s="1"/>
  <c r="J12" i="18"/>
  <c r="K18" i="17" s="1"/>
  <c r="I12" i="18"/>
  <c r="J18" i="17" s="1"/>
  <c r="H12" i="18"/>
  <c r="I18" i="17" s="1"/>
  <c r="G12" i="18"/>
  <c r="H18" i="17" s="1"/>
  <c r="F12" i="18"/>
  <c r="G18" i="17" s="1"/>
  <c r="E12" i="18"/>
  <c r="D12" i="18"/>
  <c r="E18" i="17" s="1"/>
  <c r="C12" i="18"/>
  <c r="L29" i="20" s="1"/>
  <c r="L28" i="20" s="1"/>
  <c r="M8" i="18"/>
  <c r="L8" i="18"/>
  <c r="M11" i="17" s="1"/>
  <c r="K8" i="18"/>
  <c r="J8" i="18"/>
  <c r="I8" i="18"/>
  <c r="J11" i="17" s="1"/>
  <c r="H8" i="18"/>
  <c r="I11" i="17" s="1"/>
  <c r="G8" i="18"/>
  <c r="H11" i="17" s="1"/>
  <c r="F8" i="18"/>
  <c r="G11" i="17" s="1"/>
  <c r="E8" i="18"/>
  <c r="F11" i="17" s="1"/>
  <c r="D8" i="18"/>
  <c r="E11" i="17" s="1"/>
  <c r="C8" i="18"/>
  <c r="D11" i="17" s="1"/>
  <c r="B8" i="18"/>
  <c r="C11" i="17" s="1"/>
  <c r="M7" i="18"/>
  <c r="L7" i="18"/>
  <c r="M7" i="17" s="1"/>
  <c r="K7" i="18"/>
  <c r="L7" i="17" s="1"/>
  <c r="J7" i="18"/>
  <c r="K7" i="17" s="1"/>
  <c r="I7" i="18"/>
  <c r="J7" i="17" s="1"/>
  <c r="H7" i="18"/>
  <c r="I7" i="17" s="1"/>
  <c r="G7" i="18"/>
  <c r="H7" i="17" s="1"/>
  <c r="F7" i="18"/>
  <c r="G7" i="17" s="1"/>
  <c r="E7" i="18"/>
  <c r="F7" i="17" s="1"/>
  <c r="D7" i="18"/>
  <c r="E7" i="17" s="1"/>
  <c r="C7" i="18"/>
  <c r="D7" i="17" s="1"/>
  <c r="B7" i="18"/>
  <c r="C7" i="17" s="1"/>
  <c r="M6" i="18"/>
  <c r="C27" i="20" s="1"/>
  <c r="L6" i="18"/>
  <c r="M5" i="17" s="1"/>
  <c r="M9" i="17" s="1"/>
  <c r="M10" i="17" s="1"/>
  <c r="K6" i="18"/>
  <c r="C29" i="20" s="1"/>
  <c r="J6" i="18"/>
  <c r="I6" i="18"/>
  <c r="J5" i="17" s="1"/>
  <c r="H6" i="18"/>
  <c r="F6" i="18"/>
  <c r="E6" i="18"/>
  <c r="D6" i="18"/>
  <c r="C6" i="18"/>
  <c r="D5" i="17" s="1"/>
  <c r="B6" i="18"/>
  <c r="C38" i="20" s="1"/>
  <c r="J22" i="3"/>
  <c r="J21" i="3"/>
  <c r="J20" i="3"/>
  <c r="J13" i="3"/>
  <c r="J12" i="3"/>
  <c r="J11" i="3"/>
  <c r="J10" i="3"/>
  <c r="J9" i="3"/>
  <c r="J8" i="3"/>
  <c r="J7" i="3"/>
  <c r="J26" i="3"/>
  <c r="J25" i="3"/>
  <c r="J24" i="3"/>
  <c r="J23" i="3"/>
  <c r="G28" i="20"/>
  <c r="G30" i="20"/>
  <c r="D23" i="16"/>
  <c r="D22" i="16"/>
  <c r="E22" i="16"/>
  <c r="F22" i="16"/>
  <c r="G22" i="16"/>
  <c r="I5" i="16"/>
  <c r="F18" i="3"/>
  <c r="J18" i="3"/>
  <c r="F19" i="3"/>
  <c r="J19" i="3"/>
  <c r="F17" i="3"/>
  <c r="J17" i="3"/>
  <c r="F5" i="3"/>
  <c r="H9" i="20"/>
  <c r="F6" i="3"/>
  <c r="J6" i="3"/>
  <c r="F4" i="3"/>
  <c r="J4" i="3"/>
  <c r="E2" i="20" a="1"/>
  <c r="E2" i="20" s="1"/>
  <c r="A3" i="18" a="1"/>
  <c r="A3" i="18" s="1"/>
  <c r="A4" i="18" a="1"/>
  <c r="A4" i="18" s="1"/>
  <c r="C5" i="18"/>
  <c r="D5" i="18"/>
  <c r="H17" i="20"/>
  <c r="H16" i="20"/>
  <c r="H15" i="20"/>
  <c r="H8" i="20"/>
  <c r="F17" i="20"/>
  <c r="F16" i="20"/>
  <c r="F15" i="20"/>
  <c r="F10" i="20"/>
  <c r="F9" i="20"/>
  <c r="F8" i="20"/>
  <c r="C8" i="20" a="1"/>
  <c r="C8" i="20" s="1"/>
  <c r="C7" i="20" a="1"/>
  <c r="C7" i="20" s="1"/>
  <c r="B27" i="20"/>
  <c r="B28" i="20"/>
  <c r="B29" i="20"/>
  <c r="B30" i="20"/>
  <c r="B31" i="20"/>
  <c r="B32" i="20"/>
  <c r="B33" i="20"/>
  <c r="B34" i="20"/>
  <c r="B35" i="20"/>
  <c r="B36" i="20"/>
  <c r="B37" i="20"/>
  <c r="C27" i="3"/>
  <c r="I3" i="16"/>
  <c r="J3" i="16"/>
  <c r="K3" i="16"/>
  <c r="L3" i="16"/>
  <c r="M3" i="16"/>
  <c r="N3" i="16"/>
  <c r="O3" i="16"/>
  <c r="P3" i="16"/>
  <c r="Q3" i="16"/>
  <c r="R3" i="16"/>
  <c r="S3" i="16"/>
  <c r="T3" i="16"/>
  <c r="U3" i="16"/>
  <c r="V3" i="16"/>
  <c r="W3" i="16"/>
  <c r="X3" i="16"/>
  <c r="Y3" i="16"/>
  <c r="Z3" i="16"/>
  <c r="AA3" i="16"/>
  <c r="AB3" i="16"/>
  <c r="AC3" i="16"/>
  <c r="AD3" i="16"/>
  <c r="AE3" i="16"/>
  <c r="AF3" i="16"/>
  <c r="AC38" i="19"/>
  <c r="AB38" i="19"/>
  <c r="AA38" i="19"/>
  <c r="Z38" i="19"/>
  <c r="AC41" i="19"/>
  <c r="AB41" i="19"/>
  <c r="AA41" i="19"/>
  <c r="Z41" i="19"/>
  <c r="C25" i="19"/>
  <c r="C36" i="19"/>
  <c r="D25" i="19"/>
  <c r="D36" i="19"/>
  <c r="E25" i="19"/>
  <c r="E36" i="19"/>
  <c r="F25" i="19"/>
  <c r="F36" i="19"/>
  <c r="G25" i="19"/>
  <c r="G36" i="19"/>
  <c r="H25" i="19"/>
  <c r="H36" i="19"/>
  <c r="I25" i="19"/>
  <c r="I36" i="19"/>
  <c r="J25" i="19"/>
  <c r="J36" i="19"/>
  <c r="K25" i="19"/>
  <c r="K36" i="19"/>
  <c r="L25" i="19"/>
  <c r="L36" i="19"/>
  <c r="M25" i="19"/>
  <c r="M36" i="19"/>
  <c r="N25" i="19"/>
  <c r="N36" i="19"/>
  <c r="O25" i="19"/>
  <c r="O36" i="19"/>
  <c r="P25" i="19"/>
  <c r="P36" i="19"/>
  <c r="Q25" i="19"/>
  <c r="Q36" i="19"/>
  <c r="R25" i="19"/>
  <c r="R36" i="19"/>
  <c r="S25" i="19"/>
  <c r="S36" i="19"/>
  <c r="T25" i="19"/>
  <c r="T36" i="19"/>
  <c r="U25" i="19"/>
  <c r="U36" i="19"/>
  <c r="V25" i="19"/>
  <c r="V36" i="19"/>
  <c r="W25" i="19"/>
  <c r="X25" i="19"/>
  <c r="X36" i="19"/>
  <c r="AD34" i="19"/>
  <c r="AC34" i="19"/>
  <c r="AB34" i="19"/>
  <c r="AA34" i="19"/>
  <c r="Z34" i="19"/>
  <c r="AD33" i="19"/>
  <c r="AC33" i="19"/>
  <c r="AB33" i="19"/>
  <c r="AA33" i="19"/>
  <c r="Z33" i="19"/>
  <c r="AD31" i="19"/>
  <c r="AC31" i="19"/>
  <c r="AB31" i="19"/>
  <c r="AA31" i="19"/>
  <c r="Z31" i="19"/>
  <c r="AD30" i="19"/>
  <c r="AC30" i="19"/>
  <c r="AB30" i="19"/>
  <c r="AA30" i="19"/>
  <c r="Z30" i="19"/>
  <c r="AF5" i="19"/>
  <c r="AG5" i="19"/>
  <c r="AH5" i="19"/>
  <c r="AI5" i="19"/>
  <c r="AJ5" i="19"/>
  <c r="AK5" i="19"/>
  <c r="AL5" i="19"/>
  <c r="AM5" i="19"/>
  <c r="AN5" i="19"/>
  <c r="AO5" i="19"/>
  <c r="AP5" i="19"/>
  <c r="AQ5" i="19"/>
  <c r="AR5" i="19"/>
  <c r="AS5" i="19"/>
  <c r="AT5" i="19"/>
  <c r="AU5" i="19"/>
  <c r="AV5" i="19"/>
  <c r="AW5" i="19"/>
  <c r="AX5" i="19"/>
  <c r="AY5" i="19"/>
  <c r="AZ5" i="19"/>
  <c r="BA5" i="19"/>
  <c r="BB5" i="19"/>
  <c r="AF6" i="19"/>
  <c r="Z27" i="19"/>
  <c r="Z10" i="19"/>
  <c r="AA27" i="19"/>
  <c r="Z26" i="19"/>
  <c r="AA26" i="19"/>
  <c r="AB27" i="19"/>
  <c r="AB26" i="19"/>
  <c r="AB25" i="19"/>
  <c r="AC27" i="19"/>
  <c r="AC26" i="19"/>
  <c r="AD27" i="19"/>
  <c r="AE27" i="19"/>
  <c r="AD26" i="19"/>
  <c r="AE26" i="19"/>
  <c r="C40" i="19"/>
  <c r="C42" i="19"/>
  <c r="D40" i="19"/>
  <c r="D42" i="19"/>
  <c r="E53" i="19"/>
  <c r="E54" i="19"/>
  <c r="E55" i="19"/>
  <c r="E56" i="19"/>
  <c r="E57" i="19"/>
  <c r="E52" i="19"/>
  <c r="I53" i="19"/>
  <c r="I54" i="19"/>
  <c r="I55" i="19"/>
  <c r="I56" i="19"/>
  <c r="I57" i="19"/>
  <c r="I52" i="19"/>
  <c r="J57" i="19"/>
  <c r="F57" i="19"/>
  <c r="F56" i="19"/>
  <c r="F55" i="19"/>
  <c r="F54" i="19"/>
  <c r="F53" i="19"/>
  <c r="F52" i="19"/>
  <c r="G57" i="19"/>
  <c r="G56" i="19"/>
  <c r="G55" i="19"/>
  <c r="G54" i="19"/>
  <c r="G53" i="19"/>
  <c r="G52" i="19"/>
  <c r="H57" i="19"/>
  <c r="H56" i="19"/>
  <c r="H55" i="19"/>
  <c r="H54" i="19"/>
  <c r="H53" i="19"/>
  <c r="H52" i="19"/>
  <c r="J52" i="19"/>
  <c r="K52" i="19"/>
  <c r="J53" i="19"/>
  <c r="K53" i="19"/>
  <c r="J54" i="19"/>
  <c r="K54" i="19"/>
  <c r="J55" i="19"/>
  <c r="K55" i="19"/>
  <c r="J56" i="19"/>
  <c r="K56" i="19"/>
  <c r="K57" i="19"/>
  <c r="L53" i="19"/>
  <c r="L54" i="19"/>
  <c r="L55" i="19"/>
  <c r="L56" i="19"/>
  <c r="L57" i="19"/>
  <c r="L52" i="19"/>
  <c r="E40" i="19"/>
  <c r="E42" i="19"/>
  <c r="I40" i="19"/>
  <c r="I42" i="19"/>
  <c r="F40" i="19"/>
  <c r="F42" i="19"/>
  <c r="J40" i="19"/>
  <c r="J42" i="19"/>
  <c r="G40" i="19"/>
  <c r="G42" i="19"/>
  <c r="K40" i="19"/>
  <c r="K42" i="19"/>
  <c r="H40" i="19"/>
  <c r="H42" i="19"/>
  <c r="L40" i="19"/>
  <c r="L42" i="19"/>
  <c r="M53" i="19"/>
  <c r="N53" i="19"/>
  <c r="O53" i="19"/>
  <c r="P53" i="19"/>
  <c r="M54" i="19"/>
  <c r="N54" i="19"/>
  <c r="O54" i="19"/>
  <c r="P54" i="19"/>
  <c r="M55" i="19"/>
  <c r="N55" i="19"/>
  <c r="O55" i="19"/>
  <c r="P55" i="19"/>
  <c r="M56" i="19"/>
  <c r="N56" i="19"/>
  <c r="O56" i="19"/>
  <c r="P56" i="19"/>
  <c r="M57" i="19"/>
  <c r="N57" i="19"/>
  <c r="O57" i="19"/>
  <c r="P57" i="19"/>
  <c r="M52" i="19"/>
  <c r="N52" i="19"/>
  <c r="O52" i="19"/>
  <c r="P52" i="19"/>
  <c r="M40" i="19"/>
  <c r="M42" i="19"/>
  <c r="N40" i="19"/>
  <c r="N42" i="19"/>
  <c r="O40" i="19"/>
  <c r="O42" i="19"/>
  <c r="Q53" i="19"/>
  <c r="R53" i="19"/>
  <c r="S53" i="19"/>
  <c r="T53" i="19"/>
  <c r="U53" i="19"/>
  <c r="V53" i="19"/>
  <c r="W53" i="19"/>
  <c r="Q54" i="19"/>
  <c r="R54" i="19"/>
  <c r="S54" i="19"/>
  <c r="T54" i="19"/>
  <c r="U54" i="19"/>
  <c r="V54" i="19"/>
  <c r="W54" i="19"/>
  <c r="Q55" i="19"/>
  <c r="R55" i="19"/>
  <c r="S55" i="19"/>
  <c r="T55" i="19"/>
  <c r="U55" i="19"/>
  <c r="V55" i="19"/>
  <c r="W55" i="19"/>
  <c r="Q56" i="19"/>
  <c r="R56" i="19"/>
  <c r="S56" i="19"/>
  <c r="T56" i="19"/>
  <c r="U56" i="19"/>
  <c r="V56" i="19"/>
  <c r="W56" i="19"/>
  <c r="Q57" i="19"/>
  <c r="R57" i="19"/>
  <c r="S57" i="19"/>
  <c r="T57" i="19"/>
  <c r="U57" i="19"/>
  <c r="V57" i="19"/>
  <c r="W57" i="19"/>
  <c r="W52" i="19"/>
  <c r="V52" i="19"/>
  <c r="U52" i="19"/>
  <c r="T52" i="19"/>
  <c r="S52" i="19"/>
  <c r="R52" i="19"/>
  <c r="Q52" i="19"/>
  <c r="P40" i="19"/>
  <c r="P42" i="19"/>
  <c r="T40" i="19"/>
  <c r="T42" i="19"/>
  <c r="Q40" i="19"/>
  <c r="Q42" i="19"/>
  <c r="U40" i="19"/>
  <c r="U42" i="19"/>
  <c r="V40" i="19"/>
  <c r="V42" i="19"/>
  <c r="R40" i="19"/>
  <c r="R42" i="19"/>
  <c r="S40" i="19"/>
  <c r="S42" i="19"/>
  <c r="W40" i="19"/>
  <c r="W42" i="19"/>
  <c r="AC52" i="19"/>
  <c r="W36" i="19"/>
  <c r="U22" i="19"/>
  <c r="U21" i="19"/>
  <c r="AC54" i="19"/>
  <c r="AA57" i="19"/>
  <c r="Z55" i="19"/>
  <c r="AA55" i="19"/>
  <c r="AB56" i="19"/>
  <c r="AB54" i="19"/>
  <c r="AA54" i="19"/>
  <c r="AC25" i="19"/>
  <c r="AC19" i="19"/>
  <c r="AC56" i="19"/>
  <c r="AB55" i="19"/>
  <c r="AB22" i="19"/>
  <c r="AB53" i="19"/>
  <c r="Z52" i="19"/>
  <c r="Z53" i="19"/>
  <c r="AA52" i="19"/>
  <c r="AB52" i="19"/>
  <c r="AB19" i="19"/>
  <c r="AA53" i="19"/>
  <c r="AB36" i="19"/>
  <c r="AC55" i="19"/>
  <c r="AC53" i="19"/>
  <c r="Z57" i="19"/>
  <c r="AB57" i="19"/>
  <c r="Z54" i="19"/>
  <c r="AC57" i="19"/>
  <c r="AA56" i="19"/>
  <c r="AC36" i="19"/>
  <c r="Z56" i="19"/>
  <c r="Z40" i="19"/>
  <c r="Z17" i="19"/>
  <c r="AA40" i="19"/>
  <c r="AA17" i="19"/>
  <c r="AB40" i="19"/>
  <c r="AB17" i="19"/>
  <c r="AC40" i="19"/>
  <c r="AC17" i="19"/>
  <c r="AE25" i="19"/>
  <c r="AA25" i="19"/>
  <c r="AB12" i="19"/>
  <c r="AB13" i="19"/>
  <c r="Z25" i="19"/>
  <c r="AC9" i="19"/>
  <c r="AB10" i="19"/>
  <c r="AA9" i="19"/>
  <c r="AA10" i="19"/>
  <c r="AC10" i="19"/>
  <c r="Z9" i="19"/>
  <c r="AB9" i="19"/>
  <c r="AF27" i="19"/>
  <c r="AG6" i="19"/>
  <c r="AH6" i="19"/>
  <c r="AI6" i="19"/>
  <c r="AJ6" i="19"/>
  <c r="AK6" i="19"/>
  <c r="AL6" i="19"/>
  <c r="AM6" i="19"/>
  <c r="AN6" i="19"/>
  <c r="AO6" i="19"/>
  <c r="AP6" i="19"/>
  <c r="AQ6" i="19"/>
  <c r="AR6" i="19"/>
  <c r="AS6" i="19"/>
  <c r="AT6" i="19"/>
  <c r="AU6" i="19"/>
  <c r="AV6" i="19"/>
  <c r="AW6" i="19"/>
  <c r="AX6" i="19"/>
  <c r="AY6" i="19"/>
  <c r="AZ6" i="19"/>
  <c r="BA6" i="19"/>
  <c r="BB6" i="19"/>
  <c r="AD9" i="19"/>
  <c r="AE9" i="19"/>
  <c r="AD10" i="19"/>
  <c r="AE10" i="19"/>
  <c r="AF26" i="19"/>
  <c r="AD25" i="19"/>
  <c r="AD36" i="19"/>
  <c r="AA22" i="19"/>
  <c r="AC22" i="19"/>
  <c r="Z22" i="19"/>
  <c r="AA19" i="19"/>
  <c r="AC12" i="19"/>
  <c r="Z21" i="19"/>
  <c r="Z23" i="19"/>
  <c r="Z20" i="19"/>
  <c r="Z19" i="19"/>
  <c r="AC21" i="19"/>
  <c r="AC23" i="19"/>
  <c r="AC20" i="19"/>
  <c r="AB20" i="19"/>
  <c r="AB21" i="19"/>
  <c r="AB23" i="19"/>
  <c r="AA21" i="19"/>
  <c r="AA23" i="19"/>
  <c r="AA20" i="19"/>
  <c r="AC13" i="19"/>
  <c r="Z13" i="19"/>
  <c r="Z36" i="19"/>
  <c r="AA12" i="19"/>
  <c r="AA36" i="19"/>
  <c r="AA13" i="19"/>
  <c r="AD12" i="19"/>
  <c r="AE12" i="19"/>
  <c r="AD13" i="19"/>
  <c r="AE13" i="19"/>
  <c r="Z12" i="19"/>
  <c r="AF10" i="19"/>
  <c r="AE31" i="19"/>
  <c r="AF9" i="19"/>
  <c r="AE30" i="19"/>
  <c r="AF25" i="19"/>
  <c r="AG27" i="19"/>
  <c r="AH27" i="19"/>
  <c r="AI27" i="19"/>
  <c r="AJ27" i="19"/>
  <c r="AK27" i="19"/>
  <c r="AL27" i="19"/>
  <c r="AM27" i="19"/>
  <c r="AN27" i="19"/>
  <c r="AO27" i="19"/>
  <c r="AP27" i="19"/>
  <c r="AQ27" i="19"/>
  <c r="AR27" i="19"/>
  <c r="AS27" i="19"/>
  <c r="AT27" i="19"/>
  <c r="AU27" i="19"/>
  <c r="AV27" i="19"/>
  <c r="AW27" i="19"/>
  <c r="AX27" i="19"/>
  <c r="AY27" i="19"/>
  <c r="AZ27" i="19"/>
  <c r="BA27" i="19"/>
  <c r="BB27" i="19"/>
  <c r="AG26" i="19"/>
  <c r="AH26" i="19"/>
  <c r="B60" i="17"/>
  <c r="B59" i="17"/>
  <c r="B66" i="17"/>
  <c r="B56" i="17"/>
  <c r="B35" i="17"/>
  <c r="B36" i="17"/>
  <c r="B24" i="17"/>
  <c r="B19" i="17"/>
  <c r="B20" i="17"/>
  <c r="B16" i="17"/>
  <c r="B22" i="17"/>
  <c r="B12" i="17"/>
  <c r="B9" i="17"/>
  <c r="B10" i="17"/>
  <c r="B8" i="17"/>
  <c r="D77" i="17"/>
  <c r="G57" i="17"/>
  <c r="L56" i="17"/>
  <c r="K56" i="17"/>
  <c r="J56" i="17"/>
  <c r="I56" i="17"/>
  <c r="D56" i="17"/>
  <c r="K52" i="17"/>
  <c r="I52" i="17"/>
  <c r="H52" i="17"/>
  <c r="G52" i="17"/>
  <c r="F52" i="17"/>
  <c r="E52" i="17"/>
  <c r="D52" i="17"/>
  <c r="M44" i="17"/>
  <c r="L44" i="17"/>
  <c r="K44" i="17"/>
  <c r="J44" i="17"/>
  <c r="I44" i="17"/>
  <c r="G44" i="17"/>
  <c r="F44" i="17"/>
  <c r="E44" i="17"/>
  <c r="D44" i="17"/>
  <c r="E85" i="17"/>
  <c r="D85" i="17"/>
  <c r="C85" i="17"/>
  <c r="B85" i="17"/>
  <c r="A85" i="17"/>
  <c r="E84" i="17"/>
  <c r="D84" i="17"/>
  <c r="C84" i="17"/>
  <c r="B84" i="17"/>
  <c r="A84" i="17"/>
  <c r="E83" i="17"/>
  <c r="D83" i="17"/>
  <c r="C83" i="17"/>
  <c r="B83" i="17"/>
  <c r="A83" i="17"/>
  <c r="E82" i="17"/>
  <c r="D82" i="17"/>
  <c r="C82" i="17"/>
  <c r="B82" i="17"/>
  <c r="A82" i="17"/>
  <c r="A81" i="17"/>
  <c r="D79" i="17"/>
  <c r="C79" i="17"/>
  <c r="B79" i="17"/>
  <c r="A79" i="17"/>
  <c r="B78" i="17"/>
  <c r="A78" i="17"/>
  <c r="C77" i="17"/>
  <c r="B77" i="17"/>
  <c r="IH75" i="17"/>
  <c r="M75" i="17"/>
  <c r="L75" i="17"/>
  <c r="K75" i="17"/>
  <c r="J75" i="17"/>
  <c r="I75" i="17"/>
  <c r="H75" i="17"/>
  <c r="G75" i="17"/>
  <c r="F75" i="17"/>
  <c r="E75" i="17"/>
  <c r="D75" i="17"/>
  <c r="C75" i="17"/>
  <c r="A75" i="17"/>
  <c r="M74" i="17"/>
  <c r="L74" i="17"/>
  <c r="K74" i="17"/>
  <c r="J74" i="17"/>
  <c r="I74" i="17"/>
  <c r="H74" i="17"/>
  <c r="G74" i="17"/>
  <c r="F74" i="17"/>
  <c r="E74" i="17"/>
  <c r="D74" i="17"/>
  <c r="C74" i="17"/>
  <c r="M73" i="17"/>
  <c r="L73" i="17"/>
  <c r="K73" i="17"/>
  <c r="J73" i="17"/>
  <c r="I73" i="17"/>
  <c r="H73" i="17"/>
  <c r="G73" i="17"/>
  <c r="F73" i="17"/>
  <c r="E73" i="17"/>
  <c r="D73" i="17"/>
  <c r="C73" i="17"/>
  <c r="M72" i="17"/>
  <c r="L72" i="17"/>
  <c r="K72" i="17"/>
  <c r="J72" i="17"/>
  <c r="I72" i="17"/>
  <c r="H72" i="17"/>
  <c r="G72" i="17"/>
  <c r="F72" i="17"/>
  <c r="E72" i="17"/>
  <c r="D72" i="17"/>
  <c r="M71" i="17"/>
  <c r="L71" i="17"/>
  <c r="K71" i="17"/>
  <c r="J71" i="17"/>
  <c r="I71" i="17"/>
  <c r="H71" i="17"/>
  <c r="G71" i="17"/>
  <c r="F71" i="17"/>
  <c r="E71" i="17"/>
  <c r="D71" i="17"/>
  <c r="M70" i="17"/>
  <c r="L70" i="17"/>
  <c r="K70" i="17"/>
  <c r="J70" i="17"/>
  <c r="I70" i="17"/>
  <c r="H70" i="17"/>
  <c r="G70" i="17"/>
  <c r="F70" i="17"/>
  <c r="E70" i="17"/>
  <c r="D70" i="17"/>
  <c r="C70" i="17"/>
  <c r="E57" i="17"/>
  <c r="M56" i="17"/>
  <c r="H56" i="17"/>
  <c r="G56" i="17"/>
  <c r="F56" i="17"/>
  <c r="E56" i="17"/>
  <c r="M55" i="17"/>
  <c r="M52" i="17"/>
  <c r="L52" i="17"/>
  <c r="J52" i="17"/>
  <c r="F51" i="17"/>
  <c r="J50" i="17"/>
  <c r="K49" i="17"/>
  <c r="M45" i="17"/>
  <c r="K45" i="17"/>
  <c r="J45" i="17"/>
  <c r="I45" i="17"/>
  <c r="H44" i="17"/>
  <c r="C15" i="17"/>
  <c r="C14" i="17"/>
  <c r="C4" i="17"/>
  <c r="A2" i="17"/>
  <c r="AG25" i="19"/>
  <c r="AF13" i="19"/>
  <c r="AE34" i="19"/>
  <c r="AF12" i="19"/>
  <c r="AE33" i="19"/>
  <c r="AG9" i="19"/>
  <c r="AF30" i="19"/>
  <c r="AG10" i="19"/>
  <c r="AF31" i="19"/>
  <c r="AH25" i="19"/>
  <c r="AI26" i="19"/>
  <c r="B44" i="17"/>
  <c r="B61" i="17"/>
  <c r="AE36" i="19"/>
  <c r="AF33" i="19"/>
  <c r="AG12" i="19"/>
  <c r="AG13" i="19"/>
  <c r="AF34" i="19"/>
  <c r="AH10" i="19"/>
  <c r="AG31" i="19"/>
  <c r="AH9" i="19"/>
  <c r="AG30" i="19"/>
  <c r="AJ26" i="19"/>
  <c r="AI25" i="19"/>
  <c r="AF36" i="19"/>
  <c r="AG34" i="19"/>
  <c r="AH13" i="19"/>
  <c r="AG33" i="19"/>
  <c r="AH12" i="19"/>
  <c r="AI9" i="19"/>
  <c r="AH30" i="19"/>
  <c r="AI10" i="19"/>
  <c r="AH31" i="19"/>
  <c r="AK26" i="19"/>
  <c r="AJ25" i="19"/>
  <c r="AG36" i="19"/>
  <c r="AH34" i="19"/>
  <c r="AI13" i="19"/>
  <c r="AI12" i="19"/>
  <c r="AH33" i="19"/>
  <c r="AJ10" i="19"/>
  <c r="AI31" i="19"/>
  <c r="AJ9" i="19"/>
  <c r="AI30" i="19"/>
  <c r="AK25" i="19"/>
  <c r="AL26" i="19"/>
  <c r="AH36" i="19"/>
  <c r="AI34" i="19"/>
  <c r="AJ13" i="19"/>
  <c r="AI33" i="19"/>
  <c r="AJ12" i="19"/>
  <c r="AK9" i="19"/>
  <c r="AJ30" i="19"/>
  <c r="AK10" i="19"/>
  <c r="AJ31" i="19"/>
  <c r="AL25" i="19"/>
  <c r="AM26" i="19"/>
  <c r="AI36" i="19"/>
  <c r="AJ33" i="19"/>
  <c r="AK12" i="19"/>
  <c r="AK13" i="19"/>
  <c r="AJ34" i="19"/>
  <c r="AL10" i="19"/>
  <c r="AK31" i="19"/>
  <c r="AL9" i="19"/>
  <c r="AK30" i="19"/>
  <c r="AN26" i="19"/>
  <c r="AM25" i="19"/>
  <c r="AJ36" i="19"/>
  <c r="AK34" i="19"/>
  <c r="AL13" i="19"/>
  <c r="AK33" i="19"/>
  <c r="AL12" i="19"/>
  <c r="AM9" i="19"/>
  <c r="AL30" i="19"/>
  <c r="AM10" i="19"/>
  <c r="AL31" i="19"/>
  <c r="AO26" i="19"/>
  <c r="AN25" i="19"/>
  <c r="AK36" i="19"/>
  <c r="AL33" i="19"/>
  <c r="AM12" i="19"/>
  <c r="AM13" i="19"/>
  <c r="AL34" i="19"/>
  <c r="AN10" i="19"/>
  <c r="AM31" i="19"/>
  <c r="AN9" i="19"/>
  <c r="AM30" i="19"/>
  <c r="AP26" i="19"/>
  <c r="AO25" i="19"/>
  <c r="AL36" i="19"/>
  <c r="AN13" i="19"/>
  <c r="AM34" i="19"/>
  <c r="AN12" i="19"/>
  <c r="AM33" i="19"/>
  <c r="AO9" i="19"/>
  <c r="AN30" i="19"/>
  <c r="AO10" i="19"/>
  <c r="AN31" i="19"/>
  <c r="AQ26" i="19"/>
  <c r="AP25" i="19"/>
  <c r="D47" i="16"/>
  <c r="F30" i="16"/>
  <c r="E30" i="16"/>
  <c r="D30" i="16"/>
  <c r="F24" i="16"/>
  <c r="E24" i="16"/>
  <c r="D24" i="16"/>
  <c r="I4" i="16"/>
  <c r="J4" i="16"/>
  <c r="K4" i="16"/>
  <c r="L4" i="16"/>
  <c r="M4" i="16"/>
  <c r="N4" i="16"/>
  <c r="O4" i="16"/>
  <c r="P4" i="16"/>
  <c r="Q4" i="16"/>
  <c r="R4" i="16"/>
  <c r="S4" i="16"/>
  <c r="T4" i="16"/>
  <c r="U4" i="16"/>
  <c r="V4" i="16"/>
  <c r="W4" i="16"/>
  <c r="X4" i="16"/>
  <c r="Y4" i="16"/>
  <c r="Z4" i="16"/>
  <c r="AA4" i="16"/>
  <c r="AB4" i="16"/>
  <c r="AC4" i="16"/>
  <c r="AD4" i="16"/>
  <c r="AE4" i="16"/>
  <c r="AF4" i="16"/>
  <c r="N5" i="16"/>
  <c r="O5" i="16"/>
  <c r="P5" i="16"/>
  <c r="Q5" i="16"/>
  <c r="R5" i="16"/>
  <c r="S5" i="16"/>
  <c r="T5" i="16"/>
  <c r="U5" i="16"/>
  <c r="V5" i="16"/>
  <c r="W5" i="16"/>
  <c r="X5" i="16"/>
  <c r="Y5" i="16"/>
  <c r="Z5" i="16"/>
  <c r="AA5" i="16"/>
  <c r="AB5" i="16"/>
  <c r="AC5" i="16"/>
  <c r="AD5" i="16"/>
  <c r="AE5" i="16"/>
  <c r="AM36" i="19"/>
  <c r="AO12" i="19"/>
  <c r="AN33" i="19"/>
  <c r="AO13" i="19"/>
  <c r="AN34" i="19"/>
  <c r="AP10" i="19"/>
  <c r="AO31" i="19"/>
  <c r="AP9" i="19"/>
  <c r="AO30" i="19"/>
  <c r="AR26" i="19"/>
  <c r="AQ25" i="19"/>
  <c r="AE40" i="16"/>
  <c r="AD40" i="16"/>
  <c r="AB40" i="16"/>
  <c r="L40" i="16"/>
  <c r="T39" i="16"/>
  <c r="AA40" i="16"/>
  <c r="K40" i="16"/>
  <c r="S39" i="16"/>
  <c r="Y40" i="16"/>
  <c r="V40" i="16"/>
  <c r="U40" i="16"/>
  <c r="T40" i="16"/>
  <c r="Z40" i="16"/>
  <c r="J40" i="16"/>
  <c r="R39" i="16"/>
  <c r="I40" i="16"/>
  <c r="Q39" i="16"/>
  <c r="AD39" i="16"/>
  <c r="AC39" i="16"/>
  <c r="X40" i="16"/>
  <c r="H40" i="16"/>
  <c r="P39" i="16"/>
  <c r="W40" i="16"/>
  <c r="AE39" i="16"/>
  <c r="O39" i="16"/>
  <c r="N39" i="16"/>
  <c r="M39" i="16"/>
  <c r="AB39" i="16"/>
  <c r="G39" i="16"/>
  <c r="AC40" i="16"/>
  <c r="L39" i="16"/>
  <c r="U39" i="16"/>
  <c r="S40" i="16"/>
  <c r="AA39" i="16"/>
  <c r="K39" i="16"/>
  <c r="R40" i="16"/>
  <c r="Q40" i="16"/>
  <c r="I39" i="16"/>
  <c r="X39" i="16"/>
  <c r="O40" i="16"/>
  <c r="G40" i="16"/>
  <c r="N40" i="16"/>
  <c r="M40" i="16"/>
  <c r="Z39" i="16"/>
  <c r="J39" i="16"/>
  <c r="Y39" i="16"/>
  <c r="P40" i="16"/>
  <c r="H39" i="16"/>
  <c r="W39" i="16"/>
  <c r="V39" i="16"/>
  <c r="J38" i="16"/>
  <c r="AC38" i="16"/>
  <c r="K38" i="16"/>
  <c r="U38" i="16"/>
  <c r="AD38" i="16"/>
  <c r="M38" i="16"/>
  <c r="V38" i="16"/>
  <c r="AE38" i="16"/>
  <c r="N38" i="16"/>
  <c r="W38" i="16"/>
  <c r="AF38" i="16"/>
  <c r="X38" i="16"/>
  <c r="G38" i="16"/>
  <c r="P38" i="16"/>
  <c r="Y38" i="16"/>
  <c r="Q38" i="16"/>
  <c r="Z38" i="16"/>
  <c r="S38" i="16"/>
  <c r="O38" i="16"/>
  <c r="I38" i="16"/>
  <c r="R38" i="16"/>
  <c r="AA38" i="16"/>
  <c r="L38" i="16"/>
  <c r="T38" i="16"/>
  <c r="AB38" i="16"/>
  <c r="AN36" i="19"/>
  <c r="AP13" i="19"/>
  <c r="AO34" i="19"/>
  <c r="AP12" i="19"/>
  <c r="AO33" i="19"/>
  <c r="AQ9" i="19"/>
  <c r="AP30" i="19"/>
  <c r="AQ10" i="19"/>
  <c r="AP31" i="19"/>
  <c r="AS26" i="19"/>
  <c r="AR25" i="19"/>
  <c r="G24" i="16"/>
  <c r="AO36" i="19"/>
  <c r="AQ12" i="19"/>
  <c r="AP33" i="19"/>
  <c r="AQ13" i="19"/>
  <c r="AP34" i="19"/>
  <c r="AR10" i="19"/>
  <c r="AQ31" i="19"/>
  <c r="AR9" i="19"/>
  <c r="AQ30" i="19"/>
  <c r="AT26" i="19"/>
  <c r="AS25" i="19"/>
  <c r="I20" i="16"/>
  <c r="I22" i="16"/>
  <c r="AP36" i="19"/>
  <c r="AR13" i="19"/>
  <c r="AQ34" i="19"/>
  <c r="AR12" i="19"/>
  <c r="AQ33" i="19"/>
  <c r="AQ36" i="19"/>
  <c r="AS9" i="19"/>
  <c r="AR30" i="19"/>
  <c r="AS10" i="19"/>
  <c r="AR31" i="19"/>
  <c r="AU26" i="19"/>
  <c r="AT25" i="19"/>
  <c r="J20" i="16"/>
  <c r="J22" i="16"/>
  <c r="AS12" i="19"/>
  <c r="AR33" i="19"/>
  <c r="AS13" i="19"/>
  <c r="AR34" i="19"/>
  <c r="AT10" i="19"/>
  <c r="AS31" i="19"/>
  <c r="AT9" i="19"/>
  <c r="AS30" i="19"/>
  <c r="AV26" i="19"/>
  <c r="AU25" i="19"/>
  <c r="G30" i="16"/>
  <c r="AR36" i="19"/>
  <c r="AT13" i="19"/>
  <c r="AS34" i="19"/>
  <c r="AT12" i="19"/>
  <c r="AS33" i="19"/>
  <c r="AU9" i="19"/>
  <c r="AT30" i="19"/>
  <c r="AU10" i="19"/>
  <c r="AT31" i="19"/>
  <c r="AW26" i="19"/>
  <c r="AV25" i="19"/>
  <c r="AS36" i="19"/>
  <c r="AU12" i="19"/>
  <c r="AT33" i="19"/>
  <c r="AU13" i="19"/>
  <c r="AT34" i="19"/>
  <c r="AV10" i="19"/>
  <c r="AU31" i="19"/>
  <c r="AV9" i="19"/>
  <c r="AU30" i="19"/>
  <c r="AX26" i="19"/>
  <c r="AW25" i="19"/>
  <c r="AT36" i="19"/>
  <c r="AV13" i="19"/>
  <c r="AU34" i="19"/>
  <c r="AV12" i="19"/>
  <c r="AU33" i="19"/>
  <c r="AW9" i="19"/>
  <c r="AV30" i="19"/>
  <c r="AW10" i="19"/>
  <c r="AV31" i="19"/>
  <c r="AY26" i="19"/>
  <c r="AX25" i="19"/>
  <c r="AU36" i="19"/>
  <c r="AW12" i="19"/>
  <c r="AV33" i="19"/>
  <c r="AW13" i="19"/>
  <c r="AV34" i="19"/>
  <c r="AX10" i="19"/>
  <c r="AW31" i="19"/>
  <c r="AX9" i="19"/>
  <c r="AW30" i="19"/>
  <c r="AZ26" i="19"/>
  <c r="AY25" i="19"/>
  <c r="AV36" i="19"/>
  <c r="AX13" i="19"/>
  <c r="AW34" i="19"/>
  <c r="AX12" i="19"/>
  <c r="AW33" i="19"/>
  <c r="AY9" i="19"/>
  <c r="AX30" i="19"/>
  <c r="AY10" i="19"/>
  <c r="AX31" i="19"/>
  <c r="BA26" i="19"/>
  <c r="AZ25" i="19"/>
  <c r="AW36" i="19"/>
  <c r="AY12" i="19"/>
  <c r="AX33" i="19"/>
  <c r="AY13" i="19"/>
  <c r="AX34" i="19"/>
  <c r="AZ10" i="19"/>
  <c r="AY31" i="19"/>
  <c r="AZ9" i="19"/>
  <c r="AY30" i="19"/>
  <c r="BB26" i="19"/>
  <c r="BB25" i="19"/>
  <c r="BA25" i="19"/>
  <c r="AX36" i="19"/>
  <c r="AZ13" i="19"/>
  <c r="AY34" i="19"/>
  <c r="AZ12" i="19"/>
  <c r="AY33" i="19"/>
  <c r="AY36" i="19"/>
  <c r="BA9" i="19"/>
  <c r="AZ30" i="19"/>
  <c r="BA10" i="19"/>
  <c r="AZ31" i="19"/>
  <c r="BA12" i="19"/>
  <c r="AZ33" i="19"/>
  <c r="BA13" i="19"/>
  <c r="AZ34" i="19"/>
  <c r="BB10" i="19"/>
  <c r="BB31" i="19"/>
  <c r="BA31" i="19"/>
  <c r="BB9" i="19"/>
  <c r="BB30" i="19"/>
  <c r="BA30" i="19"/>
  <c r="AZ36" i="19"/>
  <c r="BB13" i="19"/>
  <c r="BB34" i="19"/>
  <c r="BA34" i="19"/>
  <c r="BB12" i="19"/>
  <c r="BB33" i="19"/>
  <c r="BB36" i="19"/>
  <c r="BA33" i="19"/>
  <c r="BA36" i="19"/>
  <c r="B59" i="4"/>
  <c r="E61" i="4"/>
  <c r="D61" i="4"/>
  <c r="B43" i="4"/>
  <c r="C43" i="4"/>
  <c r="D42" i="4"/>
  <c r="E38" i="4"/>
  <c r="D38" i="4"/>
  <c r="C50" i="4"/>
  <c r="B50" i="4"/>
  <c r="C47" i="4"/>
  <c r="C40" i="4"/>
  <c r="B40" i="4"/>
  <c r="C38" i="4"/>
  <c r="B38" i="4"/>
  <c r="C37" i="4"/>
  <c r="B37" i="4"/>
  <c r="C36" i="4"/>
  <c r="D43" i="4"/>
  <c r="E43" i="4"/>
  <c r="F43" i="4"/>
  <c r="G43" i="4"/>
  <c r="H43" i="4"/>
  <c r="I43" i="4"/>
  <c r="J43" i="4"/>
  <c r="K43" i="4"/>
  <c r="L43" i="4"/>
  <c r="M43" i="4"/>
  <c r="N43" i="4"/>
  <c r="O43" i="4"/>
  <c r="P43" i="4"/>
  <c r="Q43" i="4"/>
  <c r="R43" i="4"/>
  <c r="S43" i="4"/>
  <c r="T43" i="4"/>
  <c r="U43" i="4"/>
  <c r="V43" i="4"/>
  <c r="W43" i="4"/>
  <c r="X43" i="4"/>
  <c r="Y43" i="4"/>
  <c r="Z43" i="4"/>
  <c r="AA43" i="4"/>
  <c r="AB43" i="4"/>
  <c r="AC43" i="4"/>
  <c r="B47" i="4"/>
  <c r="D14" i="3"/>
  <c r="C14" i="3"/>
  <c r="D48" i="4"/>
  <c r="E42" i="4"/>
  <c r="E48" i="4"/>
  <c r="F42" i="4"/>
  <c r="F48" i="4"/>
  <c r="G42" i="4"/>
  <c r="G48" i="4"/>
  <c r="H42" i="4"/>
  <c r="H48" i="4"/>
  <c r="I42" i="4"/>
  <c r="B44" i="4"/>
  <c r="C44" i="4"/>
  <c r="I48" i="4"/>
  <c r="J42" i="4"/>
  <c r="E47" i="4"/>
  <c r="J48" i="4"/>
  <c r="K42" i="4"/>
  <c r="K48" i="4"/>
  <c r="L42" i="4"/>
  <c r="F47" i="4"/>
  <c r="L48" i="4"/>
  <c r="M42" i="4"/>
  <c r="G47" i="4"/>
  <c r="M48" i="4"/>
  <c r="N42" i="4"/>
  <c r="N48" i="4"/>
  <c r="O42" i="4"/>
  <c r="O48" i="4"/>
  <c r="P42" i="4"/>
  <c r="B41" i="4"/>
  <c r="P48" i="4"/>
  <c r="Q42" i="4"/>
  <c r="E40" i="4"/>
  <c r="F40" i="4"/>
  <c r="G40" i="4"/>
  <c r="H40" i="4"/>
  <c r="I40" i="4"/>
  <c r="J40" i="4"/>
  <c r="K40" i="4"/>
  <c r="L40" i="4"/>
  <c r="M40" i="4"/>
  <c r="N40" i="4"/>
  <c r="O40" i="4"/>
  <c r="P40" i="4"/>
  <c r="Q40" i="4"/>
  <c r="R40" i="4"/>
  <c r="S40" i="4"/>
  <c r="T40" i="4"/>
  <c r="U40" i="4"/>
  <c r="V40" i="4"/>
  <c r="W40" i="4"/>
  <c r="X40" i="4"/>
  <c r="Y40" i="4"/>
  <c r="Z40" i="4"/>
  <c r="AA40" i="4"/>
  <c r="AB40" i="4"/>
  <c r="AC40" i="4"/>
  <c r="C41" i="4"/>
  <c r="Q48" i="4"/>
  <c r="R42" i="4"/>
  <c r="R48" i="4"/>
  <c r="S42" i="4"/>
  <c r="S48" i="4"/>
  <c r="T42" i="4"/>
  <c r="T48" i="4"/>
  <c r="U42" i="4"/>
  <c r="C49" i="4"/>
  <c r="U48" i="4"/>
  <c r="V42" i="4"/>
  <c r="V48" i="4"/>
  <c r="W42" i="4"/>
  <c r="W48" i="4"/>
  <c r="X42" i="4"/>
  <c r="B49" i="4"/>
  <c r="X48" i="4"/>
  <c r="Y42" i="4"/>
  <c r="H47" i="4"/>
  <c r="E14" i="3"/>
  <c r="E35" i="4"/>
  <c r="F35" i="4"/>
  <c r="G35" i="4"/>
  <c r="H35" i="4"/>
  <c r="I35" i="4"/>
  <c r="J35" i="4"/>
  <c r="K35" i="4"/>
  <c r="L35" i="4"/>
  <c r="M35" i="4"/>
  <c r="N35" i="4"/>
  <c r="O35" i="4"/>
  <c r="P35" i="4"/>
  <c r="Q35" i="4"/>
  <c r="R35" i="4"/>
  <c r="S35" i="4"/>
  <c r="T35" i="4"/>
  <c r="U35" i="4"/>
  <c r="V35" i="4"/>
  <c r="W35" i="4"/>
  <c r="X35" i="4"/>
  <c r="Y35" i="4"/>
  <c r="Z35" i="4"/>
  <c r="AA35" i="4"/>
  <c r="AB35" i="4"/>
  <c r="AC35" i="4"/>
  <c r="B46" i="4"/>
  <c r="C46" i="4"/>
  <c r="C53" i="4"/>
  <c r="D37" i="4"/>
  <c r="D16" i="3"/>
  <c r="F27" i="3"/>
  <c r="D27" i="3"/>
  <c r="E27" i="3"/>
  <c r="G27" i="3"/>
  <c r="B36" i="4"/>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c r="I47" i="4"/>
  <c r="J47" i="4"/>
  <c r="K47" i="4"/>
  <c r="L47" i="4"/>
  <c r="M47" i="4"/>
  <c r="N47" i="4"/>
  <c r="O47" i="4"/>
  <c r="P47" i="4"/>
  <c r="Q47" i="4"/>
  <c r="R47" i="4"/>
  <c r="S47" i="4"/>
  <c r="T47" i="4"/>
  <c r="U47" i="4"/>
  <c r="V47" i="4"/>
  <c r="W47" i="4"/>
  <c r="X47" i="4"/>
  <c r="Y47" i="4"/>
  <c r="Z47" i="4"/>
  <c r="AA47" i="4"/>
  <c r="AB47" i="4"/>
  <c r="AC47" i="4"/>
  <c r="D39" i="4"/>
  <c r="D44" i="4"/>
  <c r="E37" i="4"/>
  <c r="H27" i="3"/>
  <c r="F14" i="3"/>
  <c r="G14" i="3"/>
  <c r="Z48" i="4"/>
  <c r="AA42" i="4"/>
  <c r="H64" i="4"/>
  <c r="H65" i="4"/>
  <c r="D45" i="4"/>
  <c r="D41" i="4"/>
  <c r="F37" i="4"/>
  <c r="E39" i="4"/>
  <c r="E44" i="4"/>
  <c r="AA48" i="4"/>
  <c r="AB42" i="4"/>
  <c r="D50" i="4"/>
  <c r="D49" i="4"/>
  <c r="D46" i="4"/>
  <c r="D53" i="4"/>
  <c r="G37" i="4"/>
  <c r="F39" i="4"/>
  <c r="F44" i="4"/>
  <c r="E41" i="4"/>
  <c r="AB48" i="4"/>
  <c r="AC42" i="4"/>
  <c r="E49" i="4"/>
  <c r="E45" i="4"/>
  <c r="E46" i="4"/>
  <c r="E53" i="4"/>
  <c r="G39" i="4"/>
  <c r="G44" i="4"/>
  <c r="H37" i="4"/>
  <c r="F41" i="4"/>
  <c r="H63" i="4"/>
  <c r="AC48" i="4"/>
  <c r="E50" i="4"/>
  <c r="F45" i="4"/>
  <c r="F46" i="4"/>
  <c r="F53" i="4"/>
  <c r="G41" i="4"/>
  <c r="I37" i="4"/>
  <c r="H39" i="4"/>
  <c r="H44" i="4"/>
  <c r="E68" i="4"/>
  <c r="F50" i="4"/>
  <c r="F68" i="4"/>
  <c r="G45" i="4"/>
  <c r="G46" i="4"/>
  <c r="H45" i="4"/>
  <c r="I39" i="4"/>
  <c r="I44" i="4"/>
  <c r="H41" i="4"/>
  <c r="J37" i="4"/>
  <c r="H50" i="4"/>
  <c r="H68" i="4"/>
  <c r="G50" i="4"/>
  <c r="G68" i="4"/>
  <c r="H46" i="4"/>
  <c r="I45" i="4"/>
  <c r="I41" i="4"/>
  <c r="K37" i="4"/>
  <c r="J39" i="4"/>
  <c r="J44" i="4"/>
  <c r="I50" i="4"/>
  <c r="I68" i="4"/>
  <c r="I46" i="4"/>
  <c r="J41" i="4"/>
  <c r="K39" i="4"/>
  <c r="K44" i="4"/>
  <c r="L37" i="4"/>
  <c r="J45" i="4"/>
  <c r="J46" i="4"/>
  <c r="K41" i="4"/>
  <c r="M37" i="4"/>
  <c r="L39" i="4"/>
  <c r="L44" i="4"/>
  <c r="J50" i="4"/>
  <c r="K45" i="4"/>
  <c r="K46" i="4"/>
  <c r="N37" i="4"/>
  <c r="L41" i="4"/>
  <c r="M39" i="4"/>
  <c r="M44" i="4"/>
  <c r="J68" i="4"/>
  <c r="K50" i="4"/>
  <c r="K68" i="4"/>
  <c r="L45" i="4"/>
  <c r="L46" i="4"/>
  <c r="O37" i="4"/>
  <c r="N39" i="4"/>
  <c r="N44" i="4"/>
  <c r="M41" i="4"/>
  <c r="L50" i="4"/>
  <c r="L68" i="4"/>
  <c r="M45" i="4"/>
  <c r="M46" i="4"/>
  <c r="O39" i="4"/>
  <c r="O44" i="4"/>
  <c r="P37" i="4"/>
  <c r="N41" i="4"/>
  <c r="M50" i="4"/>
  <c r="M68" i="4"/>
  <c r="N45" i="4"/>
  <c r="N46" i="4"/>
  <c r="O41" i="4"/>
  <c r="Q37" i="4"/>
  <c r="P39" i="4"/>
  <c r="P44" i="4"/>
  <c r="N50" i="4"/>
  <c r="N68" i="4"/>
  <c r="O45" i="4"/>
  <c r="O46" i="4"/>
  <c r="P41" i="4"/>
  <c r="Q39" i="4"/>
  <c r="Q44" i="4"/>
  <c r="R37" i="4"/>
  <c r="O50" i="4"/>
  <c r="O68" i="4"/>
  <c r="P45" i="4"/>
  <c r="P46" i="4"/>
  <c r="Q41" i="4"/>
  <c r="Q45" i="4"/>
  <c r="S37" i="4"/>
  <c r="R39" i="4"/>
  <c r="R44" i="4"/>
  <c r="Q50" i="4"/>
  <c r="Q68" i="4"/>
  <c r="P50" i="4"/>
  <c r="P68" i="4"/>
  <c r="R41" i="4"/>
  <c r="Q46" i="4"/>
  <c r="S39" i="4"/>
  <c r="S44" i="4"/>
  <c r="T37" i="4"/>
  <c r="R45" i="4"/>
  <c r="R46" i="4"/>
  <c r="S41" i="4"/>
  <c r="S45" i="4"/>
  <c r="U37" i="4"/>
  <c r="T39" i="4"/>
  <c r="T44" i="4"/>
  <c r="S50" i="4"/>
  <c r="S68" i="4"/>
  <c r="R50" i="4"/>
  <c r="R68" i="4"/>
  <c r="T45" i="4"/>
  <c r="T41" i="4"/>
  <c r="V37" i="4"/>
  <c r="U39" i="4"/>
  <c r="U44" i="4"/>
  <c r="S46" i="4"/>
  <c r="T50" i="4"/>
  <c r="T68" i="4"/>
  <c r="T46" i="4"/>
  <c r="U41" i="4"/>
  <c r="U45" i="4"/>
  <c r="W37" i="4"/>
  <c r="V39" i="4"/>
  <c r="V44" i="4"/>
  <c r="U50" i="4"/>
  <c r="U68" i="4"/>
  <c r="X37" i="4"/>
  <c r="W39" i="4"/>
  <c r="W44" i="4"/>
  <c r="U46" i="4"/>
  <c r="V41" i="4"/>
  <c r="V45" i="4"/>
  <c r="V46" i="4"/>
  <c r="W45" i="4"/>
  <c r="W41" i="4"/>
  <c r="X39" i="4"/>
  <c r="X44" i="4"/>
  <c r="Y37" i="4"/>
  <c r="W50" i="4"/>
  <c r="W68" i="4"/>
  <c r="V50" i="4"/>
  <c r="V68" i="4"/>
  <c r="W46" i="4"/>
  <c r="X41" i="4"/>
  <c r="X45" i="4"/>
  <c r="Y39" i="4"/>
  <c r="Y44" i="4"/>
  <c r="Z37" i="4"/>
  <c r="X50" i="4"/>
  <c r="X68" i="4"/>
  <c r="Y41" i="4"/>
  <c r="AA37" i="4"/>
  <c r="X46" i="4"/>
  <c r="Z39" i="4"/>
  <c r="Z44" i="4"/>
  <c r="Y45" i="4"/>
  <c r="Y46" i="4"/>
  <c r="Z41" i="4"/>
  <c r="Z45" i="4"/>
  <c r="AA39" i="4"/>
  <c r="AA44" i="4"/>
  <c r="AB37" i="4"/>
  <c r="Z50" i="4"/>
  <c r="Z68" i="4"/>
  <c r="Y50" i="4"/>
  <c r="Y68" i="4"/>
  <c r="AA41" i="4"/>
  <c r="AB39" i="4"/>
  <c r="AB44" i="4"/>
  <c r="AC37" i="4"/>
  <c r="Z46" i="4"/>
  <c r="AA45" i="4"/>
  <c r="AA46" i="4"/>
  <c r="AB45" i="4"/>
  <c r="AB41" i="4"/>
  <c r="AC39" i="4"/>
  <c r="AC44" i="4"/>
  <c r="AB50" i="4"/>
  <c r="AA50" i="4"/>
  <c r="AA68" i="4"/>
  <c r="AB46" i="4"/>
  <c r="AC45" i="4"/>
  <c r="AC41" i="4"/>
  <c r="AB68" i="4"/>
  <c r="D68" i="4"/>
  <c r="E62" i="4"/>
  <c r="D62" i="4"/>
  <c r="AC50" i="4"/>
  <c r="AC46" i="4"/>
  <c r="AC68" i="4"/>
  <c r="D63" i="4"/>
  <c r="E63" i="4"/>
  <c r="D64" i="4"/>
  <c r="E64" i="4"/>
  <c r="AC52" i="4"/>
  <c r="C63" i="4"/>
  <c r="D51" i="4"/>
  <c r="E51" i="4"/>
  <c r="F51" i="4"/>
  <c r="G51" i="4"/>
  <c r="H51" i="4"/>
  <c r="I51" i="4"/>
  <c r="J51" i="4"/>
  <c r="K51" i="4"/>
  <c r="L51" i="4"/>
  <c r="M51" i="4"/>
  <c r="N51" i="4"/>
  <c r="O51" i="4"/>
  <c r="P51" i="4"/>
  <c r="Q51" i="4"/>
  <c r="R51" i="4"/>
  <c r="S51" i="4"/>
  <c r="T51" i="4"/>
  <c r="U51" i="4"/>
  <c r="V51" i="4"/>
  <c r="W51" i="4"/>
  <c r="X51" i="4"/>
  <c r="Y51" i="4"/>
  <c r="Z51" i="4"/>
  <c r="AA51" i="4"/>
  <c r="AB51" i="4"/>
  <c r="AC51" i="4"/>
  <c r="AB52" i="4"/>
  <c r="C62" i="4"/>
  <c r="B61" i="4"/>
  <c r="B62" i="4"/>
  <c r="B63" i="4"/>
  <c r="B67" i="4"/>
  <c r="F56" i="4"/>
  <c r="D55" i="4"/>
  <c r="F55" i="4"/>
  <c r="B64" i="4"/>
  <c r="D56" i="4"/>
  <c r="E56" i="4"/>
  <c r="E55" i="4"/>
  <c r="B65" i="4"/>
  <c r="D65" i="4"/>
  <c r="E65" i="4"/>
  <c r="B69" i="4"/>
  <c r="B68" i="4"/>
  <c r="E89" i="16"/>
  <c r="E84" i="16"/>
  <c r="N7" i="16"/>
  <c r="O7" i="16"/>
  <c r="P7" i="16"/>
  <c r="Q7" i="16"/>
  <c r="R7" i="16"/>
  <c r="S7" i="16"/>
  <c r="T7" i="16"/>
  <c r="U7" i="16"/>
  <c r="V7" i="16"/>
  <c r="W7" i="16"/>
  <c r="X7" i="16"/>
  <c r="Y7" i="16"/>
  <c r="Z7" i="16"/>
  <c r="AA7" i="16"/>
  <c r="AB7" i="16"/>
  <c r="AC7" i="16"/>
  <c r="AD7" i="16"/>
  <c r="AE7" i="16"/>
  <c r="AF7" i="16"/>
  <c r="D21" i="17"/>
  <c r="F15" i="16" s="1"/>
  <c r="K6" i="16"/>
  <c r="E90" i="16"/>
  <c r="F84" i="16"/>
  <c r="F89" i="16"/>
  <c r="F90" i="16"/>
  <c r="G84" i="16"/>
  <c r="G88" i="16"/>
  <c r="G89" i="16"/>
  <c r="G90" i="16"/>
  <c r="H84" i="16"/>
  <c r="J24" i="20"/>
  <c r="H38" i="16"/>
  <c r="E13" i="16"/>
  <c r="D4" i="17"/>
  <c r="E5" i="18"/>
  <c r="E4" i="17"/>
  <c r="D29" i="17"/>
  <c r="H10" i="20"/>
  <c r="H14" i="3"/>
  <c r="B26" i="17"/>
  <c r="B30" i="17" s="1"/>
  <c r="K20" i="16"/>
  <c r="K22" i="16"/>
  <c r="K8" i="16"/>
  <c r="F5" i="18"/>
  <c r="F4" i="17"/>
  <c r="M6" i="16"/>
  <c r="M20" i="16" s="1"/>
  <c r="M8" i="16"/>
  <c r="L20" i="16"/>
  <c r="L22" i="16"/>
  <c r="L8" i="16"/>
  <c r="E51" i="16"/>
  <c r="K10" i="16"/>
  <c r="G4" i="17"/>
  <c r="G5" i="18"/>
  <c r="M22" i="16"/>
  <c r="L10" i="16"/>
  <c r="L19" i="16" s="1"/>
  <c r="M10" i="16"/>
  <c r="M19" i="16" s="1"/>
  <c r="H8" i="16"/>
  <c r="H4" i="17"/>
  <c r="H5" i="18"/>
  <c r="I5" i="18"/>
  <c r="I4" i="17"/>
  <c r="E52" i="16"/>
  <c r="J4" i="17"/>
  <c r="J5" i="18"/>
  <c r="N37" i="16"/>
  <c r="K4" i="17"/>
  <c r="K5" i="18"/>
  <c r="O37" i="16"/>
  <c r="P37" i="16"/>
  <c r="P26" i="16" s="1"/>
  <c r="N26" i="16"/>
  <c r="L5" i="18"/>
  <c r="L4" i="17"/>
  <c r="O26" i="16"/>
  <c r="M4" i="17"/>
  <c r="M5" i="18"/>
  <c r="N5" i="18"/>
  <c r="Q37" i="16"/>
  <c r="Q26" i="16" s="1"/>
  <c r="R37" i="16"/>
  <c r="S37" i="16"/>
  <c r="R26" i="16"/>
  <c r="S26" i="16"/>
  <c r="T37" i="16"/>
  <c r="U37" i="16" s="1"/>
  <c r="I8" i="16"/>
  <c r="B22" i="10" a="1"/>
  <c r="C22" i="10" a="1"/>
  <c r="E22" i="10" a="1"/>
  <c r="D22" i="10" a="1"/>
  <c r="H35" i="20" l="1"/>
  <c r="D17" i="17"/>
  <c r="F9" i="16" s="1"/>
  <c r="K23" i="17"/>
  <c r="K25" i="17" s="1"/>
  <c r="C27" i="17"/>
  <c r="B28" i="17" s="1"/>
  <c r="B37" i="17" s="1"/>
  <c r="L44" i="18"/>
  <c r="I84" i="16"/>
  <c r="L17" i="17"/>
  <c r="G16" i="17"/>
  <c r="G22" i="17" s="1"/>
  <c r="H39" i="20"/>
  <c r="G35" i="20"/>
  <c r="U26" i="16"/>
  <c r="V37" i="16"/>
  <c r="D36" i="16"/>
  <c r="F15" i="17"/>
  <c r="C18" i="17"/>
  <c r="D14" i="17"/>
  <c r="F34" i="20"/>
  <c r="Q34" i="20" s="1"/>
  <c r="G26" i="20"/>
  <c r="T26" i="16"/>
  <c r="G33" i="20"/>
  <c r="F14" i="17"/>
  <c r="M44" i="18"/>
  <c r="F23" i="17"/>
  <c r="F45" i="17"/>
  <c r="D23" i="17"/>
  <c r="L27" i="20"/>
  <c r="D12" i="17"/>
  <c r="F7" i="16" s="1"/>
  <c r="C31" i="20"/>
  <c r="D31" i="20" s="1"/>
  <c r="I13" i="17"/>
  <c r="G35" i="17"/>
  <c r="E26" i="17"/>
  <c r="H26" i="17"/>
  <c r="H30" i="17" s="1"/>
  <c r="L35" i="20"/>
  <c r="L36" i="20" s="1"/>
  <c r="K35" i="20"/>
  <c r="K36" i="20" s="1"/>
  <c r="G58" i="18"/>
  <c r="D22" i="10"/>
  <c r="E22" i="10"/>
  <c r="E26" i="20"/>
  <c r="N35" i="17"/>
  <c r="F33" i="20"/>
  <c r="Q33" i="20" s="1"/>
  <c r="N27" i="20"/>
  <c r="C37" i="20"/>
  <c r="I37" i="20"/>
  <c r="F66" i="17"/>
  <c r="L23" i="17"/>
  <c r="H28" i="20"/>
  <c r="R29" i="20" s="1"/>
  <c r="I32" i="20"/>
  <c r="M24" i="17"/>
  <c r="H28" i="17"/>
  <c r="H37" i="17" s="1"/>
  <c r="C26" i="17"/>
  <c r="L5" i="17"/>
  <c r="L6" i="17" s="1"/>
  <c r="I23" i="17"/>
  <c r="B49" i="18"/>
  <c r="C72" i="17" s="1"/>
  <c r="E32" i="20"/>
  <c r="R35" i="20"/>
  <c r="C28" i="20"/>
  <c r="F28" i="20"/>
  <c r="Q29" i="20" s="1"/>
  <c r="E35" i="20"/>
  <c r="F37" i="20"/>
  <c r="H57" i="17"/>
  <c r="D15" i="17"/>
  <c r="D16" i="17" s="1"/>
  <c r="D22" i="17" s="1"/>
  <c r="E37" i="20"/>
  <c r="E31" i="20"/>
  <c r="P32" i="20" s="1"/>
  <c r="I33" i="17"/>
  <c r="I35" i="17" s="1"/>
  <c r="D33" i="17"/>
  <c r="D35" i="17" s="1"/>
  <c r="D36" i="17" s="1"/>
  <c r="E20" i="16"/>
  <c r="E72" i="16" s="1"/>
  <c r="B38" i="18"/>
  <c r="C56" i="17" s="1"/>
  <c r="G17" i="17"/>
  <c r="G19" i="17" s="1"/>
  <c r="J23" i="17"/>
  <c r="J24" i="17" s="1"/>
  <c r="G44" i="18"/>
  <c r="G27" i="20"/>
  <c r="M37" i="17"/>
  <c r="L40" i="20"/>
  <c r="G26" i="17"/>
  <c r="N6" i="16"/>
  <c r="N29" i="20"/>
  <c r="C39" i="20"/>
  <c r="J8" i="17"/>
  <c r="D27" i="20"/>
  <c r="E27" i="20"/>
  <c r="G66" i="17"/>
  <c r="D26" i="20"/>
  <c r="I66" i="17"/>
  <c r="M8" i="17"/>
  <c r="G36" i="20"/>
  <c r="B22" i="10"/>
  <c r="C22" i="10"/>
  <c r="N28" i="20"/>
  <c r="D28" i="20"/>
  <c r="E28" i="20"/>
  <c r="I5" i="17"/>
  <c r="I12" i="17" s="1"/>
  <c r="C32" i="20"/>
  <c r="N32" i="20" s="1"/>
  <c r="C30" i="20"/>
  <c r="N30" i="20" s="1"/>
  <c r="K5" i="17"/>
  <c r="K8" i="17" s="1"/>
  <c r="E23" i="17"/>
  <c r="E25" i="17" s="1"/>
  <c r="F36" i="20"/>
  <c r="F41" i="20" s="1"/>
  <c r="I60" i="17"/>
  <c r="I59" i="17" s="1"/>
  <c r="K11" i="17"/>
  <c r="I33" i="20"/>
  <c r="H33" i="17"/>
  <c r="H35" i="17" s="1"/>
  <c r="E34" i="20"/>
  <c r="G27" i="17"/>
  <c r="G30" i="17" s="1"/>
  <c r="M26" i="17"/>
  <c r="M30" i="17" s="1"/>
  <c r="L26" i="17"/>
  <c r="L30" i="17" s="1"/>
  <c r="G29" i="20"/>
  <c r="K44" i="18"/>
  <c r="L57" i="17"/>
  <c r="L66" i="17" s="1"/>
  <c r="H36" i="20"/>
  <c r="H42" i="20" s="1"/>
  <c r="E17" i="17"/>
  <c r="E9" i="16" s="1"/>
  <c r="L25" i="17"/>
  <c r="L24" i="17"/>
  <c r="C41" i="17"/>
  <c r="B26" i="18"/>
  <c r="C44" i="17" s="1"/>
  <c r="E12" i="20" s="1"/>
  <c r="L28" i="17"/>
  <c r="L37" i="17" s="1"/>
  <c r="D38" i="20"/>
  <c r="C23" i="17"/>
  <c r="B25" i="17" s="1"/>
  <c r="P33" i="20"/>
  <c r="F38" i="20"/>
  <c r="F39" i="20" s="1"/>
  <c r="I38" i="20"/>
  <c r="I30" i="20"/>
  <c r="K34" i="17"/>
  <c r="Q30" i="20"/>
  <c r="G34" i="20"/>
  <c r="F44" i="18"/>
  <c r="J57" i="17"/>
  <c r="J66" i="17" s="1"/>
  <c r="G31" i="20"/>
  <c r="E45" i="17"/>
  <c r="E66" i="17" s="1"/>
  <c r="M66" i="17"/>
  <c r="C60" i="17"/>
  <c r="E13" i="20" s="1"/>
  <c r="H5" i="17"/>
  <c r="H12" i="17" s="1"/>
  <c r="C17" i="17"/>
  <c r="K42" i="20" s="1"/>
  <c r="I34" i="20"/>
  <c r="D44" i="18"/>
  <c r="C44" i="18"/>
  <c r="I28" i="17"/>
  <c r="I37" i="17" s="1"/>
  <c r="E29" i="20"/>
  <c r="K57" i="17"/>
  <c r="H66" i="17"/>
  <c r="H8" i="17"/>
  <c r="D19" i="17"/>
  <c r="D20" i="17" s="1"/>
  <c r="E13" i="17"/>
  <c r="M19" i="17"/>
  <c r="M20" i="17" s="1"/>
  <c r="O35" i="17"/>
  <c r="J35" i="17"/>
  <c r="J36" i="17" s="1"/>
  <c r="I90" i="16"/>
  <c r="D24" i="17"/>
  <c r="C36" i="20"/>
  <c r="E5" i="17"/>
  <c r="D13" i="17"/>
  <c r="F25" i="17"/>
  <c r="I26" i="20"/>
  <c r="B13" i="17"/>
  <c r="J9" i="20"/>
  <c r="D32" i="20"/>
  <c r="O32" i="20" s="1"/>
  <c r="I31" i="20"/>
  <c r="S32" i="20" s="1"/>
  <c r="E38" i="20"/>
  <c r="E40" i="20" s="1"/>
  <c r="C29" i="17"/>
  <c r="C30" i="17" s="1"/>
  <c r="C61" i="17"/>
  <c r="D26" i="17"/>
  <c r="F13" i="17"/>
  <c r="M12" i="17"/>
  <c r="C16" i="17"/>
  <c r="C22" i="17" s="1"/>
  <c r="O27" i="20"/>
  <c r="Q28" i="20"/>
  <c r="I35" i="20"/>
  <c r="E33" i="20"/>
  <c r="F6" i="16"/>
  <c r="F8" i="16" s="1"/>
  <c r="D9" i="17"/>
  <c r="D10" i="17" s="1"/>
  <c r="G5" i="17"/>
  <c r="G36" i="17" s="1"/>
  <c r="C34" i="20"/>
  <c r="D34" i="20" s="1"/>
  <c r="J9" i="17"/>
  <c r="J10" i="17" s="1"/>
  <c r="J12" i="17"/>
  <c r="E27" i="17"/>
  <c r="E28" i="17" s="1"/>
  <c r="E36" i="20"/>
  <c r="E42" i="20" s="1"/>
  <c r="E30" i="20"/>
  <c r="K27" i="17"/>
  <c r="I24" i="17"/>
  <c r="H25" i="17"/>
  <c r="D18" i="17"/>
  <c r="F20" i="16"/>
  <c r="F72" i="16" s="1"/>
  <c r="L33" i="17"/>
  <c r="L35" i="17" s="1"/>
  <c r="L36" i="17" s="1"/>
  <c r="I29" i="20"/>
  <c r="H60" i="17"/>
  <c r="L42" i="20"/>
  <c r="D51" i="17"/>
  <c r="N33" i="20"/>
  <c r="D33" i="20"/>
  <c r="K16" i="17"/>
  <c r="K22" i="17" s="1"/>
  <c r="E33" i="17"/>
  <c r="E35" i="17" s="1"/>
  <c r="I36" i="20"/>
  <c r="I42" i="20" s="1"/>
  <c r="D37" i="20"/>
  <c r="F19" i="17"/>
  <c r="M16" i="17"/>
  <c r="M22" i="17" s="1"/>
  <c r="C13" i="17"/>
  <c r="J25" i="17"/>
  <c r="B34" i="18"/>
  <c r="C52" i="17" s="1"/>
  <c r="G13" i="17"/>
  <c r="M33" i="17"/>
  <c r="M35" i="17" s="1"/>
  <c r="M36" i="17" s="1"/>
  <c r="I28" i="20"/>
  <c r="F35" i="17"/>
  <c r="G75" i="16" s="1"/>
  <c r="D60" i="17"/>
  <c r="E60" i="17"/>
  <c r="K60" i="17"/>
  <c r="K59" i="17" s="1"/>
  <c r="J60" i="17"/>
  <c r="G32" i="20"/>
  <c r="H44" i="18"/>
  <c r="G38" i="20"/>
  <c r="G39" i="20" s="1"/>
  <c r="B44" i="18"/>
  <c r="H17" i="17"/>
  <c r="H19" i="17" s="1"/>
  <c r="H20" i="17" s="1"/>
  <c r="H33" i="20"/>
  <c r="H30" i="20"/>
  <c r="R30" i="20" s="1"/>
  <c r="K17" i="17"/>
  <c r="K19" i="17" s="1"/>
  <c r="K20" i="17" s="1"/>
  <c r="I16" i="17"/>
  <c r="I22" i="17" s="1"/>
  <c r="G37" i="20"/>
  <c r="G42" i="20" s="1"/>
  <c r="D57" i="17"/>
  <c r="D66" i="17" s="1"/>
  <c r="H32" i="20"/>
  <c r="I17" i="17"/>
  <c r="I19" i="17" s="1"/>
  <c r="I20" i="17" s="1"/>
  <c r="J28" i="17"/>
  <c r="J37" i="17" s="1"/>
  <c r="E44" i="18"/>
  <c r="I9" i="17"/>
  <c r="I10" i="17" s="1"/>
  <c r="L11" i="17"/>
  <c r="L19" i="17" s="1"/>
  <c r="L20" i="17" s="1"/>
  <c r="D29" i="20"/>
  <c r="O29" i="20" s="1"/>
  <c r="J16" i="17"/>
  <c r="J22" i="17" s="1"/>
  <c r="D20" i="16"/>
  <c r="F18" i="17"/>
  <c r="G25" i="17"/>
  <c r="D27" i="17"/>
  <c r="K40" i="20"/>
  <c r="C11" i="20"/>
  <c r="E9" i="20" s="1"/>
  <c r="I26" i="17"/>
  <c r="I30" i="17" s="1"/>
  <c r="C57" i="17"/>
  <c r="H31" i="20"/>
  <c r="J17" i="17"/>
  <c r="J19" i="17" s="1"/>
  <c r="J20" i="17" s="1"/>
  <c r="G20" i="16"/>
  <c r="G72" i="16" s="1"/>
  <c r="M60" i="17"/>
  <c r="M61" i="17" s="1"/>
  <c r="G3" i="18"/>
  <c r="A1" i="17" s="1"/>
  <c r="K61" i="17"/>
  <c r="C9" i="20"/>
  <c r="L19" i="20" s="1"/>
  <c r="K6" i="17"/>
  <c r="N34" i="20"/>
  <c r="J10" i="20"/>
  <c r="J11" i="20" s="1"/>
  <c r="J6" i="17"/>
  <c r="K24" i="17"/>
  <c r="S33" i="20"/>
  <c r="G60" i="17"/>
  <c r="F74" i="16"/>
  <c r="E16" i="17"/>
  <c r="E22" i="17" s="1"/>
  <c r="L60" i="17"/>
  <c r="K66" i="17"/>
  <c r="H16" i="17"/>
  <c r="H22" i="17" s="1"/>
  <c r="H13" i="17"/>
  <c r="K26" i="17"/>
  <c r="K30" i="17" s="1"/>
  <c r="J26" i="17"/>
  <c r="J30" i="17" s="1"/>
  <c r="K36" i="17"/>
  <c r="H24" i="17"/>
  <c r="J12" i="20"/>
  <c r="E39" i="20"/>
  <c r="F60" i="17"/>
  <c r="Q32" i="20"/>
  <c r="F26" i="17"/>
  <c r="F30" i="17" s="1"/>
  <c r="C5" i="17"/>
  <c r="D8" i="17"/>
  <c r="Q31" i="20"/>
  <c r="R28" i="20"/>
  <c r="F16" i="17"/>
  <c r="F22" i="17" s="1"/>
  <c r="C33" i="17"/>
  <c r="C35" i="20"/>
  <c r="F5" i="17"/>
  <c r="L12" i="17"/>
  <c r="I27" i="20"/>
  <c r="F42" i="20" l="1"/>
  <c r="Q35" i="20"/>
  <c r="F40" i="20" s="1"/>
  <c r="D39" i="20"/>
  <c r="I61" i="17"/>
  <c r="I36" i="17"/>
  <c r="J17" i="20"/>
  <c r="I39" i="20"/>
  <c r="M59" i="17"/>
  <c r="C25" i="17"/>
  <c r="S29" i="20"/>
  <c r="W37" i="16"/>
  <c r="V26" i="16"/>
  <c r="H31" i="17"/>
  <c r="H32" i="17" s="1"/>
  <c r="E19" i="17"/>
  <c r="E20" i="17" s="1"/>
  <c r="S30" i="20"/>
  <c r="G37" i="16"/>
  <c r="N31" i="20"/>
  <c r="L8" i="17"/>
  <c r="I25" i="17"/>
  <c r="P28" i="20"/>
  <c r="P29" i="20"/>
  <c r="O28" i="20"/>
  <c r="R31" i="20"/>
  <c r="J18" i="20"/>
  <c r="L12" i="20" s="1"/>
  <c r="E75" i="16"/>
  <c r="S31" i="20"/>
  <c r="E87" i="16"/>
  <c r="E37" i="17"/>
  <c r="O33" i="20"/>
  <c r="E30" i="17"/>
  <c r="E41" i="20"/>
  <c r="S35" i="20"/>
  <c r="E24" i="17"/>
  <c r="B31" i="17"/>
  <c r="B32" i="17" s="1"/>
  <c r="D25" i="17"/>
  <c r="N10" i="16"/>
  <c r="N19" i="16" s="1"/>
  <c r="O6" i="16"/>
  <c r="N20" i="16"/>
  <c r="N22" i="16"/>
  <c r="N8" i="16"/>
  <c r="J19" i="20"/>
  <c r="J31" i="17"/>
  <c r="J32" i="17" s="1"/>
  <c r="I31" i="17"/>
  <c r="I32" i="17" s="1"/>
  <c r="G20" i="17"/>
  <c r="G41" i="20"/>
  <c r="G12" i="17"/>
  <c r="C59" i="17"/>
  <c r="C10" i="20"/>
  <c r="C12" i="20" s="1"/>
  <c r="F11" i="16"/>
  <c r="F14" i="16"/>
  <c r="F16" i="16" s="1"/>
  <c r="F99" i="16" s="1"/>
  <c r="H6" i="17"/>
  <c r="H9" i="17"/>
  <c r="H10" i="17" s="1"/>
  <c r="K9" i="17"/>
  <c r="K10" i="17" s="1"/>
  <c r="K12" i="17"/>
  <c r="R32" i="20"/>
  <c r="H36" i="17"/>
  <c r="D30" i="20"/>
  <c r="O31" i="20" s="1"/>
  <c r="H37" i="16"/>
  <c r="I37" i="16" s="1"/>
  <c r="D30" i="17"/>
  <c r="G9" i="16"/>
  <c r="C19" i="17"/>
  <c r="G28" i="17"/>
  <c r="G37" i="17" s="1"/>
  <c r="F28" i="17"/>
  <c r="F37" i="17" s="1"/>
  <c r="S34" i="20"/>
  <c r="J13" i="17"/>
  <c r="I6" i="17"/>
  <c r="I8" i="17"/>
  <c r="F75" i="16"/>
  <c r="F76" i="16" s="1"/>
  <c r="E36" i="17"/>
  <c r="E37" i="16"/>
  <c r="E59" i="17"/>
  <c r="E61" i="17"/>
  <c r="H61" i="17"/>
  <c r="H59" i="17"/>
  <c r="O34" i="20"/>
  <c r="D36" i="20"/>
  <c r="O37" i="20" s="1"/>
  <c r="C42" i="20"/>
  <c r="G9" i="17"/>
  <c r="G10" i="17" s="1"/>
  <c r="G6" i="17"/>
  <c r="G8" i="17"/>
  <c r="H26" i="16"/>
  <c r="D31" i="17"/>
  <c r="D32" i="17" s="1"/>
  <c r="D59" i="17"/>
  <c r="E17" i="20" s="1"/>
  <c r="F37" i="16"/>
  <c r="D61" i="17"/>
  <c r="L16" i="17"/>
  <c r="L22" i="17" s="1"/>
  <c r="L13" i="17"/>
  <c r="L9" i="17"/>
  <c r="L10" i="17" s="1"/>
  <c r="J59" i="17"/>
  <c r="J61" i="17"/>
  <c r="H41" i="20"/>
  <c r="K28" i="17"/>
  <c r="K37" i="17" s="1"/>
  <c r="P35" i="20"/>
  <c r="P34" i="20"/>
  <c r="K41" i="20"/>
  <c r="F31" i="17"/>
  <c r="F32" i="17" s="1"/>
  <c r="M31" i="17"/>
  <c r="M32" i="17" s="1"/>
  <c r="E8" i="20"/>
  <c r="L11" i="20" s="1"/>
  <c r="C66" i="17"/>
  <c r="D28" i="17"/>
  <c r="D37" i="17" s="1"/>
  <c r="C28" i="17"/>
  <c r="C37" i="17" s="1"/>
  <c r="R34" i="20"/>
  <c r="R33" i="20"/>
  <c r="K13" i="17"/>
  <c r="C31" i="17"/>
  <c r="C32" i="17" s="1"/>
  <c r="P31" i="20"/>
  <c r="P30" i="20"/>
  <c r="F3" i="16"/>
  <c r="N37" i="20"/>
  <c r="E6" i="16"/>
  <c r="E12" i="17"/>
  <c r="E7" i="16" s="1"/>
  <c r="D6" i="17"/>
  <c r="F5" i="16" s="1"/>
  <c r="E8" i="17"/>
  <c r="L41" i="20"/>
  <c r="E9" i="17"/>
  <c r="E10" i="17" s="1"/>
  <c r="G24" i="17"/>
  <c r="L31" i="17"/>
  <c r="L32" i="17" s="1"/>
  <c r="L59" i="17"/>
  <c r="L61" i="17"/>
  <c r="G61" i="17"/>
  <c r="G59" i="17"/>
  <c r="G31" i="17"/>
  <c r="G32" i="17" s="1"/>
  <c r="B6" i="17"/>
  <c r="C12" i="17"/>
  <c r="G6" i="16"/>
  <c r="C6" i="17"/>
  <c r="G5" i="16" s="1"/>
  <c r="C24" i="17"/>
  <c r="C9" i="17"/>
  <c r="C10" i="17" s="1"/>
  <c r="J14" i="20"/>
  <c r="J13" i="20"/>
  <c r="D37" i="16"/>
  <c r="F61" i="17"/>
  <c r="F59" i="17"/>
  <c r="E31" i="17"/>
  <c r="E32" i="17" s="1"/>
  <c r="K31" i="17"/>
  <c r="K32" i="17" s="1"/>
  <c r="L13" i="20"/>
  <c r="L18" i="20"/>
  <c r="C8" i="17"/>
  <c r="F18" i="16"/>
  <c r="F21" i="16" s="1"/>
  <c r="F32" i="16" s="1"/>
  <c r="F34" i="16" s="1"/>
  <c r="F24" i="17"/>
  <c r="F9" i="17"/>
  <c r="F10" i="17" s="1"/>
  <c r="D6" i="16"/>
  <c r="F12" i="17"/>
  <c r="D7" i="16" s="1"/>
  <c r="F6" i="17"/>
  <c r="D5" i="16" s="1"/>
  <c r="F8" i="17"/>
  <c r="F20" i="17"/>
  <c r="E6" i="17"/>
  <c r="E5" i="16" s="1"/>
  <c r="F36" i="17"/>
  <c r="I41" i="20"/>
  <c r="S28" i="20"/>
  <c r="H40" i="20" s="1"/>
  <c r="D35" i="20"/>
  <c r="N35" i="20"/>
  <c r="C41" i="20"/>
  <c r="C35" i="17"/>
  <c r="N36" i="20"/>
  <c r="E15" i="20" l="1"/>
  <c r="D42" i="20"/>
  <c r="W26" i="16"/>
  <c r="X37" i="16"/>
  <c r="O30" i="20"/>
  <c r="L16" i="20"/>
  <c r="J15" i="20"/>
  <c r="G40" i="20"/>
  <c r="P6" i="16"/>
  <c r="O20" i="16"/>
  <c r="O22" i="16"/>
  <c r="O8" i="16"/>
  <c r="O10" i="16"/>
  <c r="O19" i="16" s="1"/>
  <c r="J37" i="16"/>
  <c r="I26" i="16"/>
  <c r="C20" i="17"/>
  <c r="E16" i="20" s="1"/>
  <c r="E11" i="20"/>
  <c r="J16" i="20"/>
  <c r="L15" i="20" s="1"/>
  <c r="E10" i="20"/>
  <c r="E71" i="16"/>
  <c r="E73" i="16" s="1"/>
  <c r="E3" i="16"/>
  <c r="F87" i="16"/>
  <c r="E74" i="16"/>
  <c r="E76" i="16" s="1"/>
  <c r="G7" i="16"/>
  <c r="G8" i="16" s="1"/>
  <c r="E14" i="20"/>
  <c r="F40" i="16"/>
  <c r="F39" i="16"/>
  <c r="E8" i="16"/>
  <c r="F71" i="16"/>
  <c r="F73" i="16" s="1"/>
  <c r="H20" i="16"/>
  <c r="G74" i="16"/>
  <c r="G76" i="16" s="1"/>
  <c r="D87" i="16"/>
  <c r="H5" i="16"/>
  <c r="G71" i="16"/>
  <c r="G73" i="16" s="1"/>
  <c r="L14" i="20"/>
  <c r="C40" i="20"/>
  <c r="D75" i="16"/>
  <c r="C36" i="17"/>
  <c r="O35" i="20"/>
  <c r="O36" i="20"/>
  <c r="D41" i="20"/>
  <c r="D8" i="16"/>
  <c r="G87" i="16"/>
  <c r="D3" i="16"/>
  <c r="D74" i="16"/>
  <c r="X26" i="16" l="1"/>
  <c r="Y37" i="16"/>
  <c r="H25" i="16"/>
  <c r="H29" i="16"/>
  <c r="I29" i="16" s="1"/>
  <c r="H13" i="16"/>
  <c r="I13" i="16" s="1"/>
  <c r="Q6" i="16"/>
  <c r="P20" i="16"/>
  <c r="P10" i="16"/>
  <c r="P19" i="16" s="1"/>
  <c r="P22" i="16"/>
  <c r="P8" i="16"/>
  <c r="H23" i="16"/>
  <c r="I87" i="16"/>
  <c r="K37" i="16"/>
  <c r="K26" i="16" s="1"/>
  <c r="J26" i="16"/>
  <c r="H73" i="16"/>
  <c r="E11" i="16"/>
  <c r="E14" i="16"/>
  <c r="E16" i="16" s="1"/>
  <c r="E99" i="16" s="1"/>
  <c r="G14" i="16"/>
  <c r="G16" i="16" s="1"/>
  <c r="G11" i="16"/>
  <c r="D40" i="20"/>
  <c r="D11" i="16"/>
  <c r="D14" i="16"/>
  <c r="D16" i="16" s="1"/>
  <c r="Q93" i="16"/>
  <c r="M93" i="16"/>
  <c r="D76" i="16"/>
  <c r="H76" i="16" s="1"/>
  <c r="I93" i="16" l="1"/>
  <c r="H94" i="16"/>
  <c r="H95" i="16" s="1"/>
  <c r="I94" i="16" s="1"/>
  <c r="L93" i="16"/>
  <c r="P93" i="16"/>
  <c r="J93" i="16"/>
  <c r="O93" i="16"/>
  <c r="Y26" i="16"/>
  <c r="Z37" i="16"/>
  <c r="K93" i="16"/>
  <c r="I25" i="16"/>
  <c r="R6" i="16"/>
  <c r="Q20" i="16"/>
  <c r="Q10" i="16"/>
  <c r="Q19" i="16" s="1"/>
  <c r="Q22" i="16"/>
  <c r="Q8" i="16"/>
  <c r="N93" i="16"/>
  <c r="J13" i="16"/>
  <c r="I23" i="16"/>
  <c r="H24" i="16"/>
  <c r="E18" i="16"/>
  <c r="E21" i="16" s="1"/>
  <c r="E32" i="16" s="1"/>
  <c r="E34" i="16" s="1"/>
  <c r="E36" i="16" s="1"/>
  <c r="F36" i="16" s="1"/>
  <c r="L37" i="16"/>
  <c r="L26" i="16" s="1"/>
  <c r="J29" i="16"/>
  <c r="G18" i="16"/>
  <c r="J48" i="16" s="1"/>
  <c r="G99" i="16"/>
  <c r="D18" i="16"/>
  <c r="D21" i="16" s="1"/>
  <c r="D32" i="16" s="1"/>
  <c r="D34" i="16" s="1"/>
  <c r="D99" i="16"/>
  <c r="AA37" i="16" l="1"/>
  <c r="Z26" i="16"/>
  <c r="H99" i="16"/>
  <c r="D55" i="16" s="1"/>
  <c r="E55" i="16" s="1"/>
  <c r="J25" i="16"/>
  <c r="S6" i="16"/>
  <c r="R20" i="16"/>
  <c r="R22" i="16"/>
  <c r="R10" i="16"/>
  <c r="R19" i="16" s="1"/>
  <c r="R8" i="16"/>
  <c r="R93" i="16"/>
  <c r="K13" i="16"/>
  <c r="L13" i="16" s="1"/>
  <c r="J23" i="16"/>
  <c r="I24" i="16"/>
  <c r="M26" i="16"/>
  <c r="K29" i="16"/>
  <c r="G21" i="16"/>
  <c r="G32" i="16" s="1"/>
  <c r="G34" i="16" s="1"/>
  <c r="G36" i="16" s="1"/>
  <c r="H12" i="16" s="1"/>
  <c r="H14" i="16" s="1"/>
  <c r="M13" i="16" l="1"/>
  <c r="N13" i="16" s="1"/>
  <c r="AB37" i="16"/>
  <c r="AA26" i="16"/>
  <c r="O13" i="16"/>
  <c r="P13" i="16" s="1"/>
  <c r="K25" i="16"/>
  <c r="L25" i="16" s="1"/>
  <c r="L29" i="16"/>
  <c r="M29" i="16" s="1"/>
  <c r="N29" i="16" s="1"/>
  <c r="O29" i="16" s="1"/>
  <c r="T6" i="16"/>
  <c r="S20" i="16"/>
  <c r="S22" i="16"/>
  <c r="S10" i="16"/>
  <c r="S19" i="16" s="1"/>
  <c r="S8" i="16"/>
  <c r="S93" i="16"/>
  <c r="J24" i="16"/>
  <c r="K23" i="16"/>
  <c r="H15" i="16"/>
  <c r="AB26" i="16" l="1"/>
  <c r="AC37" i="16"/>
  <c r="M25" i="16"/>
  <c r="U6" i="16"/>
  <c r="T20" i="16"/>
  <c r="T22" i="16"/>
  <c r="T10" i="16"/>
  <c r="T19" i="16" s="1"/>
  <c r="T8" i="16"/>
  <c r="T93" i="16"/>
  <c r="K24" i="16"/>
  <c r="L23" i="16"/>
  <c r="M23" i="16" s="1"/>
  <c r="M24" i="16" s="1"/>
  <c r="Q13" i="16"/>
  <c r="H16" i="16"/>
  <c r="H42" i="16" s="1" a="1"/>
  <c r="H42" i="16" s="1"/>
  <c r="P29" i="16"/>
  <c r="AC26" i="16" l="1"/>
  <c r="AD37" i="16"/>
  <c r="N25" i="16"/>
  <c r="V6" i="16"/>
  <c r="U20" i="16"/>
  <c r="U22" i="16"/>
  <c r="U10" i="16"/>
  <c r="U19" i="16" s="1"/>
  <c r="U8" i="16"/>
  <c r="U93" i="16"/>
  <c r="L24" i="16"/>
  <c r="N23" i="16"/>
  <c r="N24" i="16" s="1"/>
  <c r="H27" i="16"/>
  <c r="H28" i="16"/>
  <c r="R13" i="16"/>
  <c r="Q29" i="16"/>
  <c r="R29" i="16" s="1"/>
  <c r="AE37" i="16" l="1"/>
  <c r="AD26" i="16"/>
  <c r="H30" i="16"/>
  <c r="P42" i="16"/>
  <c r="O25" i="16"/>
  <c r="O23" i="16"/>
  <c r="W6" i="16"/>
  <c r="V20" i="16"/>
  <c r="V22" i="16"/>
  <c r="V10" i="16"/>
  <c r="V19" i="16" s="1"/>
  <c r="V8" i="16"/>
  <c r="V93" i="16"/>
  <c r="H33" i="16"/>
  <c r="S13" i="16"/>
  <c r="S29" i="16"/>
  <c r="T29" i="16" s="1"/>
  <c r="U29" i="16" s="1"/>
  <c r="AF37" i="16" l="1"/>
  <c r="AF26" i="16" s="1"/>
  <c r="AE26" i="16"/>
  <c r="O24" i="16"/>
  <c r="P23" i="16"/>
  <c r="P24" i="16" s="1"/>
  <c r="P25" i="16"/>
  <c r="X6" i="16"/>
  <c r="W20" i="16"/>
  <c r="W22" i="16"/>
  <c r="W10" i="16"/>
  <c r="W19" i="16" s="1"/>
  <c r="W8" i="16"/>
  <c r="W93" i="16"/>
  <c r="T13" i="16"/>
  <c r="V29" i="16"/>
  <c r="W29" i="16" s="1"/>
  <c r="Q23" i="16" l="1"/>
  <c r="Q25" i="16"/>
  <c r="R25" i="16" s="1"/>
  <c r="Y6" i="16"/>
  <c r="X20" i="16"/>
  <c r="X10" i="16"/>
  <c r="X19" i="16" s="1"/>
  <c r="X22" i="16"/>
  <c r="X8" i="16"/>
  <c r="X93" i="16"/>
  <c r="U13" i="16"/>
  <c r="X29" i="16"/>
  <c r="Y29" i="16" s="1"/>
  <c r="R23" i="16" l="1"/>
  <c r="Q24" i="16"/>
  <c r="S25" i="16"/>
  <c r="T25" i="16" s="1"/>
  <c r="Z6" i="16"/>
  <c r="Y20" i="16"/>
  <c r="Y10" i="16"/>
  <c r="Y19" i="16" s="1"/>
  <c r="Y22" i="16"/>
  <c r="Y8" i="16"/>
  <c r="Y93" i="16"/>
  <c r="V13" i="16"/>
  <c r="Z29" i="16"/>
  <c r="AA29" i="16" s="1"/>
  <c r="S23" i="16" l="1"/>
  <c r="R24" i="16"/>
  <c r="U25" i="16"/>
  <c r="V25" i="16" s="1"/>
  <c r="AA6" i="16"/>
  <c r="Z20" i="16"/>
  <c r="Z22" i="16"/>
  <c r="Z10" i="16"/>
  <c r="Z19" i="16" s="1"/>
  <c r="Z8" i="16"/>
  <c r="Z93" i="16"/>
  <c r="W13" i="16"/>
  <c r="AB29" i="16"/>
  <c r="AC29" i="16" s="1"/>
  <c r="T23" i="16" l="1"/>
  <c r="S24" i="16"/>
  <c r="W25" i="16"/>
  <c r="X25" i="16" s="1"/>
  <c r="AB6" i="16"/>
  <c r="AA20" i="16"/>
  <c r="AA22" i="16"/>
  <c r="AA10" i="16"/>
  <c r="AA19" i="16" s="1"/>
  <c r="AA8" i="16"/>
  <c r="AA93" i="16"/>
  <c r="X13" i="16"/>
  <c r="AD29" i="16"/>
  <c r="AE29" i="16" s="1"/>
  <c r="AF29" i="16" s="1"/>
  <c r="U23" i="16" l="1"/>
  <c r="T24" i="16"/>
  <c r="Y25" i="16"/>
  <c r="Z25" i="16" s="1"/>
  <c r="AC6" i="16"/>
  <c r="AB20" i="16"/>
  <c r="AB22" i="16"/>
  <c r="AB10" i="16"/>
  <c r="AB19" i="16" s="1"/>
  <c r="AB8" i="16"/>
  <c r="AB93" i="16"/>
  <c r="Y13" i="16"/>
  <c r="V23" i="16" l="1"/>
  <c r="U24" i="16"/>
  <c r="AA25" i="16"/>
  <c r="AB25" i="16" s="1"/>
  <c r="AD6" i="16"/>
  <c r="AC20" i="16"/>
  <c r="AC22" i="16"/>
  <c r="AC10" i="16"/>
  <c r="AC19" i="16" s="1"/>
  <c r="AC8" i="16"/>
  <c r="AC93" i="16"/>
  <c r="Z13" i="16"/>
  <c r="W23" i="16" l="1"/>
  <c r="V24" i="16"/>
  <c r="AC25" i="16"/>
  <c r="AD25" i="16" s="1"/>
  <c r="AE25" i="16" s="1"/>
  <c r="AD20" i="16"/>
  <c r="AD22" i="16"/>
  <c r="AD10" i="16"/>
  <c r="AD19" i="16" s="1"/>
  <c r="AD8" i="16"/>
  <c r="AD93" i="16"/>
  <c r="AA13" i="16"/>
  <c r="X23" i="16" l="1"/>
  <c r="W24" i="16"/>
  <c r="AF25" i="16"/>
  <c r="AF6" i="16"/>
  <c r="AE8" i="16"/>
  <c r="AE20" i="16"/>
  <c r="AE22" i="16"/>
  <c r="AE10" i="16"/>
  <c r="AE19" i="16" s="1"/>
  <c r="AE93" i="16"/>
  <c r="AB13" i="16"/>
  <c r="Y23" i="16" l="1"/>
  <c r="X24" i="16"/>
  <c r="AF8" i="16"/>
  <c r="AF20" i="16"/>
  <c r="AF10" i="16"/>
  <c r="AF19" i="16" s="1"/>
  <c r="AF22" i="16"/>
  <c r="AF93" i="16"/>
  <c r="AC13" i="16"/>
  <c r="Z23" i="16" l="1"/>
  <c r="Y24" i="16"/>
  <c r="AD13" i="16"/>
  <c r="AA23" i="16" l="1"/>
  <c r="Z24" i="16"/>
  <c r="AE13" i="16"/>
  <c r="AF13" i="16" s="1"/>
  <c r="AA24" i="16" l="1"/>
  <c r="AB23" i="16"/>
  <c r="I95" i="16" l="1"/>
  <c r="I9" i="16" s="1"/>
  <c r="AB24" i="16"/>
  <c r="AC23" i="16"/>
  <c r="H9" i="16"/>
  <c r="H11" i="16" s="1"/>
  <c r="H18" i="16" s="1"/>
  <c r="H21" i="16" s="1"/>
  <c r="H32" i="16" s="1"/>
  <c r="H34" i="16" s="1"/>
  <c r="H36" i="16" s="1"/>
  <c r="I12" i="16" s="1"/>
  <c r="AC24" i="16" l="1"/>
  <c r="AD23" i="16"/>
  <c r="AD24" i="16" s="1"/>
  <c r="I14" i="16"/>
  <c r="J94" i="16"/>
  <c r="J95" i="16" s="1"/>
  <c r="I11" i="16"/>
  <c r="AE23" i="16" l="1"/>
  <c r="AF23" i="16" s="1"/>
  <c r="AF24" i="16" s="1"/>
  <c r="I15" i="16"/>
  <c r="I18" i="16" s="1"/>
  <c r="I21" i="16" s="1"/>
  <c r="I32" i="16" s="1"/>
  <c r="K94" i="16"/>
  <c r="K95" i="16" s="1"/>
  <c r="J9" i="16"/>
  <c r="J11" i="16" s="1"/>
  <c r="AE24" i="16" l="1"/>
  <c r="I16" i="16"/>
  <c r="I42" i="16" s="1" a="1"/>
  <c r="I42" i="16" s="1"/>
  <c r="I28" i="16"/>
  <c r="L94" i="16"/>
  <c r="L95" i="16" s="1"/>
  <c r="K9" i="16"/>
  <c r="K11" i="16" s="1"/>
  <c r="I27" i="16" l="1"/>
  <c r="I33" i="16" s="1"/>
  <c r="I34" i="16" s="1"/>
  <c r="I36" i="16" s="1"/>
  <c r="J12" i="16" s="1"/>
  <c r="M94" i="16"/>
  <c r="M95" i="16" s="1"/>
  <c r="L9" i="16"/>
  <c r="L11" i="16" s="1"/>
  <c r="I30" i="16" l="1"/>
  <c r="N94" i="16"/>
  <c r="N95" i="16" s="1"/>
  <c r="M9" i="16"/>
  <c r="M11" i="16" s="1"/>
  <c r="J14" i="16"/>
  <c r="O94" i="16" l="1"/>
  <c r="O95" i="16" s="1"/>
  <c r="N9" i="16"/>
  <c r="N11" i="16" s="1"/>
  <c r="J15" i="16"/>
  <c r="P94" i="16" l="1"/>
  <c r="P95" i="16" s="1"/>
  <c r="O9" i="16"/>
  <c r="O11" i="16" s="1"/>
  <c r="J18" i="16"/>
  <c r="J21" i="16" s="1"/>
  <c r="J32" i="16" s="1"/>
  <c r="J16" i="16"/>
  <c r="J42" i="16" s="1" a="1"/>
  <c r="J42" i="16" s="1"/>
  <c r="Q94" i="16" l="1"/>
  <c r="Q95" i="16" s="1"/>
  <c r="P9" i="16"/>
  <c r="P11" i="16" s="1"/>
  <c r="J27" i="16"/>
  <c r="J28" i="16"/>
  <c r="R94" i="16" l="1"/>
  <c r="R95" i="16" s="1"/>
  <c r="Q9" i="16"/>
  <c r="Q11" i="16" s="1"/>
  <c r="J30" i="16"/>
  <c r="J33" i="16"/>
  <c r="S94" i="16" l="1"/>
  <c r="S95" i="16" s="1"/>
  <c r="R9" i="16"/>
  <c r="R11" i="16" s="1"/>
  <c r="J34" i="16"/>
  <c r="J36" i="16" s="1"/>
  <c r="T94" i="16" l="1"/>
  <c r="T95" i="16" s="1"/>
  <c r="S9" i="16"/>
  <c r="S11" i="16" s="1"/>
  <c r="K12" i="16"/>
  <c r="U94" i="16" l="1"/>
  <c r="U95" i="16" s="1"/>
  <c r="T9" i="16"/>
  <c r="T11" i="16" s="1"/>
  <c r="K14" i="16"/>
  <c r="V94" i="16" l="1"/>
  <c r="V95" i="16" s="1"/>
  <c r="U9" i="16"/>
  <c r="U11" i="16" s="1"/>
  <c r="K15" i="16"/>
  <c r="W94" i="16" l="1"/>
  <c r="W95" i="16" s="1"/>
  <c r="V9" i="16"/>
  <c r="V11" i="16" s="1"/>
  <c r="K18" i="16"/>
  <c r="K21" i="16" s="1"/>
  <c r="K32" i="16" s="1"/>
  <c r="K16" i="16"/>
  <c r="X94" i="16" l="1"/>
  <c r="X95" i="16" s="1"/>
  <c r="W9" i="16"/>
  <c r="W11" i="16" s="1"/>
  <c r="K27" i="16"/>
  <c r="K28" i="16"/>
  <c r="K33" i="16" l="1"/>
  <c r="Y94" i="16"/>
  <c r="Y95" i="16" s="1"/>
  <c r="X9" i="16"/>
  <c r="X11" i="16" s="1"/>
  <c r="K30" i="16"/>
  <c r="Z94" i="16" l="1"/>
  <c r="Z95" i="16" s="1"/>
  <c r="Y9" i="16"/>
  <c r="Y11" i="16" s="1"/>
  <c r="K34" i="16"/>
  <c r="K36" i="16" s="1"/>
  <c r="AA94" i="16" l="1"/>
  <c r="AA95" i="16" s="1"/>
  <c r="Z9" i="16"/>
  <c r="Z11" i="16" s="1"/>
  <c r="L12" i="16"/>
  <c r="AB94" i="16" l="1"/>
  <c r="AB95" i="16" s="1"/>
  <c r="AA9" i="16"/>
  <c r="AA11" i="16" s="1"/>
  <c r="L14" i="16"/>
  <c r="AC94" i="16" l="1"/>
  <c r="AC95" i="16" s="1"/>
  <c r="AB9" i="16"/>
  <c r="AB11" i="16" s="1"/>
  <c r="L15" i="16"/>
  <c r="L18" i="16" s="1"/>
  <c r="AD94" i="16" l="1"/>
  <c r="AD95" i="16" s="1"/>
  <c r="AC9" i="16"/>
  <c r="AC11" i="16" s="1"/>
  <c r="L21" i="16"/>
  <c r="L32" i="16" s="1"/>
  <c r="L16" i="16"/>
  <c r="AE94" i="16" l="1"/>
  <c r="AE95" i="16" s="1"/>
  <c r="AD9" i="16"/>
  <c r="AD11" i="16" s="1"/>
  <c r="L27" i="16"/>
  <c r="L28" i="16"/>
  <c r="AF94" i="16" l="1"/>
  <c r="AF95" i="16" s="1"/>
  <c r="AF9" i="16" s="1"/>
  <c r="AF11" i="16" s="1"/>
  <c r="AE9" i="16"/>
  <c r="AE11" i="16" s="1"/>
  <c r="L30" i="16"/>
  <c r="L33" i="16"/>
  <c r="L34" i="16" l="1"/>
  <c r="L36" i="16" s="1"/>
  <c r="M12" i="16" l="1"/>
  <c r="M14" i="16" l="1"/>
  <c r="M15" i="16" l="1"/>
  <c r="M18" i="16" s="1"/>
  <c r="M21" i="16" l="1"/>
  <c r="M32" i="16" s="1"/>
  <c r="M16" i="16"/>
  <c r="M27" i="16" l="1"/>
  <c r="M28" i="16"/>
  <c r="M33" i="16" l="1"/>
  <c r="M34" i="16" s="1"/>
  <c r="M36" i="16" s="1"/>
  <c r="M30" i="16"/>
  <c r="N12" i="16" l="1"/>
  <c r="N14" i="16" s="1"/>
  <c r="N15" i="16" l="1"/>
  <c r="N16" i="16" s="1"/>
  <c r="N18" i="16" l="1"/>
  <c r="N21" i="16" s="1"/>
  <c r="N32" i="16" s="1"/>
  <c r="N27" i="16" l="1"/>
  <c r="N28" i="16"/>
  <c r="N33" i="16" l="1"/>
  <c r="N30" i="16"/>
  <c r="N34" i="16" l="1"/>
  <c r="N36" i="16" s="1"/>
  <c r="O12" i="16" l="1"/>
  <c r="O14" i="16" l="1"/>
  <c r="O15" i="16" l="1"/>
  <c r="O18" i="16" l="1"/>
  <c r="O21" i="16" s="1"/>
  <c r="O32" i="16" s="1"/>
  <c r="O16" i="16"/>
  <c r="O27" i="16" l="1"/>
  <c r="O28" i="16"/>
  <c r="O30" i="16" l="1"/>
  <c r="O33" i="16"/>
  <c r="O34" i="16" l="1"/>
  <c r="O36" i="16" s="1"/>
  <c r="P12" i="16" l="1"/>
  <c r="P14" i="16" l="1"/>
  <c r="P15" i="16" l="1"/>
  <c r="P18" i="16" l="1"/>
  <c r="P21" i="16" s="1"/>
  <c r="P32" i="16" s="1"/>
  <c r="P16" i="16"/>
  <c r="P27" i="16" l="1"/>
  <c r="P28" i="16"/>
  <c r="P33" i="16" l="1"/>
  <c r="P30" i="16"/>
  <c r="P34" i="16" l="1"/>
  <c r="P36" i="16" s="1"/>
  <c r="Q12" i="16" l="1"/>
  <c r="Q14" i="16" l="1"/>
  <c r="Q15" i="16" l="1"/>
  <c r="Q18" i="16" l="1"/>
  <c r="Q21" i="16" s="1"/>
  <c r="Q32" i="16" s="1"/>
  <c r="Q16" i="16"/>
  <c r="Q27" i="16" s="1"/>
  <c r="Q28" i="16" l="1"/>
  <c r="Q30" i="16" l="1"/>
  <c r="Q33" i="16"/>
  <c r="Q34" i="16" l="1"/>
  <c r="Q36" i="16" s="1"/>
  <c r="R12" i="16" l="1"/>
  <c r="R14" i="16" l="1"/>
  <c r="R15" i="16" l="1"/>
  <c r="R18" i="16" l="1"/>
  <c r="R21" i="16" s="1"/>
  <c r="R32" i="16" s="1"/>
  <c r="R16" i="16"/>
  <c r="R27" i="16" l="1"/>
  <c r="R28" i="16"/>
  <c r="R33" i="16" l="1"/>
  <c r="R30" i="16"/>
  <c r="R34" i="16" l="1"/>
  <c r="R36" i="16" s="1"/>
  <c r="S12" i="16" l="1"/>
  <c r="S14" i="16" l="1"/>
  <c r="S15" i="16" l="1"/>
  <c r="S18" i="16" l="1"/>
  <c r="S21" i="16" s="1"/>
  <c r="S32" i="16" s="1"/>
  <c r="S16" i="16"/>
  <c r="S27" i="16" s="1"/>
  <c r="S28" i="16" l="1"/>
  <c r="S30" i="16" l="1"/>
  <c r="S33" i="16"/>
  <c r="S34" i="16" l="1"/>
  <c r="S36" i="16" s="1"/>
  <c r="T12" i="16" l="1"/>
  <c r="T14" i="16" l="1"/>
  <c r="T15" i="16" l="1"/>
  <c r="T18" i="16" l="1"/>
  <c r="T21" i="16" s="1"/>
  <c r="T32" i="16" s="1"/>
  <c r="T16" i="16"/>
  <c r="T27" i="16" s="1"/>
  <c r="T28" i="16" l="1"/>
  <c r="T33" i="16" l="1"/>
  <c r="T30" i="16"/>
  <c r="T34" i="16" l="1"/>
  <c r="T36" i="16" s="1"/>
  <c r="U12" i="16" l="1"/>
  <c r="U14" i="16" l="1"/>
  <c r="U15" i="16" l="1"/>
  <c r="U18" i="16" l="1"/>
  <c r="U21" i="16" s="1"/>
  <c r="U32" i="16" s="1"/>
  <c r="U16" i="16"/>
  <c r="U27" i="16" s="1"/>
  <c r="U28" i="16" l="1"/>
  <c r="U33" i="16" l="1"/>
  <c r="U30" i="16"/>
  <c r="U34" i="16" l="1"/>
  <c r="U36" i="16" s="1"/>
  <c r="V12" i="16" l="1"/>
  <c r="V14" i="16" l="1"/>
  <c r="V15" i="16" l="1"/>
  <c r="V18" i="16" l="1"/>
  <c r="V21" i="16" s="1"/>
  <c r="V32" i="16" s="1"/>
  <c r="V16" i="16"/>
  <c r="V27" i="16" s="1"/>
  <c r="V28" i="16" l="1"/>
  <c r="V30" i="16" l="1"/>
  <c r="V33" i="16"/>
  <c r="V34" i="16" l="1"/>
  <c r="V36" i="16" s="1"/>
  <c r="W12" i="16" l="1"/>
  <c r="W14" i="16" l="1"/>
  <c r="W15" i="16" l="1"/>
  <c r="W18" i="16" l="1"/>
  <c r="W21" i="16" s="1"/>
  <c r="W32" i="16" s="1"/>
  <c r="W16" i="16"/>
  <c r="W27" i="16" s="1"/>
  <c r="W28" i="16" l="1"/>
  <c r="W33" i="16" l="1"/>
  <c r="W30" i="16"/>
  <c r="W34" i="16" l="1"/>
  <c r="W36" i="16" s="1"/>
  <c r="X12" i="16" l="1"/>
  <c r="X14" i="16" l="1"/>
  <c r="X15" i="16" l="1"/>
  <c r="X18" i="16" l="1"/>
  <c r="X21" i="16" s="1"/>
  <c r="X32" i="16" s="1"/>
  <c r="X16" i="16"/>
  <c r="X27" i="16" s="1"/>
  <c r="X28" i="16" l="1"/>
  <c r="X33" i="16" l="1"/>
  <c r="X30" i="16"/>
  <c r="X34" i="16" l="1"/>
  <c r="X36" i="16" s="1"/>
  <c r="Y12" i="16" l="1"/>
  <c r="Y14" i="16" l="1"/>
  <c r="Y15" i="16" l="1"/>
  <c r="Y18" i="16" l="1"/>
  <c r="Y21" i="16" s="1"/>
  <c r="Y32" i="16" s="1"/>
  <c r="Y16" i="16"/>
  <c r="Y27" i="16" s="1"/>
  <c r="Y28" i="16" l="1"/>
  <c r="Y33" i="16" l="1"/>
  <c r="Y30" i="16"/>
  <c r="Y34" i="16" l="1"/>
  <c r="Y36" i="16" s="1"/>
  <c r="Z12" i="16" l="1"/>
  <c r="Z14" i="16" l="1"/>
  <c r="Z15" i="16" l="1"/>
  <c r="Z18" i="16" l="1"/>
  <c r="Z21" i="16" s="1"/>
  <c r="Z32" i="16" s="1"/>
  <c r="Z16" i="16"/>
  <c r="Z27" i="16" s="1"/>
  <c r="Z28" i="16" l="1"/>
  <c r="Z33" i="16" l="1"/>
  <c r="Z30" i="16"/>
  <c r="Z34" i="16" l="1"/>
  <c r="Z36" i="16" s="1"/>
  <c r="AA12" i="16" l="1"/>
  <c r="AA14" i="16" l="1"/>
  <c r="AA15" i="16" l="1"/>
  <c r="AA18" i="16" l="1"/>
  <c r="AA21" i="16" s="1"/>
  <c r="AA32" i="16" s="1"/>
  <c r="AA16" i="16"/>
  <c r="AA27" i="16" s="1"/>
  <c r="AA28" i="16" l="1"/>
  <c r="AA30" i="16" l="1"/>
  <c r="AA33" i="16"/>
  <c r="AA34" i="16" l="1"/>
  <c r="AA36" i="16" s="1"/>
  <c r="AB12" i="16" l="1"/>
  <c r="AB14" i="16" l="1"/>
  <c r="AB15" i="16" l="1"/>
  <c r="AB18" i="16" l="1"/>
  <c r="AB21" i="16" s="1"/>
  <c r="AB32" i="16" s="1"/>
  <c r="AB16" i="16"/>
  <c r="AB27" i="16" s="1"/>
  <c r="AB28" i="16" l="1"/>
  <c r="AB30" i="16" l="1"/>
  <c r="AB33" i="16"/>
  <c r="AB34" i="16" l="1"/>
  <c r="AB36" i="16" s="1"/>
  <c r="AC12" i="16" l="1"/>
  <c r="AC14" i="16" l="1"/>
  <c r="AC15" i="16" l="1"/>
  <c r="AC18" i="16" l="1"/>
  <c r="AC21" i="16" s="1"/>
  <c r="AC32" i="16" s="1"/>
  <c r="AC16" i="16"/>
  <c r="AC27" i="16" s="1"/>
  <c r="AC28" i="16" l="1"/>
  <c r="AC30" i="16" l="1"/>
  <c r="AC33" i="16"/>
  <c r="AC34" i="16" l="1"/>
  <c r="AC36" i="16" s="1"/>
  <c r="AD12" i="16" l="1"/>
  <c r="AD14" i="16" l="1"/>
  <c r="AD15" i="16" l="1"/>
  <c r="AD18" i="16" l="1"/>
  <c r="AD21" i="16" s="1"/>
  <c r="AD32" i="16" s="1"/>
  <c r="AD16" i="16"/>
  <c r="AD27" i="16" s="1"/>
  <c r="AD28" i="16" l="1"/>
  <c r="AD33" i="16" l="1"/>
  <c r="AD30" i="16"/>
  <c r="AD34" i="16" l="1"/>
  <c r="AD36" i="16" s="1"/>
  <c r="AE12" i="16" l="1"/>
  <c r="AE14" i="16" l="1"/>
  <c r="AE15" i="16" l="1"/>
  <c r="AE18" i="16" l="1"/>
  <c r="AE21" i="16" s="1"/>
  <c r="AE32" i="16" s="1"/>
  <c r="AE16" i="16"/>
  <c r="AE27" i="16" s="1"/>
  <c r="AE28" i="16" l="1"/>
  <c r="AE30" i="16" l="1"/>
  <c r="AE33" i="16"/>
  <c r="AE34" i="16" l="1"/>
  <c r="AE36" i="16" s="1"/>
  <c r="AF12" i="16" l="1"/>
  <c r="AE61" i="16"/>
  <c r="AE62" i="16" s="1"/>
  <c r="D62" i="16"/>
  <c r="AF14" i="16" l="1"/>
  <c r="AF15" i="16" l="1"/>
  <c r="AF18" i="16" l="1"/>
  <c r="AF21" i="16" s="1"/>
  <c r="AF32" i="16" s="1"/>
  <c r="AF16" i="16"/>
  <c r="AF27" i="16" s="1"/>
  <c r="AF28" i="16" l="1"/>
  <c r="D63" i="16"/>
  <c r="D64" i="16" l="1"/>
  <c r="AF33" i="16"/>
  <c r="AF34" i="16" s="1"/>
  <c r="AF36" i="16" s="1"/>
  <c r="AF30" i="16"/>
  <c r="D66" i="16" l="1" a="1"/>
  <c r="D66" i="16" s="1"/>
  <c r="H44" i="16"/>
  <c r="I44" i="16"/>
  <c r="E62" i="16"/>
  <c r="E63" i="16"/>
  <c r="H24" i="20" l="1"/>
  <c r="D65" i="16"/>
  <c r="L23" i="20" s="1"/>
  <c r="L21"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tc={E176ACA6-287A-49F3-8181-CD3B8909D741}</author>
  </authors>
  <commentList>
    <comment ref="B7" authorId="0" shapeId="0" xr:uid="{28F6E556-0A1B-40CF-B939-553270A62210}">
      <text>
        <r>
          <rPr>
            <sz val="10"/>
            <rFont val="Arial"/>
            <family val="2"/>
          </rPr>
          <t>Previous close</t>
        </r>
      </text>
    </comment>
    <comment ref="D7" authorId="0" shapeId="0" xr:uid="{48F832A4-A3EA-4B75-A16C-6E1441536172}">
      <text>
        <r>
          <rPr>
            <sz val="10"/>
            <rFont val="Arial"/>
            <family val="2"/>
          </rPr>
          <t>Assets</t>
        </r>
      </text>
    </comment>
    <comment ref="D8" authorId="0" shapeId="0" xr:uid="{FBCF820B-0C2D-4991-96F8-D7C2BA1FBDBB}">
      <text>
        <r>
          <rPr>
            <sz val="10"/>
            <rFont val="Arial"/>
            <family val="2"/>
          </rPr>
          <t xml:space="preserve">Liabilities
</t>
        </r>
      </text>
    </comment>
    <comment ref="B10" authorId="0" shapeId="0" xr:uid="{ECDB315A-959B-4D4D-8CEA-3F7826315FF0}">
      <text>
        <r>
          <rPr>
            <sz val="10"/>
            <rFont val="Arial"/>
            <family val="2"/>
          </rPr>
          <t>Total Debt</t>
        </r>
      </text>
    </comment>
    <comment ref="D10" authorId="0" shapeId="0" xr:uid="{24E42CFE-3047-43D7-8774-BBA524390E76}">
      <text>
        <r>
          <rPr>
            <sz val="10"/>
            <rFont val="Arial"/>
            <family val="2"/>
          </rPr>
          <t>EBITDA/Net Financing Cost</t>
        </r>
      </text>
    </comment>
    <comment ref="D11" authorId="0" shapeId="0" xr:uid="{E7B79DDD-559D-4F2C-8142-9F1243807A3E}">
      <text>
        <r>
          <rPr>
            <sz val="10"/>
            <rFont val="Arial"/>
            <family val="2"/>
          </rPr>
          <t>Debt/EBITDA</t>
        </r>
      </text>
    </comment>
    <comment ref="D12" authorId="0" shapeId="0" xr:uid="{8A3FDFBD-BA4C-4993-A6A9-259C0261792F}">
      <text>
        <r>
          <rPr>
            <sz val="10"/>
            <rFont val="Arial"/>
            <family val="2"/>
          </rPr>
          <t>Other Assets / Assets</t>
        </r>
      </text>
    </comment>
    <comment ref="I12" authorId="0" shapeId="0" xr:uid="{F684DB51-2626-4225-86DD-0713C81D5A61}">
      <text>
        <r>
          <rPr>
            <sz val="10"/>
            <rFont val="Arial"/>
            <family val="2"/>
          </rPr>
          <t>Net Income</t>
        </r>
      </text>
    </comment>
    <comment ref="B13" authorId="0" shapeId="0" xr:uid="{CEA93693-FA5A-4751-977E-4469FE49620E}">
      <text>
        <r>
          <rPr>
            <sz val="10"/>
            <rFont val="Arial"/>
            <family val="2"/>
          </rPr>
          <t>Holdings
National/International (%)</t>
        </r>
      </text>
    </comment>
    <comment ref="D13" authorId="0" shapeId="0" xr:uid="{A4B91619-95E6-4870-B54D-29934B752391}">
      <text>
        <r>
          <rPr>
            <sz val="10"/>
            <rFont val="Arial"/>
            <family val="2"/>
          </rPr>
          <t>Debt/Assets</t>
        </r>
      </text>
    </comment>
    <comment ref="I13" authorId="0" shapeId="0" xr:uid="{039B8441-C582-4CD8-A24D-E4144206EFAD}">
      <text>
        <r>
          <rPr>
            <sz val="10"/>
            <rFont val="Arial"/>
            <family val="2"/>
          </rPr>
          <t>EPS</t>
        </r>
      </text>
    </comment>
    <comment ref="B14" authorId="0" shapeId="0" xr:uid="{3F91C52E-83A3-491B-9FDB-CF93250E54A8}">
      <text>
        <r>
          <rPr>
            <sz val="10"/>
            <rFont val="Arial"/>
            <family val="2"/>
          </rPr>
          <t xml:space="preserve">Holdings / Volume
</t>
        </r>
      </text>
    </comment>
    <comment ref="D14" authorId="0" shapeId="0" xr:uid="{D4201DB0-58CA-4A67-B876-E49E815F20CD}">
      <text>
        <r>
          <rPr>
            <sz val="10"/>
            <rFont val="Arial"/>
            <family val="2"/>
          </rPr>
          <t>Average operating margin (last 3 years)</t>
        </r>
      </text>
    </comment>
    <comment ref="D15" authorId="0" shapeId="0" xr:uid="{367F4CD7-7111-44E2-B592-ACAAD273E628}">
      <text>
        <r>
          <rPr>
            <sz val="10"/>
            <rFont val="Arial"/>
            <family val="2"/>
          </rPr>
          <t>Average net income margin (last 3 years)</t>
        </r>
      </text>
    </comment>
    <comment ref="D16" authorId="0" shapeId="0" xr:uid="{FBDB87E7-A616-4181-ACAD-25AF503B125D}">
      <text>
        <r>
          <rPr>
            <sz val="10"/>
            <rFont val="Arial"/>
            <family val="2"/>
          </rPr>
          <t>EBITDA/Revenue (last 3 years)</t>
        </r>
      </text>
    </comment>
    <comment ref="I16" authorId="0" shapeId="0" xr:uid="{B0F50467-A513-43D1-B1C6-475F67697B41}">
      <text>
        <r>
          <rPr>
            <sz val="10"/>
            <rFont val="Arial"/>
            <family val="2"/>
          </rPr>
          <t>EBITDA average</t>
        </r>
      </text>
    </comment>
    <comment ref="D17" authorId="0" shapeId="0" xr:uid="{F201A595-6DA2-45DA-A38D-250C28D5B8E7}">
      <text>
        <r>
          <rPr>
            <sz val="10"/>
            <rFont val="Arial"/>
            <family val="2"/>
          </rPr>
          <t xml:space="preserve">Net Financing Cost / Net Debt (average 3 years)
</t>
        </r>
      </text>
    </comment>
    <comment ref="I17" authorId="0" shapeId="0" xr:uid="{37CAAC4D-2213-43CE-B77E-C03F1AD533A3}">
      <text>
        <r>
          <rPr>
            <sz val="10"/>
            <rFont val="Arial"/>
            <family val="2"/>
          </rPr>
          <t xml:space="preserve">Net income average
</t>
        </r>
      </text>
    </comment>
    <comment ref="B24" authorId="0" shapeId="0" xr:uid="{A2131D59-10EA-4185-975E-5635164E79B6}">
      <text>
        <r>
          <rPr>
            <sz val="10"/>
            <rFont val="Arial"/>
            <family val="2"/>
          </rPr>
          <t>Key Success Factors</t>
        </r>
      </text>
    </comment>
    <comment ref="I24" authorId="0" shapeId="0" xr:uid="{2CBE285B-A609-4D30-91C6-92262BA9EEC2}">
      <text>
        <r>
          <rPr>
            <sz val="10"/>
            <rFont val="Arial"/>
            <family val="2"/>
          </rPr>
          <t>Discount rate</t>
        </r>
      </text>
    </comment>
    <comment ref="C25" authorId="0" shapeId="0" xr:uid="{CDDAE73E-BE7E-415C-ADFF-9D323102BF78}">
      <text>
        <r>
          <rPr>
            <sz val="10"/>
            <rFont val="Arial"/>
            <family val="2"/>
          </rPr>
          <t>Revenues</t>
        </r>
      </text>
    </comment>
    <comment ref="D25" authorId="0" shapeId="0" xr:uid="{41801106-02B2-4255-ABF2-C2F2FEEF4D4E}">
      <text>
        <r>
          <rPr>
            <sz val="10"/>
            <rFont val="Arial"/>
            <family val="2"/>
          </rPr>
          <t>Operating Margin</t>
        </r>
      </text>
    </comment>
    <comment ref="E25" authorId="0" shapeId="0" xr:uid="{F3CE65E2-8128-4A22-A80F-AF06F0429498}">
      <text>
        <r>
          <rPr>
            <sz val="10"/>
            <rFont val="Arial"/>
            <family val="2"/>
          </rPr>
          <t>Dividends + Purchases</t>
        </r>
      </text>
    </comment>
    <comment ref="F25" authorId="0" shapeId="0" xr:uid="{B2E13509-C76F-45A4-ACB8-9382015228F1}">
      <text>
        <r>
          <rPr>
            <sz val="10"/>
            <rFont val="Arial"/>
            <family val="2"/>
          </rPr>
          <t>Changes in cash + dividends + share buybacks</t>
        </r>
      </text>
    </comment>
    <comment ref="G25" authorId="0" shapeId="0" xr:uid="{1A1CF2F3-0CEA-4328-BE9C-D9D4B320C2BB}">
      <text>
        <r>
          <rPr>
            <sz val="10"/>
            <rFont val="Arial"/>
            <family val="2"/>
          </rPr>
          <t>Debt/Assets</t>
        </r>
      </text>
    </comment>
    <comment ref="J32" authorId="1" shapeId="0" xr:uid="{E176ACA6-287A-49F3-8181-CD3B8909D741}">
      <text>
        <t>[Threaded comment]
Your version of Excel allows you to read this threaded comment; however, any edits to it will get removed if the file is opened in a newer version of Excel. Learn more: https://go.microsoft.com/fwlink/?linkid=870924
Comment:
    ?</t>
      </text>
    </comment>
    <comment ref="I33" authorId="0" shapeId="0" xr:uid="{352F2EA3-3AC0-4D76-B92E-AB207206321A}">
      <text>
        <r>
          <rPr>
            <sz val="10"/>
            <rFont val="Arial"/>
          </rPr>
          <t>Acquisition of MEDIDATA</t>
        </r>
      </text>
    </comment>
    <comment ref="J39" authorId="0" shapeId="0" xr:uid="{6D02C816-0FD3-40D6-A8A5-AFDE600493E5}">
      <text>
        <r>
          <rPr>
            <sz val="10"/>
            <rFont val="Arial"/>
            <family val="2"/>
          </rPr>
          <t>Gain / Loss on Foreign Exchange</t>
        </r>
      </text>
    </comment>
    <comment ref="J41" authorId="0" shapeId="0" xr:uid="{9C4EB76C-06BF-41BA-BECD-2889E96551F9}">
      <text>
        <r>
          <rPr>
            <sz val="10"/>
            <rFont val="Arial"/>
            <family val="2"/>
          </rPr>
          <t>Acquisitions / Change in Revenues</t>
        </r>
      </text>
    </comment>
    <comment ref="J42" authorId="0" shapeId="0" xr:uid="{E03776E6-8881-45C0-8BB0-E9BE04D0F220}">
      <text>
        <r>
          <rPr>
            <sz val="10"/>
            <rFont val="Arial"/>
            <family val="2"/>
          </rPr>
          <t>Capex + Acquisitions - Depreciation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tc={D2501883-7C6B-479D-B827-02B1A3911423}</author>
    <author>tc={67325B86-0323-45F0-8D9F-14E7F5C9A51B}</author>
    <author>tc={4AEA6477-A2F4-4D39-B215-6BCA8FD0AB13}</author>
    <author>tc={C8E8CD6B-5880-4B2F-977E-FBBAD54F5346}</author>
  </authors>
  <commentList>
    <comment ref="B2" authorId="0" shapeId="0" xr:uid="{D2501883-7C6B-479D-B827-02B1A3911423}">
      <text>
        <t>[Threaded comment]
Your version of Excel allows you to read this threaded comment; however, any edits to it will get removed if the file is opened in a newer version of Excel. Learn more: https://go.microsoft.com/fwlink/?linkid=870924
Comment:
    Mudar para 24 e 23</t>
      </text>
    </comment>
    <comment ref="B17" authorId="1" shapeId="0" xr:uid="{67325B86-0323-45F0-8D9F-14E7F5C9A51B}">
      <text>
        <t>[Threaded comment]
Your version of Excel allows you to read this threaded comment; however, any edits to it will get removed if the file is opened in a newer version of Excel. Learn more: https://go.microsoft.com/fwlink/?linkid=870924
Comment:
    Includes CATIA, ENOVIA, SIMULIA, DELMIA, GEOVIA, NETVIBES, and 3DEXCITE brands</t>
      </text>
    </comment>
    <comment ref="B18" authorId="2" shapeId="0" xr:uid="{4AEA6477-A2F4-4D39-B215-6BCA8FD0AB13}">
      <text>
        <t>[Threaded comment]
Your version of Excel allows you to read this threaded comment; however, any edits to it will get removed if the file is opened in a newer version of Excel. Learn more: https://go.microsoft.com/fwlink/?linkid=870924
Comment:
    Includes MEDIDATA and BIOVIA brands;</t>
      </text>
    </comment>
    <comment ref="B19" authorId="3" shapeId="0" xr:uid="{C8E8CD6B-5880-4B2F-977E-FBBAD54F5346}">
      <text>
        <t>[Threaded comment]
Your version of Excel allows you to read this threaded comment; however, any edits to it will get removed if the file is opened in a newer version of Excel. Learn more: https://go.microsoft.com/fwlink/?linkid=870924
Comment:
    Includes its CENTRIC PLM and 3DVIA brands, as well as its 3DEXPERIENCE WORKS family which includes the SOLIDWORKS brand.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tc={E8393CB8-8E91-466F-88B3-CAD656C13591}</author>
    <author>tc={C9A25370-489E-469E-984B-6A91D8065356}</author>
    <author>tc={C54E3542-C8DD-4C6D-8A54-78A768903D67}</author>
    <author>tc={C261F9A5-EC9B-4B08-BEBB-2A8125CB2962}</author>
    <author>tc={E0208AB2-7E46-4E32-934D-2070E38382C6}</author>
    <author>tc={C8F3BEB8-DE33-4460-A38A-F215EBD9C8DF}</author>
    <author>tc={5BA5589C-7ECA-40FB-AC27-997873B5426F}</author>
    <author>tc={A8897D98-7BC7-4559-BCD8-F4D683E3AA97}</author>
    <author>tc={07C61CF4-BE7E-48CC-96C9-AF1235170098}</author>
    <author>tc={45A27B21-F661-42D1-BA40-42EA9194E2C3}</author>
  </authors>
  <commentList>
    <comment ref="D3" authorId="0" shapeId="0" xr:uid="{E8393CB8-8E91-466F-88B3-CAD656C13591}">
      <text>
        <t>[Threaded comment]
Your version of Excel allows you to read this threaded comment; however, any edits to it will get removed if the file is opened in a newer version of Excel. Learn more: https://go.microsoft.com/fwlink/?linkid=870924
Comment:
    Siemens AG is included as a peer for Dassault Systèmes due to its Digital Industries division, which competes directly in the industrial software market. Both companies offer solutions in Product Lifecycle Management, industrial automation, and digital twin technologies, targeting similar industries such as automotive, aerospace, and machinery. Despite Siemens’ larger size and diversified operations, its software segment overlaps significantly with Dassault Systèmes’ core business, making it a relevant competitor for benchmarking performance and market position.</t>
      </text>
    </comment>
    <comment ref="D4" authorId="1" shapeId="0" xr:uid="{C9A25370-489E-469E-984B-6A91D8065356}">
      <text>
        <t>[Threaded comment]
Your version of Excel allows you to read this threaded comment; however, any edits to it will get removed if the file is opened in a newer version of Excel. Learn more: https://go.microsoft.com/fwlink/?linkid=870924
Comment:
    Diversified operations across multiple industries.</t>
      </text>
    </comment>
    <comment ref="D5" authorId="2" shapeId="0" xr:uid="{C54E3542-C8DD-4C6D-8A54-78A768903D67}">
      <text>
        <t>[Threaded comment]
Your version of Excel allows you to read this threaded comment; however, any edits to it will get removed if the file is opened in a newer version of Excel. Learn more: https://go.microsoft.com/fwlink/?linkid=870924
Comment:
    Mature markets with slower expansion.</t>
      </text>
    </comment>
    <comment ref="C11" authorId="3" shapeId="0" xr:uid="{C261F9A5-EC9B-4B08-BEBB-2A8125CB2962}">
      <text>
        <t>[Threaded comment]
Your version of Excel allows you to read this threaded comment; however, any edits to it will get removed if the file is opened in a newer version of Excel. Learn more: https://go.microsoft.com/fwlink/?linkid=870924
Comment:
    Aggressive growth strategy.</t>
      </text>
    </comment>
    <comment ref="D14" authorId="4" shapeId="0" xr:uid="{E0208AB2-7E46-4E32-934D-2070E38382C6}">
      <text>
        <t>[Threaded comment]
Your version of Excel allows you to read this threaded comment; however, any edits to it will get removed if the file is opened in a newer version of Excel. Learn more: https://go.microsoft.com/fwlink/?linkid=870924
Comment:
    Broader business with lower-margin sectors.</t>
      </text>
    </comment>
    <comment ref="C16" authorId="5" shapeId="0" xr:uid="{C8F3BEB8-DE33-4460-A38A-F215EBD9C8DF}">
      <text>
        <t>[Threaded comment]
Your version of Excel allows you to read this threaded comment; however, any edits to it will get removed if the file is opened in a newer version of Excel. Learn more: https://go.microsoft.com/fwlink/?linkid=870924
Comment:
    High liquidity due to most shares being publicly traded.</t>
      </text>
    </comment>
    <comment ref="C17" authorId="6" shapeId="0" xr:uid="{5BA5589C-7ECA-40FB-AC27-997873B5426F}">
      <text>
        <t>[Threaded comment]
Your version of Excel allows you to read this threaded comment; however, any edits to it will get removed if the file is opened in a newer version of Excel. Learn more: https://go.microsoft.com/fwlink/?linkid=870924
Comment:
    Growth-focused, higher-risk stock.</t>
      </text>
    </comment>
    <comment ref="D17" authorId="7" shapeId="0" xr:uid="{A8897D98-7BC7-4559-BCD8-F4D683E3AA97}">
      <text>
        <t>[Threaded comment]
Your version of Excel allows you to read this threaded comment; however, any edits to it will get removed if the file is opened in a newer version of Excel. Learn more: https://go.microsoft.com/fwlink/?linkid=870924
Comment:
    Sensitivity to market fluctuations in diverse industries.</t>
      </text>
    </comment>
    <comment ref="C18" authorId="8" shapeId="0" xr:uid="{07C61CF4-BE7E-48CC-96C9-AF1235170098}">
      <text>
        <t>[Threaded comment]
Your version of Excel allows you to read this threaded comment; however, any edits to it will get removed if the file is opened in a newer version of Excel. Learn more: https://go.microsoft.com/fwlink/?linkid=870924
Comment:
    High growth expectations from the market.</t>
      </text>
    </comment>
    <comment ref="D22" authorId="9" shapeId="0" xr:uid="{45A27B21-F661-42D1-BA40-42EA9194E2C3}">
      <text>
        <t>[Threaded comment]
Your version of Excel allows you to read this threaded comment; however, any edits to it will get removed if the file is opened in a newer version of Excel. Learn more: https://go.microsoft.com/fwlink/?linkid=870924
Comment:
    Mature company with stable cash flows.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林伊婧</author>
  </authors>
  <commentList>
    <comment ref="C3" authorId="0" shapeId="0" xr:uid="{00000000-0006-0000-0500-000001000000}">
      <text>
        <r>
          <rPr>
            <b/>
            <sz val="10"/>
            <color rgb="FF000000"/>
            <rFont val="Tahoma"/>
            <family val="2"/>
          </rPr>
          <t>Impact, scale from: none,low,medium and high</t>
        </r>
      </text>
    </comment>
    <comment ref="D3" authorId="0" shapeId="0" xr:uid="{00000000-0006-0000-0500-000002000000}">
      <text>
        <r>
          <rPr>
            <b/>
            <sz val="10"/>
            <color rgb="FF000000"/>
            <rFont val="Tahoma"/>
            <family val="2"/>
          </rPr>
          <t>Does the company report? Yes/No</t>
        </r>
        <r>
          <rPr>
            <sz val="10"/>
            <color rgb="FF000000"/>
            <rFont val="Tahoma"/>
            <family val="2"/>
          </rPr>
          <t xml:space="preserve">
</t>
        </r>
      </text>
    </comment>
    <comment ref="F3" authorId="0" shapeId="0" xr:uid="{00000000-0006-0000-0500-000003000000}">
      <text>
        <r>
          <rPr>
            <b/>
            <sz val="10"/>
            <color rgb="FF000000"/>
            <rFont val="Tahoma"/>
            <family val="2"/>
          </rPr>
          <t>Mitigation plan
yes/no</t>
        </r>
      </text>
    </comment>
    <comment ref="G3" authorId="0" shapeId="0" xr:uid="{00000000-0006-0000-0500-000004000000}">
      <text>
        <r>
          <rPr>
            <b/>
            <sz val="10"/>
            <color rgb="FF000000"/>
            <rFont val="Tahoma"/>
            <family val="2"/>
          </rPr>
          <t>Traffic lights</t>
        </r>
      </text>
    </comment>
    <comment ref="H3" authorId="0" shapeId="0" xr:uid="{00000000-0006-0000-0500-000005000000}">
      <text>
        <r>
          <rPr>
            <b/>
            <sz val="10"/>
            <color rgb="FF000000"/>
            <rFont val="Tahoma"/>
            <family val="2"/>
          </rPr>
          <t>Comments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600-000001000000}">
      <text>
        <r>
          <rPr>
            <sz val="9"/>
            <color indexed="81"/>
            <rFont val="Tahoma"/>
            <family val="2"/>
          </rPr>
          <t>Real al 3Q 2021</t>
        </r>
      </text>
    </comment>
    <comment ref="D38" authorId="0" shapeId="0" xr:uid="{00000000-0006-0000-0600-000002000000}">
      <text>
        <r>
          <rPr>
            <sz val="9"/>
            <color indexed="81"/>
            <rFont val="Tahoma"/>
            <family val="2"/>
          </rPr>
          <t>Tienen 30.2% al 3Q 2021</t>
        </r>
      </text>
    </comment>
    <comment ref="D42" authorId="0" shapeId="0" xr:uid="{00000000-0006-0000-0600-000003000000}">
      <text>
        <r>
          <rPr>
            <sz val="9"/>
            <color indexed="81"/>
            <rFont val="Tahoma"/>
            <family val="2"/>
          </rPr>
          <t xml:space="preserve">siempre han traído productos financieros… </t>
        </r>
      </text>
    </comment>
    <comment ref="D43" authorId="1" shapeId="0" xr:uid="{00000000-0006-0000-06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MARIANA LIU E ZHU</author>
  </authors>
  <commentList>
    <comment ref="J5" authorId="0" shapeId="0" xr:uid="{4D5B78F1-D858-4C98-8B00-F9BC28571FB4}">
      <text>
        <r>
          <rPr>
            <sz val="10"/>
            <rFont val="Arial"/>
            <family val="2"/>
          </rPr>
          <t xml:space="preserve">Grand View Research forecast for softwares </t>
        </r>
      </text>
    </comment>
    <comment ref="H6" authorId="0" shapeId="0" xr:uid="{6DE99CDD-CC8F-415F-8860-10485106003C}">
      <text>
        <r>
          <rPr>
            <sz val="10"/>
            <rFont val="Arial"/>
            <family val="2"/>
          </rPr>
          <t>Analysts consensus
Also according to their guidance</t>
        </r>
      </text>
    </comment>
    <comment ref="I6" authorId="0" shapeId="0" xr:uid="{796949A4-B8CA-4530-9F91-DF7F1E528745}">
      <text>
        <r>
          <rPr>
            <sz val="10"/>
            <rFont val="Arial"/>
            <family val="2"/>
          </rPr>
          <t>Analysts consensus</t>
        </r>
      </text>
    </comment>
    <comment ref="G19" authorId="0" shapeId="0" xr:uid="{CF3658D9-3A25-43D0-BE4D-3011075730BD}">
      <text>
        <r>
          <rPr>
            <sz val="10"/>
            <rFont val="Arial"/>
            <family val="2"/>
          </rPr>
          <t>Estimate, not yet disclosed
75% of share based compensation and other social charges, based on 2023</t>
        </r>
      </text>
    </comment>
    <comment ref="Q27" authorId="1" shapeId="0" xr:uid="{0A1D7559-9A29-40D0-95B7-53B24D6A6375}">
      <text>
        <r>
          <rPr>
            <sz val="10"/>
            <rFont val="Arial"/>
            <family val="2"/>
          </rPr>
          <t xml:space="preserve">Long-Term estimate
</t>
        </r>
      </text>
    </comment>
    <comment ref="I37" authorId="0" shapeId="0" xr:uid="{E61EFF6D-6439-466E-B96A-01228B012D9C}">
      <text>
        <r>
          <rPr>
            <sz val="10"/>
            <rFont val="Arial"/>
            <family val="2"/>
          </rPr>
          <t>9000M debt maturity according to debt schedule</t>
        </r>
      </text>
    </comment>
    <comment ref="L37" authorId="0" shapeId="0" xr:uid="{9321FAF7-0A57-4328-A001-D4322D2A2047}">
      <text>
        <r>
          <rPr>
            <sz val="10"/>
            <rFont val="Arial"/>
            <family val="2"/>
          </rPr>
          <t>1150MM debt maturity according to debt schedule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林伊婧</author>
    <author>tc={085F923D-9616-4521-AC66-92CC8D4160CE}</author>
    <author>tc={076A12B7-8855-4640-AA13-B5A42940DDFE}</author>
    <author>tc={748437EA-F7DB-4E83-B291-671469BC39A1}</author>
    <author>tc={E9F5EFD8-6404-4FC4-90D2-6152B7723F99}</author>
    <author>tc={5C313722-3A1D-474F-A552-AD834D4B174B}</author>
    <author>tc={8772B72D-B3DE-423E-80B8-F51E3F94D224}</author>
    <author>tc={D7DD2854-4D35-4856-823A-FAF52E9403FE}</author>
    <author>tc={3D0DFDFD-1253-4A51-A460-B1C675EE79E0}</author>
  </authors>
  <commentList>
    <comment ref="A6" authorId="0" shapeId="0" xr:uid="{00000000-0006-0000-0900-000001000000}">
      <text>
        <r>
          <rPr>
            <b/>
            <sz val="10"/>
            <color rgb="FF000000"/>
            <rFont val="Tahoma"/>
            <family val="2"/>
          </rPr>
          <t>Net Sales</t>
        </r>
      </text>
    </comment>
    <comment ref="K6" authorId="1" shapeId="0" xr:uid="{085F923D-9616-4521-AC66-92CC8D4160CE}">
      <text>
        <t>[Threaded comment]
Your version of Excel allows you to read this threaded comment; however, any edits to it will get removed if the file is opened in a newer version of Excel. Learn more: https://go.microsoft.com/fwlink/?linkid=870924
Comment:
    Transition to a subscription-based model and increase in the demand for software</t>
      </text>
    </comment>
    <comment ref="A7" authorId="0" shapeId="0" xr:uid="{00000000-0006-0000-0900-000002000000}">
      <text>
        <r>
          <rPr>
            <b/>
            <sz val="10"/>
            <color rgb="FF000000"/>
            <rFont val="Tahoma"/>
            <family val="2"/>
          </rPr>
          <t>Gross Profit</t>
        </r>
      </text>
    </comment>
    <comment ref="B7" authorId="2" shapeId="0" xr:uid="{076A12B7-8855-4640-AA13-B5A42940DDFE}">
      <text>
        <t>[Threaded comment]
Your version of Excel allows you to read this threaded comment; however, any edits to it will get removed if the file is opened in a newer version of Excel. Learn more: https://go.microsoft.com/fwlink/?linkid=870924
Comment:
    Strong performance in the Life Sciences and Industrial Innovation segments</t>
      </text>
    </comment>
    <comment ref="A8" authorId="0" shapeId="0" xr:uid="{00000000-0006-0000-0900-000003000000}">
      <text>
        <r>
          <rPr>
            <b/>
            <sz val="10"/>
            <color rgb="FF000000"/>
            <rFont val="Tahoma"/>
            <family val="2"/>
          </rPr>
          <t>Operating income</t>
        </r>
      </text>
    </comment>
    <comment ref="F8" authorId="3" shapeId="0" xr:uid="{748437EA-F7DB-4E83-B291-671469BC39A1}">
      <text>
        <t xml:space="preserve">[Threaded comment]
Your version of Excel allows you to read this threaded comment; however, any edits to it will get removed if the file is opened in a newer version of Excel. Learn more: https://go.microsoft.com/fwlink/?linkid=870924
Comment:
    COVID-19 Pandemic
</t>
      </text>
    </comment>
    <comment ref="A9" authorId="0" shapeId="0" xr:uid="{00000000-0006-0000-0900-000004000000}">
      <text>
        <r>
          <rPr>
            <b/>
            <sz val="10"/>
            <color rgb="FF000000"/>
            <rFont val="Tahoma"/>
            <family val="2"/>
          </rPr>
          <t>Net financial cost</t>
        </r>
      </text>
    </comment>
    <comment ref="F9" authorId="4" shapeId="0" xr:uid="{E9F5EFD8-6404-4FC4-90D2-6152B7723F99}">
      <text>
        <t>[Threaded comment]
Your version of Excel allows you to read this threaded comment; however, any edits to it will get removed if the file is opened in a newer version of Excel. Learn more: https://go.microsoft.com/fwlink/?linkid=870924
Comment:
    Scaling cloud infrastructure and transitioning to a SaaS model</t>
      </text>
    </comment>
    <comment ref="A10" authorId="0" shapeId="0" xr:uid="{00000000-0006-0000-0900-000005000000}">
      <text>
        <r>
          <rPr>
            <b/>
            <sz val="10"/>
            <color rgb="FF000000"/>
            <rFont val="Tahoma"/>
            <family val="2"/>
          </rPr>
          <t>Other expenses (income)</t>
        </r>
      </text>
    </comment>
    <comment ref="A11" authorId="0" shapeId="0" xr:uid="{00000000-0006-0000-0900-000006000000}">
      <text>
        <r>
          <rPr>
            <b/>
            <sz val="10"/>
            <color rgb="FF000000"/>
            <rFont val="Tahoma"/>
            <family val="2"/>
          </rPr>
          <t>Depreciation and amortization</t>
        </r>
      </text>
    </comment>
    <comment ref="G11" authorId="5" shapeId="0" xr:uid="{5C313722-3A1D-474F-A552-AD834D4B174B}">
      <text>
        <t>[Threaded comment]
Your version of Excel allows you to read this threaded comment; however, any edits to it will get removed if the file is opened in a newer version of Excel. Learn more: https://go.microsoft.com/fwlink/?linkid=870924
Comment:
    Acquisition of Medidata Solutions</t>
      </text>
    </comment>
    <comment ref="A12" authorId="0" shapeId="0" xr:uid="{00000000-0006-0000-0900-000007000000}">
      <text>
        <r>
          <rPr>
            <b/>
            <sz val="10"/>
            <color rgb="FF000000"/>
            <rFont val="Tahoma"/>
            <family val="2"/>
          </rPr>
          <t>Working Capital</t>
        </r>
      </text>
    </comment>
    <comment ref="E12" authorId="6" shapeId="0" xr:uid="{8772B72D-B3DE-423E-80B8-F51E3F94D224}">
      <text>
        <t>[Threaded comment]
Your version of Excel allows you to read this threaded comment; however, any edits to it will get removed if the file is opened in a newer version of Excel. Learn more: https://go.microsoft.com/fwlink/?linkid=870924
Comment:
    Deferred payments due to the pandemic</t>
      </text>
    </comment>
    <comment ref="A14" authorId="0" shapeId="0" xr:uid="{00000000-0006-0000-0900-000008000000}">
      <text>
        <r>
          <rPr>
            <b/>
            <sz val="10"/>
            <color rgb="FF000000"/>
            <rFont val="Tahoma"/>
            <family val="2"/>
          </rPr>
          <t>Investments</t>
        </r>
      </text>
    </comment>
    <comment ref="G14" authorId="7" shapeId="0" xr:uid="{D7DD2854-4D35-4856-823A-FAF52E9403FE}">
      <text>
        <t>[Threaded comment]
Your version of Excel allows you to read this threaded comment; however, any edits to it will get removed if the file is opened in a newer version of Excel. Learn more: https://go.microsoft.com/fwlink/?linkid=870924
Comment:
    Acquisition of Medidata Solutions</t>
      </text>
    </comment>
    <comment ref="A16" authorId="0" shapeId="0" xr:uid="{00000000-0006-0000-0900-000009000000}">
      <text>
        <r>
          <rPr>
            <b/>
            <sz val="10"/>
            <color rgb="FF000000"/>
            <rFont val="Tahoma"/>
            <family val="2"/>
          </rPr>
          <t>Net income</t>
        </r>
      </text>
    </comment>
    <comment ref="A17" authorId="0" shapeId="0" xr:uid="{00000000-0006-0000-0900-00000A000000}">
      <text>
        <r>
          <rPr>
            <b/>
            <sz val="10"/>
            <color rgb="FF000000"/>
            <rFont val="Tahoma"/>
            <family val="2"/>
          </rPr>
          <t>Dividens</t>
        </r>
      </text>
    </comment>
    <comment ref="H17" authorId="8" shapeId="0" xr:uid="{3D0DFDFD-1253-4A51-A460-B1C675EE79E0}">
      <text>
        <t>[Threaded comment]
Your version of Excel allows you to read this threaded comment; however, any edits to it will get removed if the file is opened in a newer version of Excel. Learn more: https://go.microsoft.com/fwlink/?linkid=870924
Comment:
    Reinvestment of earnings into growth initiatives, such as R&amp;D or acquisitions</t>
      </text>
    </comment>
    <comment ref="A18" authorId="0" shapeId="0" xr:uid="{00000000-0006-0000-0900-00000B000000}">
      <text>
        <r>
          <rPr>
            <b/>
            <sz val="10"/>
            <color rgb="FF000000"/>
            <rFont val="Tahoma"/>
            <family val="2"/>
          </rPr>
          <t>Purchase of shares</t>
        </r>
      </text>
    </comment>
    <comment ref="A22" authorId="0" shapeId="0" xr:uid="{00000000-0006-0000-0900-00000C000000}">
      <text>
        <r>
          <rPr>
            <b/>
            <sz val="10"/>
            <color rgb="FF000000"/>
            <rFont val="Tahoma"/>
            <family val="2"/>
          </rPr>
          <t>Cash &amp; equivalents</t>
        </r>
      </text>
    </comment>
    <comment ref="A23" authorId="0" shapeId="0" xr:uid="{00000000-0006-0000-0900-00000D000000}">
      <text>
        <r>
          <rPr>
            <b/>
            <sz val="10"/>
            <color rgb="FF000000"/>
            <rFont val="Tahoma"/>
            <family val="2"/>
          </rPr>
          <t>Accounts receivables</t>
        </r>
      </text>
    </comment>
    <comment ref="A24" authorId="0" shapeId="0" xr:uid="{00000000-0006-0000-0900-00000E000000}">
      <text>
        <r>
          <rPr>
            <b/>
            <sz val="10"/>
            <color rgb="FF000000"/>
            <rFont val="Tahoma"/>
            <family val="2"/>
          </rPr>
          <t>Inventories</t>
        </r>
      </text>
    </comment>
    <comment ref="A25" authorId="0" shapeId="0" xr:uid="{00000000-0006-0000-0900-00000F000000}">
      <text>
        <r>
          <rPr>
            <b/>
            <sz val="10"/>
            <color rgb="FF000000"/>
            <rFont val="Tahoma"/>
            <family val="2"/>
          </rPr>
          <t>PP&amp;E (net)</t>
        </r>
      </text>
    </comment>
    <comment ref="A26" authorId="0" shapeId="0" xr:uid="{00000000-0006-0000-0900-000010000000}">
      <text>
        <r>
          <rPr>
            <b/>
            <sz val="10"/>
            <color rgb="FF000000"/>
            <rFont val="Tahoma"/>
            <family val="2"/>
          </rPr>
          <t>Other assets</t>
        </r>
      </text>
    </comment>
    <comment ref="A27" authorId="0" shapeId="0" xr:uid="{00000000-0006-0000-0900-000011000000}">
      <text>
        <r>
          <rPr>
            <b/>
            <sz val="10"/>
            <color rgb="FF000000"/>
            <rFont val="Tahoma"/>
            <family val="2"/>
          </rPr>
          <t>Total assets</t>
        </r>
      </text>
    </comment>
    <comment ref="A31" authorId="0" shapeId="0" xr:uid="{00000000-0006-0000-0900-000012000000}">
      <text>
        <r>
          <rPr>
            <b/>
            <sz val="10"/>
            <color rgb="FF000000"/>
            <rFont val="Tahoma"/>
            <family val="2"/>
          </rPr>
          <t>Current liabilities</t>
        </r>
      </text>
    </comment>
    <comment ref="A32" authorId="0" shapeId="0" xr:uid="{00000000-0006-0000-0900-000013000000}">
      <text>
        <r>
          <rPr>
            <b/>
            <sz val="10"/>
            <color rgb="FF000000"/>
            <rFont val="Tahoma"/>
            <family val="2"/>
          </rPr>
          <t>short-term debt</t>
        </r>
      </text>
    </comment>
    <comment ref="A34" authorId="0" shapeId="0" xr:uid="{00000000-0006-0000-0900-000014000000}">
      <text>
        <r>
          <rPr>
            <b/>
            <sz val="10"/>
            <color rgb="FF000000"/>
            <rFont val="Tahoma"/>
            <family val="2"/>
          </rPr>
          <t>Other current liabilities</t>
        </r>
      </text>
    </comment>
    <comment ref="A35" authorId="0" shapeId="0" xr:uid="{00000000-0006-0000-0900-000015000000}">
      <text>
        <r>
          <rPr>
            <b/>
            <sz val="10"/>
            <color rgb="FF000000"/>
            <rFont val="Tahoma"/>
            <family val="2"/>
          </rPr>
          <t>Non-current liabilities</t>
        </r>
      </text>
    </comment>
    <comment ref="A36" authorId="0" shapeId="0" xr:uid="{00000000-0006-0000-0900-000016000000}">
      <text>
        <r>
          <rPr>
            <b/>
            <sz val="10"/>
            <color rgb="FF000000"/>
            <rFont val="Tahoma"/>
            <family val="2"/>
          </rPr>
          <t>Long-term debt</t>
        </r>
      </text>
    </comment>
    <comment ref="A38" authorId="0" shapeId="0" xr:uid="{00000000-0006-0000-0900-000017000000}">
      <text>
        <r>
          <rPr>
            <b/>
            <sz val="10"/>
            <color rgb="FF000000"/>
            <rFont val="Tahoma"/>
            <family val="2"/>
          </rPr>
          <t>Other non-current liabilities</t>
        </r>
      </text>
    </comment>
    <comment ref="A39" authorId="0" shapeId="0" xr:uid="{47E13BBF-9F1A-490F-B4A4-9953E91004F6}">
      <text>
        <r>
          <rPr>
            <b/>
            <sz val="10"/>
            <color rgb="FF000000"/>
            <rFont val="Tahoma"/>
            <family val="2"/>
          </rPr>
          <t>Non-current liabilities</t>
        </r>
      </text>
    </comment>
    <comment ref="A42" authorId="0" shapeId="0" xr:uid="{00000000-0006-0000-0900-000019000000}">
      <text>
        <r>
          <rPr>
            <b/>
            <sz val="10"/>
            <color rgb="FF000000"/>
            <rFont val="Tahoma"/>
            <family val="2"/>
          </rPr>
          <t>Minority Interest</t>
        </r>
      </text>
    </comment>
    <comment ref="A44" authorId="0" shapeId="0" xr:uid="{00000000-0006-0000-0900-00001A000000}">
      <text>
        <r>
          <rPr>
            <b/>
            <sz val="10"/>
            <color rgb="FF000000"/>
            <rFont val="Tahoma"/>
            <family val="2"/>
          </rPr>
          <t>Shareholder's equity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<sst xmlns="http://schemas.openxmlformats.org/spreadsheetml/2006/main" count="770" uniqueCount="513">
  <si>
    <t>(26/02/2025)</t>
  </si>
  <si>
    <t>Analista: LIS</t>
  </si>
  <si>
    <t>Annual Report 2024</t>
  </si>
  <si>
    <t>Euronext Paris</t>
  </si>
  <si>
    <t>SIC: sí</t>
  </si>
  <si>
    <r>
      <rPr>
        <b/>
        <sz val="9.5"/>
        <color rgb="FF000000"/>
        <rFont val="Arial"/>
        <family val="2"/>
      </rPr>
      <t xml:space="preserve">DESCRIPTION: </t>
    </r>
    <r>
      <rPr>
        <sz val="9.5"/>
        <color rgb="FF000000"/>
        <rFont val="Arial"/>
        <family val="2"/>
      </rPr>
      <t>Dassault Systèmes SE is a French company that provides software solutions for 3D design, simulation, data management, and product lifecycle management across various industries. Its key offerings include SOLIDWORKS, CATIA, SIMULIA, and the 3DEXPERIENCE platform</t>
    </r>
  </si>
  <si>
    <r>
      <rPr>
        <b/>
        <sz val="9.5"/>
        <color rgb="FF000000"/>
        <rFont val="Arial"/>
        <family val="2"/>
      </rPr>
      <t xml:space="preserve">CEO &amp; BOARD: </t>
    </r>
    <r>
      <rPr>
        <sz val="9.5"/>
        <color rgb="FF000000"/>
        <rFont val="Arial"/>
        <family val="2"/>
      </rPr>
      <t xml:space="preserve">Pascal Daloz (CEO s.2024; 54;dir.s. 2020); Bernard Charlès (67; dir.s. 1993; Ex. Chairman of the Board of Directors, CEO from 1995 to 2022); Charles Edelstenne (86, , dir.s. 1993, Founder &amp; Honorary Chairman); *Geneviève Berger(69, ,dir.s.2023, Indep. dir &amp; Lead director of Sustainable Development); *Xavier Cauchois(66, , dir.s. 2018, Indep. dir); Catherine Dassault(56, ,dir.s. 2016, dir); *Laurence Daures(50, ,dir.s.2016, Indep. dir. &amp; Lead indep. dir); *Odile Desforges(74, , dir.s.2013, indep. dir); *Soumitra Dutta(60, , dir.s.2017, indep. dir); Olivier  Costa de Beauregard(65; , dir.) </t>
    </r>
    <r>
      <rPr>
        <sz val="9.5"/>
        <color rgb="FF00B050"/>
        <rFont val="Arial"/>
        <family val="2"/>
      </rPr>
      <t>Anne-Laure Chevalier</t>
    </r>
    <r>
      <rPr>
        <sz val="9.5"/>
        <color rgb="FF000000"/>
        <rFont val="Arial"/>
        <family val="2"/>
      </rPr>
      <t xml:space="preserve">( , emp. repre); </t>
    </r>
    <r>
      <rPr>
        <sz val="9.5"/>
        <color rgb="FF00B050"/>
        <rFont val="Arial"/>
        <family val="2"/>
      </rPr>
      <t xml:space="preserve"> Christine Defert</t>
    </r>
    <r>
      <rPr>
        <sz val="9.5"/>
        <color rgb="FF000000"/>
        <rFont val="Arial"/>
        <family val="2"/>
      </rPr>
      <t>( emp.repre)</t>
    </r>
  </si>
  <si>
    <t>Milliones de USD</t>
  </si>
  <si>
    <t>Acción</t>
  </si>
  <si>
    <t>Liquidez y Solvencia</t>
  </si>
  <si>
    <t>Regiones (2023)</t>
  </si>
  <si>
    <t>Rentabilidad (2024)</t>
  </si>
  <si>
    <t>Múltiplos</t>
  </si>
  <si>
    <t>Último Precio</t>
  </si>
  <si>
    <t>Activo:</t>
  </si>
  <si>
    <t>%Vts; %Op.Mg.; Change</t>
  </si>
  <si>
    <t>Año termina:</t>
  </si>
  <si>
    <t>31/12/2024</t>
  </si>
  <si>
    <t>Float:</t>
  </si>
  <si>
    <t>Outstanding Shares</t>
  </si>
  <si>
    <t>Pasivo:</t>
  </si>
  <si>
    <t>Insiders Own:</t>
  </si>
  <si>
    <t>Market Cap.</t>
  </si>
  <si>
    <t>Cash/Precio</t>
  </si>
  <si>
    <t>EBIT</t>
  </si>
  <si>
    <r>
      <t xml:space="preserve">b </t>
    </r>
    <r>
      <rPr>
        <sz val="10"/>
        <rFont val="Arial"/>
        <family val="2"/>
      </rPr>
      <t>(Bloomberg; Yahoo)</t>
    </r>
  </si>
  <si>
    <t>0,82</t>
  </si>
  <si>
    <t>+Deuda Total</t>
  </si>
  <si>
    <t>Ebidta/CIF</t>
  </si>
  <si>
    <t>+Dep&amp;Amort</t>
  </si>
  <si>
    <t>Calificación (S&amp;P)</t>
  </si>
  <si>
    <t>A</t>
  </si>
  <si>
    <t>-Cash</t>
  </si>
  <si>
    <t>Deuda/Ebidta</t>
  </si>
  <si>
    <t>=EBIDTA</t>
  </si>
  <si>
    <t>Precio/Valor en libros</t>
  </si>
  <si>
    <t>=Enterprise Value</t>
  </si>
  <si>
    <t>"Otros activos"/Activo</t>
  </si>
  <si>
    <t>Utilidad Neta</t>
  </si>
  <si>
    <t>FNP(p)/Activos</t>
  </si>
  <si>
    <t>Tenencia % (nac/int'l)</t>
  </si>
  <si>
    <t>Deuda/Activo</t>
  </si>
  <si>
    <t>Productos (2023)</t>
  </si>
  <si>
    <t>UPA</t>
  </si>
  <si>
    <t>Precio/Utilidad(p)</t>
  </si>
  <si>
    <t>t liq. (Pos prom./Vol.)</t>
  </si>
  <si>
    <t>Margen de Operación (p)</t>
  </si>
  <si>
    <t>ROA</t>
  </si>
  <si>
    <t>EV/Activos</t>
  </si>
  <si>
    <t>% Short</t>
  </si>
  <si>
    <t>Margen neto (p)</t>
  </si>
  <si>
    <t>ROIC</t>
  </si>
  <si>
    <t>EV/Ebidta (p)</t>
  </si>
  <si>
    <t>Semáforo ESG</t>
  </si>
  <si>
    <t>Ebidta/Ingresos(p)</t>
  </si>
  <si>
    <t>Ebidta(p)</t>
  </si>
  <si>
    <t>Precio/FNP (p)</t>
  </si>
  <si>
    <t>E</t>
  </si>
  <si>
    <t>CIF/Deuda Neta Promedio</t>
  </si>
  <si>
    <t>Utilidad Neta (p)</t>
  </si>
  <si>
    <t>Bonos 1;5;40a (USD)</t>
  </si>
  <si>
    <t>S</t>
  </si>
  <si>
    <t>FNP (p)</t>
  </si>
  <si>
    <t>TDY(p)/Precio</t>
  </si>
  <si>
    <t>G</t>
  </si>
  <si>
    <t>Tax (p) últ. 5a</t>
  </si>
  <si>
    <t>Div. Yield:</t>
  </si>
  <si>
    <t>Tese de Inversión</t>
  </si>
  <si>
    <t>The decision to sell  is based on a negative DCF valuation, which sets a price target of $23.3, implying a -43% downside compared to the current share price of $37.98. While the software market has strong growth potential, risks related to geopolitical uncertainty, raw material price volatility, and a potential slowdown in demand add further concerns. It is also important to note that the valuation model used was the Dividend Discount Model, which only considers dividends paid and share buybacks, potentially undervaluing the company. If a valuation approach based on Free Cash Flow to the Firm had been used, the price target might have been higher, better reflecting the company's growth potential.</t>
  </si>
  <si>
    <t>SELL</t>
  </si>
  <si>
    <t>VER DCF</t>
  </si>
  <si>
    <t>KSF</t>
  </si>
  <si>
    <t>Tasa de descuento</t>
  </si>
  <si>
    <t>Año</t>
  </si>
  <si>
    <t>Ingresos</t>
  </si>
  <si>
    <t>Margen Operativo</t>
  </si>
  <si>
    <t>Div.+Recompra</t>
  </si>
  <si>
    <t>FNP</t>
  </si>
  <si>
    <t>Depreciación</t>
  </si>
  <si>
    <t>Capex + Adq</t>
  </si>
  <si>
    <t>Cash Flow</t>
  </si>
  <si>
    <t>Cash Flow from Operations (BWC)</t>
  </si>
  <si>
    <t>Working Capital</t>
  </si>
  <si>
    <t>Investing Activities</t>
  </si>
  <si>
    <t>Capex</t>
  </si>
  <si>
    <t>Adquisiones</t>
  </si>
  <si>
    <t>Dividends</t>
  </si>
  <si>
    <t>Stock Repurchases</t>
  </si>
  <si>
    <t>Endeudamiento Neto</t>
  </si>
  <si>
    <t>Otros Financiemientos</t>
  </si>
  <si>
    <t>CAGR</t>
  </si>
  <si>
    <t>FX</t>
  </si>
  <si>
    <t>AAG</t>
  </si>
  <si>
    <t>Change in Cash and Eq.</t>
  </si>
  <si>
    <t>CVAR</t>
  </si>
  <si>
    <t>Inv/Change in Vts</t>
  </si>
  <si>
    <t>Último Año</t>
  </si>
  <si>
    <t>t inversiones; t adq. neto dep.</t>
  </si>
  <si>
    <t>Pros</t>
  </si>
  <si>
    <r>
      <rPr>
        <b/>
        <sz val="10"/>
        <color rgb="FF000000"/>
        <rFont val="Arial"/>
        <family val="2"/>
      </rPr>
      <t xml:space="preserve">Strategic partnerships </t>
    </r>
    <r>
      <rPr>
        <sz val="10"/>
        <color rgb="FF000000"/>
        <rFont val="Arial"/>
        <family val="2"/>
      </rPr>
      <t xml:space="preserve">across various industries to strengthen its market position (Volkswagen; Kupa); </t>
    </r>
    <r>
      <rPr>
        <b/>
        <sz val="10"/>
        <color rgb="FF000000"/>
        <rFont val="Arial"/>
        <family val="2"/>
      </rPr>
      <t>Strong international presence and market reach</t>
    </r>
    <r>
      <rPr>
        <sz val="10"/>
        <color rgb="FF000000"/>
        <rFont val="Arial"/>
        <family val="2"/>
      </rPr>
      <t xml:space="preserve">; </t>
    </r>
    <r>
      <rPr>
        <b/>
        <sz val="10"/>
        <color rgb="FF000000"/>
        <rFont val="Arial"/>
        <family val="2"/>
      </rPr>
      <t>Strong financial performance</t>
    </r>
    <r>
      <rPr>
        <sz val="10"/>
        <color rgb="FF000000"/>
        <rFont val="Arial"/>
        <family val="2"/>
      </rPr>
      <t xml:space="preserve">; </t>
    </r>
    <r>
      <rPr>
        <b/>
        <sz val="10"/>
        <color rgb="FF000000"/>
        <rFont val="Arial"/>
        <family val="2"/>
      </rPr>
      <t xml:space="preserve">Diversified Industry Presence </t>
    </r>
  </si>
  <si>
    <t>Cons</t>
  </si>
  <si>
    <r>
      <rPr>
        <b/>
        <sz val="10"/>
        <color rgb="FF000000"/>
        <rFont val="Arial"/>
        <family val="2"/>
      </rPr>
      <t xml:space="preserve">Complexity of the software </t>
    </r>
    <r>
      <rPr>
        <sz val="10"/>
        <color rgb="FF000000"/>
        <rFont val="Arial"/>
        <family val="2"/>
      </rPr>
      <t>(low trustpilot ratings)</t>
    </r>
  </si>
  <si>
    <t>Riesgos</t>
  </si>
  <si>
    <r>
      <rPr>
        <b/>
        <sz val="10"/>
        <color rgb="FF000000"/>
        <rFont val="Arial"/>
        <family val="2"/>
      </rPr>
      <t>Uncertain global geopolitical, economic and health conditions</t>
    </r>
    <r>
      <rPr>
        <sz val="10"/>
        <color rgb="FF000000"/>
        <rFont val="Arial"/>
        <family val="2"/>
      </rPr>
      <t xml:space="preserve"> may cause some customers to reduce their investments; </t>
    </r>
    <r>
      <rPr>
        <b/>
        <sz val="10"/>
        <color rgb="FF000000"/>
        <rFont val="Arial"/>
        <family val="2"/>
      </rPr>
      <t>Continued pressure or volatility on raw materials and energy prices</t>
    </r>
    <r>
      <rPr>
        <sz val="10"/>
        <color rgb="FF000000"/>
        <rFont val="Arial"/>
        <family val="2"/>
      </rPr>
      <t xml:space="preserve">; </t>
    </r>
    <r>
      <rPr>
        <b/>
        <sz val="10"/>
        <color rgb="FF000000"/>
        <rFont val="Arial"/>
        <family val="2"/>
      </rPr>
      <t>Sales cycle of Dassault Systèmes’ products</t>
    </r>
    <r>
      <rPr>
        <sz val="10"/>
        <color rgb="FF000000"/>
        <rFont val="Arial"/>
        <family val="2"/>
      </rPr>
      <t>;</t>
    </r>
  </si>
  <si>
    <t>Oportunidades</t>
  </si>
  <si>
    <r>
      <rPr>
        <b/>
        <sz val="10"/>
        <color rgb="FF000000"/>
        <rFont val="Arial"/>
        <family val="2"/>
      </rPr>
      <t xml:space="preserve">Software engineering market is expected to grow </t>
    </r>
    <r>
      <rPr>
        <sz val="10"/>
        <color rgb="FF000000"/>
        <rFont val="Arial"/>
        <family val="2"/>
      </rPr>
      <t xml:space="preserve">for the next decade wtith a CAGR=10,2%; </t>
    </r>
    <r>
      <rPr>
        <b/>
        <sz val="10"/>
        <color rgb="FF000000"/>
        <rFont val="Arial"/>
        <family val="2"/>
      </rPr>
      <t xml:space="preserve">The rise of generative AI and LLMs </t>
    </r>
    <r>
      <rPr>
        <sz val="10"/>
        <color rgb="FF000000"/>
        <rFont val="Arial"/>
        <family val="2"/>
      </rPr>
      <t>will allow to cut costs (jobs decreasing) and expansion opportunities</t>
    </r>
  </si>
  <si>
    <r>
      <rPr>
        <b/>
        <sz val="7.2"/>
        <color rgb="FFFFFFFF"/>
        <rFont val="Arial"/>
        <family val="2"/>
      </rPr>
      <t xml:space="preserve">Dassault, </t>
    </r>
    <r>
      <rPr>
        <b/>
        <sz val="7.2"/>
        <color rgb="FF4F81BD"/>
        <rFont val="Arial"/>
        <family val="2"/>
      </rPr>
      <t>Autodesk</t>
    </r>
    <r>
      <rPr>
        <b/>
        <sz val="7.2"/>
        <color rgb="FFFFFFFF"/>
        <rFont val="Arial"/>
        <family val="2"/>
      </rPr>
      <t xml:space="preserve">, </t>
    </r>
    <r>
      <rPr>
        <b/>
        <sz val="7.2"/>
        <color rgb="FFFFFF00"/>
        <rFont val="Arial"/>
        <family val="2"/>
      </rPr>
      <t>Siemens</t>
    </r>
    <r>
      <rPr>
        <b/>
        <sz val="7.2"/>
        <color rgb="FFFFFFFF"/>
        <rFont val="Arial"/>
        <family val="2"/>
      </rPr>
      <t xml:space="preserve">, </t>
    </r>
    <r>
      <rPr>
        <b/>
        <sz val="7.2"/>
        <color rgb="FFFF0000"/>
        <rFont val="Arial"/>
        <family val="2"/>
      </rPr>
      <t>Parametric</t>
    </r>
  </si>
  <si>
    <t>CHECKLIST</t>
  </si>
  <si>
    <t>Crescimiento</t>
  </si>
  <si>
    <t>Riesgos Claros</t>
  </si>
  <si>
    <t>ESG</t>
  </si>
  <si>
    <t>Peer Analysis</t>
  </si>
  <si>
    <t>Consenso</t>
  </si>
  <si>
    <t>PO/Stand By</t>
  </si>
  <si>
    <t>(write the peers' names here)</t>
  </si>
  <si>
    <t>NOTES:</t>
  </si>
  <si>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</si>
  <si>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</si>
  <si>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</si>
  <si>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</si>
  <si>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</si>
  <si>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</si>
  <si>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</si>
  <si>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</si>
  <si>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Regions (2024)</t>
  </si>
  <si>
    <t>Ut. Operativa</t>
  </si>
  <si>
    <t>% Vts</t>
  </si>
  <si>
    <t>Margen</t>
  </si>
  <si>
    <t>Crec</t>
  </si>
  <si>
    <t>Americas</t>
  </si>
  <si>
    <t>40% USD</t>
  </si>
  <si>
    <t>Europe</t>
  </si>
  <si>
    <t>38% EUR</t>
  </si>
  <si>
    <t>Asia</t>
  </si>
  <si>
    <t>22% YEN</t>
  </si>
  <si>
    <t>TOTAL</t>
  </si>
  <si>
    <t>Segments (2024)</t>
  </si>
  <si>
    <t>Ut. Op.</t>
  </si>
  <si>
    <t>Industrial Innovation</t>
  </si>
  <si>
    <t>Life Sciences</t>
  </si>
  <si>
    <t>Mainstream Innovation</t>
  </si>
  <si>
    <t>Multiplos (USD)</t>
  </si>
  <si>
    <t>Ventas</t>
  </si>
  <si>
    <t>Crecimiento (1S23/1S22)</t>
  </si>
  <si>
    <t>Crecimiento (1S23/1S19)</t>
  </si>
  <si>
    <t>Deuda</t>
  </si>
  <si>
    <t>Activos</t>
  </si>
  <si>
    <t>Deuda/Activos</t>
  </si>
  <si>
    <t>Deuda/EBITDA</t>
  </si>
  <si>
    <t>(Capex + Adq.)/Revenue</t>
  </si>
  <si>
    <t>ROA (p)</t>
  </si>
  <si>
    <t>ROIC (p)</t>
  </si>
  <si>
    <t>Margen Operativo 2022</t>
  </si>
  <si>
    <t>Float</t>
  </si>
  <si>
    <t>b</t>
  </si>
  <si>
    <t>Precio/Utilidad</t>
  </si>
  <si>
    <t>Precio/Ventas</t>
  </si>
  <si>
    <t>EV/Ebitda</t>
  </si>
  <si>
    <t>*Nota: Estos múltiplos no consideran el promedio de los últimos 3 años, únicamente valores del último año reportado</t>
  </si>
  <si>
    <t>**Cifras en USD</t>
  </si>
  <si>
    <t>(You can make up a table with different indicators in order to link them to the multiples/ratios. At the end, put the table unvisible with white color)</t>
  </si>
  <si>
    <t>Year end</t>
  </si>
  <si>
    <t>Invertir</t>
  </si>
  <si>
    <t>NO invertir</t>
  </si>
  <si>
    <t>Mantener sin elevar posición</t>
  </si>
  <si>
    <t>Mantener (y seguir comprando)</t>
  </si>
  <si>
    <t>Liquidar</t>
  </si>
  <si>
    <t>PENDIENTE</t>
  </si>
  <si>
    <t>Análisis ESG</t>
  </si>
  <si>
    <t>PARÁMETROS</t>
  </si>
  <si>
    <t> </t>
  </si>
  <si>
    <t>Impacto</t>
  </si>
  <si>
    <t>¿Reporta?</t>
  </si>
  <si>
    <t>Ranking</t>
  </si>
  <si>
    <t>Mitigación</t>
  </si>
  <si>
    <t>Semáforo</t>
  </si>
  <si>
    <t>Comentarios</t>
  </si>
  <si>
    <t>IMPACTO</t>
  </si>
  <si>
    <t>RANKING</t>
  </si>
  <si>
    <t>MITIGACIÓN</t>
  </si>
  <si>
    <t>Ambiental</t>
  </si>
  <si>
    <t>NONE</t>
  </si>
  <si>
    <t>"Best in class"</t>
  </si>
  <si>
    <t>Is there evidence of progam/plan/etc…</t>
  </si>
  <si>
    <t>Emisiones directas CO2</t>
  </si>
  <si>
    <t>LOW</t>
  </si>
  <si>
    <t>Yes</t>
  </si>
  <si>
    <t>Best in Class</t>
  </si>
  <si>
    <t>A pesar del impacto que otras empresas tienen en la reducción de emisiones con sus softwares (como Virtual Twin), también está comprometida con los objetivos de reucción aprovador por la SBTi</t>
  </si>
  <si>
    <t>Medium high</t>
  </si>
  <si>
    <t>Uso total de agua</t>
  </si>
  <si>
    <t>El agua no es esnecial para sus operaciones, por lo que tienes niveles de consumo muy bajos.</t>
  </si>
  <si>
    <t>MEDIUM</t>
  </si>
  <si>
    <t>Medium</t>
  </si>
  <si>
    <t>Total Energy Consumption</t>
  </si>
  <si>
    <t>Medium High</t>
  </si>
  <si>
    <t>Apoyan fuentes de energía descentralizadas y con bajas emisiones de carbono, como las micro centrales nucleares. También ayudan en la construcción de infraestructuras para reducir los costes energéticos, por ejemplo manipulando dos flujos de calor.</t>
  </si>
  <si>
    <t>HIGH</t>
  </si>
  <si>
    <t>"Villain"</t>
  </si>
  <si>
    <t>Waste Management</t>
  </si>
  <si>
    <t>Colabora con la iniciativa EECONE, que tiene como objetivo reducir los residuos electrónicos. 3DEXPERIENCE Lab apoya a startups como Atacama Biomaterials, que desarrolló Woodpack, una alternativa biodegradable a los envases plásticos.</t>
  </si>
  <si>
    <t>Land Degradation/Deforestation/Biodiversity loss/Animal sufering/…</t>
  </si>
  <si>
    <t>N/A</t>
  </si>
  <si>
    <t>TRAFFIC LIGHTS</t>
  </si>
  <si>
    <t>Social</t>
  </si>
  <si>
    <t>% Rotación de empleados</t>
  </si>
  <si>
    <t>No</t>
  </si>
  <si>
    <t>Villain</t>
  </si>
  <si>
    <t>El 'Comparably' menciona que están en el 5% inferior entre más de 4000 empresas de tamaño similar, y es el segundo peor entre 5 competidores.</t>
  </si>
  <si>
    <t>Sueldos y compensaciones</t>
  </si>
  <si>
    <t>Tienen salarios promedio altos, generalmente más de 100,000 USD.</t>
  </si>
  <si>
    <t>Temas de reputación</t>
  </si>
  <si>
    <t>La evaluación promédia en Glassdoor es 2/5, con más de 4800 reviews. Familia Dassault tuve problemas de reputación, como corrupción.</t>
  </si>
  <si>
    <t>Temas de discriminación</t>
  </si>
  <si>
    <t>Tienen iniciativas para mujeres en STEM. La proporción de mujeres entre los directivos ejecutivos es del 31,9 %. No tienes litigios de discriminacións.</t>
  </si>
  <si>
    <t>Seguridad laboral</t>
  </si>
  <si>
    <t>Como una empresa de softwares, no tienen riesgos claros de seguridad laboral.</t>
  </si>
  <si>
    <t>Daños a la salud</t>
  </si>
  <si>
    <t>Tampoco hay riesgos directos a la salúd.</t>
  </si>
  <si>
    <t>PXP?</t>
  </si>
  <si>
    <t>Hay violaciones de derechos de autor y de capital humano. Pierden algunos de sus empleados para otras empresas competidoras.</t>
  </si>
  <si>
    <t>Supply chain</t>
  </si>
  <si>
    <t>La empresa no tiene inventarios, pero sus proveedores de energía fueron mencionados anteriormente.</t>
  </si>
  <si>
    <t>Community involvement</t>
  </si>
  <si>
    <t>Más de 147 nacionalidades. Tienen iniciativas comunitárias para minorias. Ofrecen programas de capacitación para ayudar a los empleados y a las comunidades externas a adaptarse a los cambios tecnológicos.</t>
  </si>
  <si>
    <t>Public Sector</t>
  </si>
  <si>
    <t>Recibe ayuda financiera del gobierno francés. Ofrece servicios a los gobiernos.</t>
  </si>
  <si>
    <t>Litigios</t>
  </si>
  <si>
    <t>Han presentado múltiples demandas por violación de derechos de autor, la mayoría de las cuales ganaron.</t>
  </si>
  <si>
    <t>Gobierno</t>
  </si>
  <si>
    <t>Diversidad (Género, edad, industria, región)</t>
  </si>
  <si>
    <t>Diversidad en género y edad, pero el board és en su mayoria de nacionalidad francesa.</t>
  </si>
  <si>
    <t>% independientes</t>
  </si>
  <si>
    <t>80%. Two members are part of the Dassault family.</t>
  </si>
  <si>
    <t>tiempo promedio como consejeros independientes</t>
  </si>
  <si>
    <t>Solo 2 de 10 tienen mandatos que excedan 12 años.</t>
  </si>
  <si>
    <t>Salidas recientes de consejeros/C-level executives?</t>
  </si>
  <si>
    <t>Bernard Charles fue director general durante casi 30 años, renunció en 2024 y fue reemplazado por su sucesor Pascal Daloz.</t>
  </si>
  <si>
    <t>CEO/Chairman</t>
  </si>
  <si>
    <t>Pascal Daloz se unió a Dassault en 2001, desempeñando funciones como VP de R&amp;D, COO and CFO, preparándose para convertirse en CEO.</t>
  </si>
  <si>
    <t>Transparencia (segmentos, fuente de riqueza, adquisiciones, otros)</t>
  </si>
  <si>
    <t>Tiempo que tardan en reportar luego del final del trimestre/año</t>
  </si>
  <si>
    <t>Compartieron los resultados del cuarto trimestre en el 4 de Febrero.</t>
  </si>
  <si>
    <t>Participación adicional del CEO en otros consejos o excesiva del Ch.</t>
  </si>
  <si>
    <t>Se desempeña como miembro independiente de la board de Sopra-Steria y STMicroelectronics, ambas empresas que cotizan en bolsa.</t>
  </si>
  <si>
    <t>Auditoría/Consultoría</t>
  </si>
  <si>
    <t>Cofrac Inspection Accreditation</t>
  </si>
  <si>
    <t>Esquemas de compensación al management</t>
  </si>
  <si>
    <t>450.000 acciones para el CEO, el crecimiento en EPS es el 80% de los criterios, la evaluación ESG es el 20%</t>
  </si>
  <si>
    <t>Discounted Cash Flow</t>
  </si>
  <si>
    <t>Inversiones</t>
  </si>
  <si>
    <t>Normal</t>
  </si>
  <si>
    <t>2019 (Real)</t>
  </si>
  <si>
    <t>2020 (Real)</t>
  </si>
  <si>
    <t>Crecimiento</t>
  </si>
  <si>
    <t>Dep&amp;Amort</t>
  </si>
  <si>
    <t>EBIDTA</t>
  </si>
  <si>
    <t>CIF</t>
  </si>
  <si>
    <t>Otros Gastos</t>
  </si>
  <si>
    <t>Utilidad antes de Impuestos</t>
  </si>
  <si>
    <t>ISR &amp; PTU</t>
  </si>
  <si>
    <t>Inversiones y Capex</t>
  </si>
  <si>
    <t>Deuda + Lease Liabilities</t>
  </si>
  <si>
    <t>F(t)</t>
  </si>
  <si>
    <t>EPS</t>
  </si>
  <si>
    <t>Consenso EPS</t>
  </si>
  <si>
    <t>E$/UN</t>
  </si>
  <si>
    <t>EEV/EBIDA</t>
  </si>
  <si>
    <t>"TELP"</t>
  </si>
  <si>
    <t>CER</t>
  </si>
  <si>
    <r>
      <rPr>
        <b/>
        <sz val="10"/>
        <color indexed="9"/>
        <rFont val="Symbol"/>
        <family val="1"/>
        <charset val="2"/>
      </rPr>
      <t>D</t>
    </r>
    <r>
      <rPr>
        <b/>
        <sz val="10"/>
        <color indexed="9"/>
        <rFont val="Arial"/>
        <family val="2"/>
      </rPr>
      <t xml:space="preserve"> Analista</t>
    </r>
  </si>
  <si>
    <t>CP</t>
  </si>
  <si>
    <t>LP</t>
  </si>
  <si>
    <t>Tasa de descuento:</t>
  </si>
  <si>
    <t xml:space="preserve">Factor D&amp;A </t>
  </si>
  <si>
    <t>Factor CIF</t>
  </si>
  <si>
    <t>VPN*@i%</t>
  </si>
  <si>
    <t>Factor ISR</t>
  </si>
  <si>
    <t xml:space="preserve">   DCF 25Y</t>
  </si>
  <si>
    <t>Factor inv</t>
  </si>
  <si>
    <t xml:space="preserve">   Perpetuidad</t>
  </si>
  <si>
    <t>Suma D&amp;A</t>
  </si>
  <si>
    <t>VPN/Acción</t>
  </si>
  <si>
    <t>Suma Inv.</t>
  </si>
  <si>
    <t>Inv.+Goodwill</t>
  </si>
  <si>
    <t>Duración</t>
  </si>
  <si>
    <t>VALUATION MODEL</t>
  </si>
  <si>
    <t>Año fiscal de Apple cierra en septiembre</t>
  </si>
  <si>
    <t xml:space="preserve"> </t>
  </si>
  <si>
    <t>Section</t>
  </si>
  <si>
    <t>Line #</t>
  </si>
  <si>
    <t>ITEM</t>
  </si>
  <si>
    <t>Notes</t>
  </si>
  <si>
    <t>INCOME STATEMENT</t>
  </si>
  <si>
    <t>Growth</t>
  </si>
  <si>
    <t>Revenues/Sales</t>
  </si>
  <si>
    <t>EBIT/Operating Margin</t>
  </si>
  <si>
    <t>5a</t>
  </si>
  <si>
    <t>(Dep&amp;Amort)</t>
  </si>
  <si>
    <t>5b</t>
  </si>
  <si>
    <t>(Stock based compensation)</t>
  </si>
  <si>
    <t>(Net financing cost)</t>
  </si>
  <si>
    <t>Other income/(cost)</t>
  </si>
  <si>
    <t>Earnings before taxes</t>
  </si>
  <si>
    <t>(Income tax)</t>
  </si>
  <si>
    <t>Net income</t>
  </si>
  <si>
    <t>CASH FLOW STATEMENT</t>
  </si>
  <si>
    <t>Operating cash flows before WK</t>
  </si>
  <si>
    <t>(Stock-based compensation)</t>
  </si>
  <si>
    <t>(Working Capital Flows)</t>
  </si>
  <si>
    <t>-Total Operating Cash Flow</t>
  </si>
  <si>
    <t>(CAPEX and Acquisitions)</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</si>
  <si>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</si>
  <si>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</si>
  <si>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</si>
  <si>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</si>
  <si>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</si>
  <si>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</si>
  <si>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</si>
  <si>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</si>
  <si>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</si>
  <si>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</si>
  <si>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</si>
  <si>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</si>
  <si>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CASH &amp; DEBT &amp; DISCOUNTING</t>
  </si>
  <si>
    <t>Ending cash balance</t>
  </si>
  <si>
    <t>Total Debt</t>
  </si>
  <si>
    <t>Discount factor</t>
  </si>
  <si>
    <t>Discount rate</t>
  </si>
  <si>
    <t>Total</t>
  </si>
  <si>
    <t>Risk free rate</t>
  </si>
  <si>
    <t>Equity premium</t>
  </si>
  <si>
    <t>Firm premium</t>
  </si>
  <si>
    <t>Discount Rate</t>
  </si>
  <si>
    <t>Short Term</t>
  </si>
  <si>
    <t>Long Term</t>
  </si>
  <si>
    <t>Reference (line)</t>
  </si>
  <si>
    <t>Modelling factors</t>
  </si>
  <si>
    <t>Depreciation factor</t>
  </si>
  <si>
    <t>% PP&amp;E+Intangibles exc. Goodwill</t>
  </si>
  <si>
    <t>Stock-based comp</t>
  </si>
  <si>
    <t>% revenue (l2)</t>
  </si>
  <si>
    <t>Tax Rate</t>
  </si>
  <si>
    <t>% (line 9)</t>
  </si>
  <si>
    <t>Interest Rate on debt</t>
  </si>
  <si>
    <t>% debt (l29)</t>
  </si>
  <si>
    <t>Interest Rate on cash</t>
  </si>
  <si>
    <t>% of cash (l28)</t>
  </si>
  <si>
    <t>Stock repurchase</t>
  </si>
  <si>
    <t>% net income</t>
  </si>
  <si>
    <t>Working capital flows</t>
  </si>
  <si>
    <t>% of change revenues (l2)</t>
  </si>
  <si>
    <t>Capex / Adq</t>
  </si>
  <si>
    <t>/ net income</t>
  </si>
  <si>
    <t>MVA, growing with Revenue</t>
  </si>
  <si>
    <t>Valuation</t>
  </si>
  <si>
    <t>$ millions</t>
  </si>
  <si>
    <t>%</t>
  </si>
  <si>
    <t>Value of flows</t>
  </si>
  <si>
    <t>Present value of flows (l27), plus cash minus debt</t>
  </si>
  <si>
    <t>Value of perpetuity</t>
  </si>
  <si>
    <t>Present value of perpetuity (column AF flow, dividend by growth minus discount rate)</t>
  </si>
  <si>
    <t>Total Value</t>
  </si>
  <si>
    <t>Final market value of firm's equity, compare to its mkt cap</t>
  </si>
  <si>
    <t>Total value vs Mkt Cap</t>
  </si>
  <si>
    <t>Gives degree of undervaluation (if positive, meaning it's worth more than what the market thinks) or overvaluation (negative, worth less than what the market thinks)</t>
  </si>
  <si>
    <t>Estimated NPV per share</t>
  </si>
  <si>
    <t>If we divide total value by # of shares, we get the estimated share value</t>
  </si>
  <si>
    <t>Actual share price</t>
  </si>
  <si>
    <t>Support</t>
  </si>
  <si>
    <t>AVG</t>
  </si>
  <si>
    <t xml:space="preserve">Change in revenue </t>
  </si>
  <si>
    <t>Working Capital flows as %chang in revenue</t>
  </si>
  <si>
    <t>Revenue</t>
  </si>
  <si>
    <t>Capex+Acq</t>
  </si>
  <si>
    <t>Capex+acq as % of revenue</t>
  </si>
  <si>
    <t>Intangibles excl. Goodwill</t>
  </si>
  <si>
    <t>1) D&amp;A as % of PP&amp;E + Intangibles (excl Goodwill)</t>
  </si>
  <si>
    <t>PP&amp;E</t>
  </si>
  <si>
    <t>2) PP%E+Intangibles -&gt; growing with capex + % R&amp;D</t>
  </si>
  <si>
    <t>PP&amp;E + Intangibles excl. Goodwill</t>
  </si>
  <si>
    <t>Sum PP&amp;E and INtangibles, the difference would be filled by R&amp;D</t>
  </si>
  <si>
    <t>D&amp;A</t>
  </si>
  <si>
    <t>D&amp;A as % PP&amp;E + Intangibles excl. Goodwill</t>
  </si>
  <si>
    <t>R&amp;D</t>
  </si>
  <si>
    <t>R&amp;D as % revenue</t>
  </si>
  <si>
    <t>Forecast PP&amp;E+Int (capex and D&amp;A factor)</t>
  </si>
  <si>
    <t>Difference from actual</t>
  </si>
  <si>
    <t>Difference as % of R&amp;D</t>
  </si>
  <si>
    <t>Forecast</t>
  </si>
  <si>
    <t>PP&amp;E+Intangibles Forecast</t>
  </si>
  <si>
    <t>Repurchase (Issuance) of Stock</t>
  </si>
  <si>
    <t>% of net income</t>
  </si>
  <si>
    <t>Resultados</t>
  </si>
  <si>
    <t>Ventas Netas</t>
  </si>
  <si>
    <r>
      <t xml:space="preserve">     </t>
    </r>
    <r>
      <rPr>
        <i/>
        <sz val="9"/>
        <rFont val="Arial"/>
        <family val="2"/>
      </rPr>
      <t>Crecimiento vs. Año pasado</t>
    </r>
  </si>
  <si>
    <t>Utilidad Bruta</t>
  </si>
  <si>
    <r>
      <t xml:space="preserve">     </t>
    </r>
    <r>
      <rPr>
        <i/>
        <sz val="9"/>
        <rFont val="Arial"/>
        <family val="2"/>
      </rPr>
      <t>porcentaje sobre ventas</t>
    </r>
  </si>
  <si>
    <t>Gastos de Operación</t>
  </si>
  <si>
    <t>Utilidad de Operación</t>
  </si>
  <si>
    <r>
      <t xml:space="preserve">     </t>
    </r>
    <r>
      <rPr>
        <i/>
        <sz val="9"/>
        <rFont val="Arial"/>
        <family val="2"/>
      </rPr>
      <t>Crecimiento vs año anterior</t>
    </r>
  </si>
  <si>
    <t>CIF (Productos Financieros)</t>
  </si>
  <si>
    <t>Otros Gastos (Productos)</t>
  </si>
  <si>
    <t>Utilidad antes de Impuestos y partidas extra.</t>
  </si>
  <si>
    <t>Depreciación y amortización del ejercicio</t>
  </si>
  <si>
    <t>Capital de Trabajo</t>
  </si>
  <si>
    <r>
      <t xml:space="preserve">EBITDA </t>
    </r>
    <r>
      <rPr>
        <i/>
        <sz val="9"/>
        <rFont val="Arial"/>
        <family val="2"/>
      </rPr>
      <t>(flujo operativo)</t>
    </r>
  </si>
  <si>
    <t>I.S.R Y P.T.U.</t>
  </si>
  <si>
    <t xml:space="preserve">     % Tax</t>
  </si>
  <si>
    <t xml:space="preserve">     Crecimiento vs año anterior</t>
  </si>
  <si>
    <t>Efectivo Generado</t>
  </si>
  <si>
    <t>Dividendos</t>
  </si>
  <si>
    <t>Recompra de Acciones</t>
  </si>
  <si>
    <t>FNP (ajustado por deuda)</t>
  </si>
  <si>
    <t>FNP (ajustado por inversiones)</t>
  </si>
  <si>
    <t>Capex + Inversiones</t>
  </si>
  <si>
    <t>Dividendos + Recompra de Acciones</t>
  </si>
  <si>
    <t xml:space="preserve">Activo   </t>
  </si>
  <si>
    <t>Caja</t>
  </si>
  <si>
    <t>Cuentas y documentos por cobrar</t>
  </si>
  <si>
    <t>Inventarios</t>
  </si>
  <si>
    <t xml:space="preserve"> Activos Fijos (Net Plant)</t>
  </si>
  <si>
    <t>Otros Activos</t>
  </si>
  <si>
    <t>Total Activo</t>
  </si>
  <si>
    <t>Pasivo</t>
  </si>
  <si>
    <t>Pasivo Corto Plazo</t>
  </si>
  <si>
    <t xml:space="preserve">   Deuda a corto plazo</t>
  </si>
  <si>
    <t xml:space="preserve">   Short-Term Leases</t>
  </si>
  <si>
    <t xml:space="preserve">   Otros Pasivos a Corto Plazo</t>
  </si>
  <si>
    <t>Pasivo Largo Plazo</t>
  </si>
  <si>
    <t xml:space="preserve">   Deuda a largo plazo</t>
  </si>
  <si>
    <t xml:space="preserve">   Long-Term Leases</t>
  </si>
  <si>
    <t xml:space="preserve">   Otros Pasivos a Largo Plazo</t>
  </si>
  <si>
    <t>Total pasivos</t>
  </si>
  <si>
    <t>Deuda Neta</t>
  </si>
  <si>
    <t>Interés Minoritario</t>
  </si>
  <si>
    <t>Capital Contable</t>
  </si>
  <si>
    <t>OTROS DATOS AL FIN DE AÑO</t>
  </si>
  <si>
    <t>Numero deEmpleados</t>
  </si>
  <si>
    <t>Acciones en circulación (millones)</t>
  </si>
  <si>
    <t>Insiders Own</t>
  </si>
  <si>
    <t>S&amp;P</t>
  </si>
  <si>
    <t>Precio Medio</t>
  </si>
  <si>
    <t>Moody's</t>
  </si>
  <si>
    <t>YTM</t>
  </si>
  <si>
    <t>DIVISA</t>
  </si>
  <si>
    <t>USD</t>
  </si>
  <si>
    <t>Millones</t>
  </si>
  <si>
    <t>Cifras en Millones de USD</t>
  </si>
  <si>
    <t>RESULTADOS</t>
  </si>
  <si>
    <t>CIF (Poductos)</t>
  </si>
  <si>
    <t>Otros Gastos (Ingresos)</t>
  </si>
  <si>
    <t xml:space="preserve">Depreciación y amortización </t>
  </si>
  <si>
    <t>Compra de Acciones</t>
  </si>
  <si>
    <t>POSICIÓN FINANCIERA</t>
  </si>
  <si>
    <t>Activos Fijos (Net Plant)</t>
  </si>
  <si>
    <t>Total Passivos</t>
  </si>
  <si>
    <t>Numero de Empleados</t>
  </si>
  <si>
    <t>Vol. Diario en Millones USD</t>
  </si>
  <si>
    <t>Posicion en Corto (%)</t>
  </si>
  <si>
    <t>BONOS DE LA EMISORA A 3, 5 Y 10</t>
  </si>
  <si>
    <t>YTM (%)</t>
  </si>
  <si>
    <t>usd</t>
  </si>
  <si>
    <t>eur</t>
  </si>
  <si>
    <t>yen</t>
  </si>
  <si>
    <t>eurusd</t>
  </si>
  <si>
    <t>10y</t>
  </si>
  <si>
    <t>eurjpy</t>
  </si>
  <si>
    <t>30y</t>
  </si>
  <si>
    <t>3Q17</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</si>
  <si>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</si>
  <si>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</si>
  <si>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</si>
  <si>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</si>
  <si>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</si>
  <si>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</si>
  <si>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</si>
  <si>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</si>
  <si>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</si>
  <si>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</si>
  <si>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</si>
  <si>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</si>
  <si>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</si>
  <si>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</si>
  <si>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</si>
  <si>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</si>
  <si>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</si>
  <si>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</si>
  <si>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</si>
  <si>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</si>
  <si>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</si>
  <si>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4Q23e</t>
  </si>
  <si>
    <t>Shares</t>
  </si>
  <si>
    <t xml:space="preserve">Growth </t>
  </si>
  <si>
    <t>Prods</t>
  </si>
  <si>
    <t>Serv</t>
  </si>
  <si>
    <t>COGS</t>
  </si>
  <si>
    <t>SGA</t>
  </si>
  <si>
    <t>Utiilidad oP</t>
  </si>
  <si>
    <t>DA</t>
  </si>
  <si>
    <t>SBC</t>
  </si>
  <si>
    <t>Net SBC</t>
  </si>
  <si>
    <t>Net SBC Factor</t>
  </si>
  <si>
    <t>-Products</t>
  </si>
  <si>
    <t>-Services</t>
  </si>
  <si>
    <t>Ut OP</t>
  </si>
  <si>
    <t>Other</t>
  </si>
  <si>
    <t>efore tax</t>
  </si>
  <si>
    <t>Tax</t>
  </si>
  <si>
    <t>NI</t>
  </si>
  <si>
    <t>Other SBC</t>
  </si>
  <si>
    <t>Divs</t>
  </si>
  <si>
    <t>Repurch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</si>
</sst>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quot;$&quot;#,##0_);[Red]\(&quot;$&quot;#,##0\)"/>
    <numFmt numFmtId="165" formatCode="_-* #,##0.00\ &quot;€&quot;_-;\-* #,##0.00\ &quot;€&quot;_-;_-* &quot;-&quot;??\ &quot;€&quot;_-;_-@_-"/>
    <numFmt numFmtId="166" formatCode="_ * #,##0.00_)\ &quot;€&quot;_ ;_ * \(#,##0.00\)\ &quot;€&quot;_ ;_ * &quot;-&quot;??_)\ &quot;€&quot;_ ;_ @_ "/>
    <numFmt numFmtId="167" formatCode="&quot;$&quot;#,##0;[Red]\-&quot;$&quot;#,##0"/>
    <numFmt numFmtId="168" formatCode="&quot;$&quot;#,##0.00;[Red]\-&quot;$&quot;#,##0.00"/>
    <numFmt numFmtId="169" formatCode="_-&quot;$&quot;* #,##0.00_-;\-&quot;$&quot;* #,##0.00_-;_-&quot;$&quot;* &quot;-&quot;??_-;_-@_-"/>
    <numFmt numFmtId="170" formatCode="&quot;$&quot;#,##0.00"/>
    <numFmt numFmtId="171" formatCode="&quot;$&quot;#,##0.0"/>
    <numFmt numFmtId="172" formatCode="&quot;$&quot;#,##0"/>
    <numFmt numFmtId="173" formatCode="0.0%"/>
    <numFmt numFmtId="174" formatCode="0.0"/>
    <numFmt numFmtId="175" formatCode="#,##0.0"/>
    <numFmt numFmtId="176" formatCode="#,##0.000"/>
    <numFmt numFmtId="177" formatCode="0.000"/>
    <numFmt numFmtId="178" formatCode="#,##0\ [$€-40C]"/>
    <numFmt numFmtId="179" formatCode="#,##0.00\ [$€-40C]"/>
  </numFmts>
  <fonts count="8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name val="Arial"/>
      <family val="2"/>
    </font>
    <font>
      <b/>
      <sz val="10"/>
      <name val="Arial"/>
      <family val="2"/>
    </font>
    <font>
      <b/>
      <sz val="9"/>
      <color indexed="8"/>
      <name val="Arial"/>
      <family val="2"/>
    </font>
    <font>
      <sz val="10"/>
      <name val="Symbol"/>
      <family val="1"/>
      <charset val="2"/>
    </font>
    <font>
      <b/>
      <sz val="16"/>
      <color indexed="9"/>
      <name val="Arial"/>
      <family val="2"/>
    </font>
    <font>
      <b/>
      <sz val="10"/>
      <color indexed="9"/>
      <name val="Arial"/>
      <family val="2"/>
    </font>
    <font>
      <b/>
      <sz val="9.3000000000000007"/>
      <name val="Arial"/>
      <family val="2"/>
    </font>
    <font>
      <sz val="8"/>
      <name val="Arial"/>
      <family val="2"/>
    </font>
    <font>
      <b/>
      <sz val="10"/>
      <color indexed="9"/>
      <name val="Symbol"/>
      <family val="1"/>
      <charset val="2"/>
    </font>
    <font>
      <b/>
      <sz val="9.5"/>
      <name val="Arial"/>
      <family val="2"/>
    </font>
    <font>
      <sz val="9.5"/>
      <name val="Arial"/>
      <family val="2"/>
    </font>
    <font>
      <b/>
      <sz val="9"/>
      <name val="Arial"/>
      <family val="2"/>
    </font>
    <font>
      <sz val="10"/>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sz val="10"/>
      <color rgb="FF333333"/>
      <name val="Arial"/>
      <family val="2"/>
    </font>
    <font>
      <b/>
      <sz val="14"/>
      <color rgb="FFFF0000"/>
      <name val="Arial"/>
      <family val="2"/>
    </font>
    <font>
      <b/>
      <sz val="10"/>
      <color rgb="FF002060"/>
      <name val="Arial"/>
      <family val="2"/>
    </font>
    <font>
      <b/>
      <sz val="11"/>
      <color theme="0"/>
      <name val="Arial"/>
      <family val="2"/>
    </font>
    <font>
      <b/>
      <sz val="16"/>
      <color theme="0"/>
      <name val="Arial"/>
      <family val="2"/>
    </font>
    <font>
      <b/>
      <sz val="9"/>
      <color indexed="81"/>
      <name val="Tahoma"/>
      <family val="2"/>
    </font>
    <font>
      <sz val="10"/>
      <color rgb="FF0070C0"/>
      <name val="Arial"/>
      <family val="2"/>
    </font>
    <font>
      <sz val="10"/>
      <color rgb="FF00B050"/>
      <name val="Arial"/>
      <family val="2"/>
    </font>
    <font>
      <sz val="10"/>
      <color rgb="FF92D050"/>
      <name val="Arial"/>
      <family val="2"/>
    </font>
    <font>
      <sz val="10"/>
      <color rgb="FF002060"/>
      <name val="Arial"/>
      <family val="2"/>
    </font>
    <font>
      <sz val="11"/>
      <color theme="0"/>
      <name val="Calibri"/>
      <family val="2"/>
      <scheme val="minor"/>
    </font>
    <font>
      <b/>
      <sz val="7.2"/>
      <color theme="0"/>
      <name val="Arial"/>
      <family val="2"/>
    </font>
    <font>
      <i/>
      <sz val="10"/>
      <name val="Arial"/>
      <family val="2"/>
    </font>
    <font>
      <sz val="7.5"/>
      <name val="Arial"/>
      <family val="2"/>
    </font>
    <font>
      <sz val="9"/>
      <name val="Arial"/>
      <family val="2"/>
    </font>
    <font>
      <i/>
      <sz val="9"/>
      <name val="Arial"/>
      <family val="2"/>
    </font>
    <font>
      <b/>
      <sz val="7.5"/>
      <name val="Arial"/>
      <family val="2"/>
    </font>
    <font>
      <b/>
      <sz val="11"/>
      <color theme="1"/>
      <name val="Calibri"/>
      <family val="2"/>
      <scheme val="minor"/>
    </font>
    <font>
      <b/>
      <sz val="11"/>
      <name val="Calibri"/>
      <family val="2"/>
      <scheme val="minor"/>
    </font>
    <font>
      <sz val="10"/>
      <color rgb="FFC00000"/>
      <name val="Arial"/>
      <family val="2"/>
    </font>
    <font>
      <sz val="11"/>
      <color rgb="FFC00000"/>
      <name val="Calibri"/>
      <family val="2"/>
      <scheme val="minor"/>
    </font>
    <font>
      <sz val="11"/>
      <name val="Calibri"/>
      <family val="2"/>
      <scheme val="minor"/>
    </font>
    <font>
      <sz val="10"/>
      <color rgb="FF000000"/>
      <name val="Arial"/>
      <family val="2"/>
    </font>
    <font>
      <sz val="10"/>
      <name val="Arial"/>
      <family val="2"/>
    </font>
    <font>
      <sz val="8"/>
      <name val="Arial"/>
      <family val="2"/>
    </font>
    <font>
      <sz val="10"/>
      <color theme="1"/>
      <name val="Arial"/>
      <family val="2"/>
    </font>
    <font>
      <b/>
      <sz val="10"/>
      <color rgb="FF000000"/>
      <name val="Tahoma"/>
      <family val="2"/>
    </font>
    <font>
      <sz val="10"/>
      <color rgb="FF000000"/>
      <name val="Tahoma"/>
      <family val="2"/>
    </font>
    <font>
      <sz val="12"/>
      <color theme="1"/>
      <name val="Calibri"/>
      <family val="2"/>
    </font>
    <font>
      <sz val="16"/>
      <color theme="1"/>
      <name val="Arial"/>
      <family val="2"/>
    </font>
    <font>
      <b/>
      <sz val="11"/>
      <color theme="1"/>
      <name val="Arial"/>
      <family val="2"/>
    </font>
    <font>
      <b/>
      <sz val="9.5"/>
      <color rgb="FF000000"/>
      <name val="Arial"/>
      <family val="2"/>
    </font>
    <font>
      <sz val="10"/>
      <name val="Arial"/>
      <family val="2"/>
    </font>
    <font>
      <sz val="9.5"/>
      <color rgb="FF000000"/>
      <name val="Arial"/>
      <family val="2"/>
    </font>
    <font>
      <b/>
      <sz val="7.2"/>
      <color rgb="FFFFFFFF"/>
      <name val="Arial"/>
      <family val="2"/>
    </font>
    <font>
      <b/>
      <sz val="7.2"/>
      <color rgb="FF4F81BD"/>
      <name val="Arial"/>
      <family val="2"/>
    </font>
    <font>
      <b/>
      <sz val="7.2"/>
      <color rgb="FFFFFF00"/>
      <name val="Arial"/>
      <family val="2"/>
    </font>
    <font>
      <b/>
      <sz val="7.2"/>
      <color rgb="FFFF0000"/>
      <name val="Arial"/>
      <family val="2"/>
    </font>
    <font>
      <sz val="9.5"/>
      <color rgb="FF00B050"/>
      <name val="Arial"/>
      <family val="2"/>
    </font>
    <font>
      <sz val="10"/>
      <color rgb="FF000000"/>
      <name val="Arial"/>
      <family val="2"/>
    </font>
    <font>
      <sz val="11"/>
      <color rgb="FF000000"/>
      <name val="Arial"/>
      <family val="2"/>
    </font>
    <font>
      <b/>
      <sz val="11"/>
      <color rgb="FF000000"/>
      <name val="Arial"/>
      <family val="2"/>
    </font>
    <font>
      <b/>
      <sz val="12"/>
      <color rgb="FF000000"/>
      <name val="Arial"/>
      <family val="2"/>
    </font>
    <font>
      <b/>
      <sz val="11"/>
      <color theme="0"/>
      <name val="Calibri"/>
      <family val="2"/>
      <scheme val="minor"/>
    </font>
    <font>
      <b/>
      <sz val="10"/>
      <color rgb="FF000000"/>
      <name val="Arial"/>
      <family val="2"/>
    </font>
    <font>
      <b/>
      <sz val="11"/>
      <color rgb="FF000000"/>
      <name val="Calibri"/>
      <family val="2"/>
      <scheme val="minor"/>
    </font>
    <font>
      <sz val="11"/>
      <color rgb="FF000000"/>
      <name val="Calibri"/>
      <family val="2"/>
      <scheme val="minor"/>
    </font>
    <font>
      <b/>
      <sz val="16"/>
      <color rgb="FFFFFFFF"/>
      <name val="Arial"/>
      <family val="2"/>
    </font>
    <font>
      <b/>
      <sz val="10"/>
      <color rgb="FFFFFFFF"/>
      <name val="Arial"/>
      <family val="2"/>
    </font>
    <font>
      <b/>
      <sz val="11"/>
      <color rgb="FF1F497D"/>
      <name val="Arial"/>
      <family val="2"/>
    </font>
    <font>
      <b/>
      <sz val="9"/>
      <color theme="0"/>
      <name val="Arial"/>
      <family val="2"/>
    </font>
    <font>
      <sz val="16"/>
      <color theme="0"/>
      <name val="Arial"/>
      <family val="2"/>
    </font>
    <font>
      <sz val="12"/>
      <color theme="0"/>
      <name val="Calibri"/>
      <family val="2"/>
    </font>
    <font>
      <sz val="12"/>
      <color theme="0"/>
      <name val="Arial"/>
      <family val="2"/>
    </font>
    <font>
      <b/>
      <sz val="11"/>
      <color rgb="FF0070C0"/>
      <name val="Arial"/>
      <family val="2"/>
    </font>
  </fonts>
  <fills count="27">
    <fill>
      <patternFill patternType="none"/>
    </fill>
    <fill>
      <patternFill patternType="gray125"/>
    </fill>
    <fill>
      <patternFill patternType="solid">
        <fgColor rgb="FF4F81BD"/>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theme="4" tint="-0.499984740745262"/>
        <bgColor indexed="64"/>
      </patternFill>
    </fill>
    <fill>
      <patternFill patternType="solid">
        <fgColor rgb="FFFFFF00"/>
        <bgColor indexed="64"/>
      </patternFill>
    </fill>
    <fill>
      <patternFill patternType="solid">
        <fgColor theme="9" tint="0.79998168889431442"/>
        <bgColor indexed="64"/>
      </patternFill>
    </fill>
    <fill>
      <patternFill patternType="solid">
        <fgColor indexed="57"/>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rgb="FF339966"/>
        <bgColor rgb="FF000000"/>
      </patternFill>
    </fill>
    <fill>
      <patternFill patternType="solid">
        <fgColor rgb="FFFFFFFF"/>
        <bgColor rgb="FF000000"/>
      </patternFill>
    </fill>
    <fill>
      <patternFill patternType="solid">
        <fgColor rgb="FF00B0F0"/>
        <bgColor indexed="64"/>
      </patternFill>
    </fill>
    <fill>
      <patternFill patternType="solid">
        <fgColor rgb="FF00B050"/>
        <bgColor indexed="64"/>
      </patternFill>
    </fill>
    <fill>
      <patternFill patternType="solid">
        <fgColor rgb="FF1F497D"/>
        <bgColor rgb="FF000000"/>
      </patternFill>
    </fill>
    <fill>
      <patternFill patternType="solid">
        <fgColor rgb="FF808080"/>
        <bgColor rgb="FF000000"/>
      </patternFill>
    </fill>
    <fill>
      <patternFill patternType="solid">
        <fgColor rgb="FF92D050"/>
        <bgColor rgb="FF000000"/>
      </patternFill>
    </fill>
    <fill>
      <patternFill patternType="solid">
        <fgColor rgb="FFFF0000"/>
        <bgColor rgb="FF000000"/>
      </patternFill>
    </fill>
    <fill>
      <patternFill patternType="solid">
        <fgColor rgb="FFFFC000"/>
        <bgColor rgb="FF000000"/>
      </patternFill>
    </fill>
    <fill>
      <patternFill patternType="solid">
        <fgColor rgb="FF92D050"/>
        <bgColor indexed="64"/>
      </patternFill>
    </fill>
  </fills>
  <borders count="119">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theme="3"/>
      </left>
      <right/>
      <top style="thin">
        <color theme="0" tint="-0.499984740745262"/>
      </top>
      <bottom style="thin">
        <color theme="0" tint="-0.499984740745262"/>
      </bottom>
      <diagonal/>
    </border>
    <border>
      <left/>
      <right style="medium">
        <color theme="3"/>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medium">
        <color theme="3"/>
      </right>
      <top/>
      <bottom/>
      <diagonal/>
    </border>
    <border>
      <left style="medium">
        <color theme="3"/>
      </left>
      <right style="thin">
        <color theme="0" tint="-0.499984740745262"/>
      </right>
      <top/>
      <bottom/>
      <diagonal/>
    </border>
    <border>
      <left style="medium">
        <color theme="3"/>
      </left>
      <right style="thin">
        <color theme="0" tint="-0.499984740745262"/>
      </right>
      <top/>
      <bottom style="thin">
        <color theme="0" tint="-0.499984740745262"/>
      </bottom>
      <diagonal/>
    </border>
    <border>
      <left style="medium">
        <color theme="3"/>
      </left>
      <right/>
      <top style="thin">
        <color theme="0" tint="-0.499984740745262"/>
      </top>
      <bottom style="medium">
        <color theme="3"/>
      </bottom>
      <diagonal/>
    </border>
    <border>
      <left/>
      <right/>
      <top style="thin">
        <color theme="0" tint="-0.499984740745262"/>
      </top>
      <bottom style="medium">
        <color theme="3"/>
      </bottom>
      <diagonal/>
    </border>
    <border>
      <left/>
      <right style="medium">
        <color theme="3"/>
      </right>
      <top style="thin">
        <color theme="0" tint="-0.499984740745262"/>
      </top>
      <bottom style="medium">
        <color theme="3"/>
      </bottom>
      <diagonal/>
    </border>
    <border>
      <left/>
      <right style="thin">
        <color theme="0" tint="-0.499984740745262"/>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medium">
        <color theme="3"/>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medium">
        <color theme="3"/>
      </top>
      <bottom style="thin">
        <color theme="0" tint="-0.249977111117893"/>
      </bottom>
      <diagonal/>
    </border>
    <border>
      <left/>
      <right/>
      <top style="medium">
        <color theme="3"/>
      </top>
      <bottom style="thin">
        <color theme="0" tint="-0.249977111117893"/>
      </bottom>
      <diagonal/>
    </border>
    <border>
      <left/>
      <right style="thin">
        <color theme="0" tint="-0.249977111117893"/>
      </right>
      <top style="medium">
        <color theme="3"/>
      </top>
      <bottom style="thin">
        <color theme="0" tint="-0.249977111117893"/>
      </bottom>
      <diagonal/>
    </border>
    <border>
      <left style="medium">
        <color theme="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medium">
        <color theme="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style="thin">
        <color theme="0" tint="-0.499984740745262"/>
      </left>
      <right/>
      <top/>
      <bottom/>
      <diagonal/>
    </border>
    <border>
      <left style="thin">
        <color theme="0" tint="-0.249977111117893"/>
      </left>
      <right/>
      <top style="thin">
        <color theme="0" tint="-0.249977111117893"/>
      </top>
      <bottom/>
      <diagonal/>
    </border>
    <border>
      <left/>
      <right/>
      <top/>
      <bottom style="thin">
        <color indexed="64"/>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style="thin">
        <color theme="0" tint="-0.249977111117893"/>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medium">
        <color rgb="FF1F497D"/>
      </right>
      <top style="thin">
        <color rgb="FFBFBFBF"/>
      </top>
      <bottom style="thin">
        <color rgb="FFBFBFBF"/>
      </bottom>
      <diagonal/>
    </border>
    <border>
      <left style="medium">
        <color rgb="FF1F497D"/>
      </left>
      <right style="thin">
        <color rgb="FF808080"/>
      </right>
      <top/>
      <bottom/>
      <diagonal/>
    </border>
    <border>
      <left style="medium">
        <color rgb="FF1F497D"/>
      </left>
      <right style="thin">
        <color rgb="FF808080"/>
      </right>
      <top style="thin">
        <color rgb="FF80808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style="medium">
        <color rgb="FF1F497D"/>
      </top>
      <bottom style="thin">
        <color rgb="FF808080"/>
      </bottom>
      <diagonal/>
    </border>
    <border>
      <left/>
      <right/>
      <top style="medium">
        <color rgb="FF1F497D"/>
      </top>
      <bottom style="thin">
        <color rgb="FF808080"/>
      </bottom>
      <diagonal/>
    </border>
    <border>
      <left/>
      <right style="medium">
        <color rgb="FF1F497D"/>
      </right>
      <top style="medium">
        <color rgb="FF1F497D"/>
      </top>
      <bottom style="thin">
        <color rgb="FF808080"/>
      </bottom>
      <diagonal/>
    </border>
    <border>
      <left style="medium">
        <color rgb="FF1F497D"/>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style="medium">
        <color rgb="FF1F497D"/>
      </right>
      <top style="thin">
        <color rgb="FF808080"/>
      </top>
      <bottom style="thin">
        <color rgb="FF808080"/>
      </bottom>
      <diagonal/>
    </border>
    <border>
      <left/>
      <right/>
      <top style="thin">
        <color rgb="FF808080"/>
      </top>
      <bottom/>
      <diagonal/>
    </border>
    <border>
      <left/>
      <right style="thin">
        <color rgb="FF808080"/>
      </right>
      <top/>
      <bottom style="thin">
        <color rgb="FF808080"/>
      </bottom>
      <diagonal/>
    </border>
    <border>
      <left/>
      <right style="medium">
        <color rgb="FF1F497D"/>
      </right>
      <top/>
      <bottom style="thin">
        <color rgb="FF808080"/>
      </bottom>
      <diagonal/>
    </border>
    <border>
      <left style="medium">
        <color rgb="FF1F497D"/>
      </left>
      <right/>
      <top/>
      <bottom/>
      <diagonal/>
    </border>
    <border>
      <left style="thin">
        <color rgb="FF808080"/>
      </left>
      <right style="thin">
        <color rgb="FF808080"/>
      </right>
      <top/>
      <bottom/>
      <diagonal/>
    </border>
    <border>
      <left/>
      <right style="thin">
        <color rgb="FF808080"/>
      </right>
      <top/>
      <bottom/>
      <diagonal/>
    </border>
    <border>
      <left/>
      <right style="medium">
        <color rgb="FF1F497D"/>
      </right>
      <top/>
      <bottom/>
      <diagonal/>
    </border>
    <border>
      <left/>
      <right style="medium">
        <color rgb="FF1F497D"/>
      </right>
      <top/>
      <bottom style="medium">
        <color rgb="FF1F497D"/>
      </bottom>
      <diagonal/>
    </border>
    <border>
      <left style="medium">
        <color rgb="FF1F497D"/>
      </left>
      <right/>
      <top/>
      <bottom style="medium">
        <color rgb="FF1F497D"/>
      </bottom>
      <diagonal/>
    </border>
    <border>
      <left/>
      <right style="thin">
        <color rgb="FF808080"/>
      </right>
      <top/>
      <bottom style="medium">
        <color rgb="FF1F497D"/>
      </bottom>
      <diagonal/>
    </border>
    <border>
      <left style="medium">
        <color rgb="FF1F497D"/>
      </left>
      <right/>
      <top/>
      <bottom style="thin">
        <color rgb="FF808080"/>
      </bottom>
      <diagonal/>
    </border>
    <border>
      <left/>
      <right style="thin">
        <color rgb="FF808080"/>
      </right>
      <top/>
      <bottom style="thin">
        <color indexed="64"/>
      </bottom>
      <diagonal/>
    </border>
    <border>
      <left style="medium">
        <color indexed="64"/>
      </left>
      <right/>
      <top style="medium">
        <color indexed="64"/>
      </top>
      <bottom style="thin">
        <color rgb="FF808080"/>
      </bottom>
      <diagonal/>
    </border>
    <border>
      <left/>
      <right/>
      <top style="medium">
        <color indexed="64"/>
      </top>
      <bottom style="thin">
        <color rgb="FF808080"/>
      </bottom>
      <diagonal/>
    </border>
    <border>
      <left/>
      <right style="medium">
        <color rgb="FF000000"/>
      </right>
      <top style="medium">
        <color indexed="64"/>
      </top>
      <bottom style="thin">
        <color rgb="FF808080"/>
      </bottom>
      <diagonal/>
    </border>
    <border>
      <left style="thin">
        <color rgb="FF808080"/>
      </left>
      <right style="thin">
        <color rgb="FF808080"/>
      </right>
      <top style="thin">
        <color rgb="FF808080"/>
      </top>
      <bottom/>
      <diagonal/>
    </border>
    <border>
      <left/>
      <right style="thin">
        <color rgb="FF808080"/>
      </right>
      <top style="thin">
        <color rgb="FF808080"/>
      </top>
      <bottom/>
      <diagonal/>
    </border>
    <border>
      <left style="medium">
        <color indexed="64"/>
      </left>
      <right/>
      <top style="thin">
        <color rgb="FF808080"/>
      </top>
      <bottom/>
      <diagonal/>
    </border>
    <border>
      <left/>
      <right style="medium">
        <color rgb="FF000000"/>
      </right>
      <top style="thin">
        <color rgb="FF808080"/>
      </top>
      <bottom/>
      <diagonal/>
    </border>
    <border>
      <left/>
      <right style="medium">
        <color rgb="FF000000"/>
      </right>
      <top/>
      <bottom/>
      <diagonal/>
    </border>
    <border>
      <left/>
      <right style="medium">
        <color rgb="FF000000"/>
      </right>
      <top/>
      <bottom style="medium">
        <color indexed="64"/>
      </bottom>
      <diagonal/>
    </border>
    <border>
      <left style="thin">
        <color rgb="FF808080"/>
      </left>
      <right style="thin">
        <color rgb="FF808080"/>
      </right>
      <top/>
      <bottom style="thin">
        <color indexed="64"/>
      </bottom>
      <diagonal/>
    </border>
    <border>
      <left style="thin">
        <color rgb="FF808080"/>
      </left>
      <right style="thin">
        <color rgb="FF808080"/>
      </right>
      <top/>
      <bottom style="medium">
        <color rgb="FF1F497D"/>
      </bottom>
      <diagonal/>
    </border>
  </borders>
  <cellStyleXfs count="33">
    <xf numFmtId="0" fontId="0" fillId="0" borderId="0"/>
    <xf numFmtId="0" fontId="14" fillId="2" borderId="1" applyNumberFormat="0" applyProtection="0">
      <alignment horizontal="left" vertical="center" readingOrder="1"/>
    </xf>
    <xf numFmtId="0" fontId="15" fillId="2" borderId="2">
      <alignment horizontal="left"/>
    </xf>
    <xf numFmtId="0" fontId="9" fillId="0" borderId="0" applyNumberFormat="0" applyFill="0" applyBorder="0" applyAlignment="0" applyProtection="0">
      <alignment vertical="top"/>
      <protection locked="0"/>
    </xf>
    <xf numFmtId="169" fontId="22" fillId="0" borderId="0" applyFont="0" applyFill="0" applyBorder="0" applyAlignment="0" applyProtection="0"/>
    <xf numFmtId="169" fontId="10" fillId="0" borderId="0" applyFont="0" applyFill="0" applyBorder="0" applyAlignment="0" applyProtection="0"/>
    <xf numFmtId="0" fontId="25" fillId="0" borderId="0"/>
    <xf numFmtId="0" fontId="10" fillId="0" borderId="0"/>
    <xf numFmtId="9" fontId="7" fillId="0" borderId="0" applyFont="0" applyFill="0" applyBorder="0" applyAlignment="0" applyProtection="0"/>
    <xf numFmtId="9" fontId="22" fillId="0" borderId="0" applyFont="0" applyFill="0" applyBorder="0" applyAlignment="0" applyProtection="0"/>
    <xf numFmtId="9" fontId="10" fillId="0" borderId="0" applyFont="0" applyFill="0" applyBorder="0" applyAlignment="0" applyProtection="0"/>
    <xf numFmtId="9" fontId="25" fillId="0" borderId="0" applyFont="0" applyFill="0" applyBorder="0" applyAlignment="0" applyProtection="0"/>
    <xf numFmtId="0" fontId="6" fillId="0" borderId="0"/>
    <xf numFmtId="0" fontId="7" fillId="0" borderId="0"/>
    <xf numFmtId="169" fontId="7" fillId="0" borderId="0" applyFont="0" applyFill="0" applyBorder="0" applyAlignment="0" applyProtection="0"/>
    <xf numFmtId="169" fontId="7" fillId="0" borderId="0" applyFont="0" applyFill="0" applyBorder="0" applyAlignment="0" applyProtection="0"/>
    <xf numFmtId="0" fontId="5"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0" fontId="5" fillId="0" borderId="0"/>
    <xf numFmtId="43" fontId="7" fillId="0" borderId="0" applyFont="0" applyFill="0" applyBorder="0" applyAlignment="0" applyProtection="0"/>
    <xf numFmtId="165" fontId="7" fillId="0" borderId="0" applyFont="0" applyFill="0" applyBorder="0" applyAlignment="0" applyProtection="0"/>
    <xf numFmtId="0" fontId="4" fillId="0" borderId="0"/>
    <xf numFmtId="0" fontId="4"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43" fontId="52" fillId="0" borderId="0" applyFont="0" applyFill="0" applyBorder="0" applyAlignment="0" applyProtection="0"/>
    <xf numFmtId="0" fontId="2" fillId="0" borderId="0"/>
    <xf numFmtId="166" fontId="61" fillId="0" borderId="0" applyFont="0" applyFill="0" applyBorder="0" applyAlignment="0" applyProtection="0"/>
  </cellStyleXfs>
  <cellXfs count="648">
    <xf numFmtId="0" fontId="0" fillId="0" borderId="0" xfId="0"/>
    <xf numFmtId="172" fontId="0" fillId="0" borderId="0" xfId="0" applyNumberFormat="1" applyAlignment="1">
      <alignment horizontal="center"/>
    </xf>
    <xf numFmtId="170" fontId="0" fillId="0" borderId="0" xfId="0" applyNumberFormat="1" applyAlignment="1">
      <alignment horizontal="center"/>
    </xf>
    <xf numFmtId="9" fontId="0" fillId="0" borderId="0" xfId="8" applyFont="1" applyAlignment="1">
      <alignment horizontal="center"/>
    </xf>
    <xf numFmtId="0" fontId="0" fillId="0" borderId="0" xfId="0" applyAlignment="1">
      <alignment horizontal="center"/>
    </xf>
    <xf numFmtId="2" fontId="0" fillId="0" borderId="0" xfId="0" applyNumberFormat="1" applyAlignment="1">
      <alignment horizontal="center"/>
    </xf>
    <xf numFmtId="173" fontId="0" fillId="0" borderId="0" xfId="8" applyNumberFormat="1" applyFont="1" applyAlignment="1">
      <alignment horizontal="center"/>
    </xf>
    <xf numFmtId="172"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3" fontId="0" fillId="0" borderId="0" xfId="0" applyNumberFormat="1" applyAlignment="1">
      <alignment horizontal="center"/>
    </xf>
    <xf numFmtId="0" fontId="10" fillId="0" borderId="0" xfId="0" applyFont="1"/>
    <xf numFmtId="9" fontId="0" fillId="0" borderId="0" xfId="8" applyFont="1"/>
    <xf numFmtId="0" fontId="11" fillId="0" borderId="0" xfId="0" applyFont="1" applyAlignment="1">
      <alignment horizontal="center"/>
    </xf>
    <xf numFmtId="0" fontId="27" fillId="0" borderId="0" xfId="0" applyFont="1"/>
    <xf numFmtId="0" fontId="17" fillId="0" borderId="0" xfId="0" applyFont="1"/>
    <xf numFmtId="0" fontId="11" fillId="0" borderId="8" xfId="0" applyFont="1" applyBorder="1" applyAlignment="1">
      <alignment horizontal="center"/>
    </xf>
    <xf numFmtId="9" fontId="11" fillId="0" borderId="8" xfId="8" applyFont="1" applyBorder="1"/>
    <xf numFmtId="0" fontId="11" fillId="0" borderId="7" xfId="0" applyFont="1" applyBorder="1" applyAlignment="1">
      <alignment horizontal="center"/>
    </xf>
    <xf numFmtId="0" fontId="11" fillId="0" borderId="10" xfId="0" applyFont="1" applyBorder="1"/>
    <xf numFmtId="0" fontId="11" fillId="0" borderId="6" xfId="0" applyFont="1" applyBorder="1"/>
    <xf numFmtId="9" fontId="11" fillId="0" borderId="7" xfId="8" applyFont="1" applyBorder="1"/>
    <xf numFmtId="0" fontId="11" fillId="0" borderId="12" xfId="0" applyFont="1" applyBorder="1"/>
    <xf numFmtId="9" fontId="11" fillId="0" borderId="13" xfId="8" applyFont="1" applyBorder="1"/>
    <xf numFmtId="9" fontId="11" fillId="0" borderId="14" xfId="8" applyFont="1" applyBorder="1"/>
    <xf numFmtId="0" fontId="27" fillId="3" borderId="0" xfId="0" applyFont="1" applyFill="1"/>
    <xf numFmtId="172" fontId="27" fillId="3" borderId="0" xfId="0" applyNumberFormat="1" applyFont="1" applyFill="1"/>
    <xf numFmtId="172" fontId="27" fillId="3" borderId="0" xfId="0" applyNumberFormat="1" applyFont="1" applyFill="1" applyAlignment="1">
      <alignment horizontal="center"/>
    </xf>
    <xf numFmtId="173" fontId="11" fillId="0" borderId="0" xfId="0" applyNumberFormat="1" applyFont="1" applyAlignment="1">
      <alignment horizontal="center"/>
    </xf>
    <xf numFmtId="10" fontId="11" fillId="0" borderId="0" xfId="0" applyNumberFormat="1" applyFont="1" applyAlignment="1">
      <alignment horizontal="center"/>
    </xf>
    <xf numFmtId="172" fontId="28" fillId="3" borderId="0" xfId="0" applyNumberFormat="1" applyFont="1" applyFill="1" applyAlignment="1">
      <alignment horizontal="center"/>
    </xf>
    <xf numFmtId="172" fontId="11" fillId="0" borderId="0" xfId="0" applyNumberFormat="1" applyFont="1" applyAlignment="1">
      <alignment horizontal="left"/>
    </xf>
    <xf numFmtId="170" fontId="11" fillId="0" borderId="0" xfId="0" applyNumberFormat="1" applyFont="1" applyAlignment="1">
      <alignment horizontal="center"/>
    </xf>
    <xf numFmtId="9" fontId="11" fillId="0" borderId="0" xfId="8" applyFont="1" applyAlignment="1">
      <alignment horizontal="center"/>
    </xf>
    <xf numFmtId="172" fontId="11" fillId="0" borderId="8" xfId="0" applyNumberFormat="1" applyFont="1" applyBorder="1"/>
    <xf numFmtId="172" fontId="11" fillId="0" borderId="13" xfId="0" applyNumberFormat="1" applyFont="1" applyBorder="1"/>
    <xf numFmtId="0" fontId="21" fillId="0" borderId="0" xfId="0" applyFont="1"/>
    <xf numFmtId="173" fontId="27" fillId="3" borderId="0" xfId="0" applyNumberFormat="1" applyFont="1" applyFill="1" applyAlignment="1">
      <alignment horizontal="center"/>
    </xf>
    <xf numFmtId="0" fontId="10" fillId="0" borderId="0" xfId="0" applyFont="1" applyAlignment="1">
      <alignment vertical="center"/>
    </xf>
    <xf numFmtId="0" fontId="31" fillId="0" borderId="0" xfId="0" applyFont="1"/>
    <xf numFmtId="175" fontId="0" fillId="0" borderId="0" xfId="0" applyNumberFormat="1" applyAlignment="1">
      <alignment horizontal="center"/>
    </xf>
    <xf numFmtId="172" fontId="11" fillId="0" borderId="8" xfId="0" applyNumberFormat="1" applyFont="1" applyBorder="1" applyAlignment="1">
      <alignment horizontal="center"/>
    </xf>
    <xf numFmtId="172" fontId="11" fillId="0" borderId="13" xfId="0" applyNumberFormat="1" applyFont="1" applyBorder="1" applyAlignment="1">
      <alignment horizontal="center"/>
    </xf>
    <xf numFmtId="0" fontId="11" fillId="0" borderId="0" xfId="0" applyFont="1" applyAlignment="1">
      <alignment horizontal="left"/>
    </xf>
    <xf numFmtId="0" fontId="13" fillId="0" borderId="16" xfId="0" applyFont="1" applyBorder="1"/>
    <xf numFmtId="0" fontId="28" fillId="3" borderId="16" xfId="0" applyFont="1" applyFill="1" applyBorder="1"/>
    <xf numFmtId="0" fontId="11" fillId="0" borderId="16" xfId="0" applyFont="1" applyBorder="1" applyAlignment="1">
      <alignment horizontal="center"/>
    </xf>
    <xf numFmtId="0" fontId="11" fillId="0" borderId="20" xfId="0" applyFont="1" applyBorder="1" applyAlignment="1">
      <alignment horizontal="center"/>
    </xf>
    <xf numFmtId="0" fontId="32" fillId="3" borderId="21" xfId="0" applyFont="1" applyFill="1" applyBorder="1" applyAlignment="1">
      <alignment horizontal="center"/>
    </xf>
    <xf numFmtId="0" fontId="11" fillId="0" borderId="21" xfId="0" applyFont="1" applyBorder="1" applyAlignment="1">
      <alignment horizontal="center"/>
    </xf>
    <xf numFmtId="0" fontId="0" fillId="0" borderId="20" xfId="0" applyBorder="1" applyAlignment="1">
      <alignment horizontal="center"/>
    </xf>
    <xf numFmtId="172" fontId="0" fillId="5" borderId="0" xfId="0" applyNumberFormat="1" applyFill="1" applyAlignment="1">
      <alignment horizontal="center"/>
    </xf>
    <xf numFmtId="175" fontId="0" fillId="0" borderId="25" xfId="0" applyNumberFormat="1" applyBorder="1" applyAlignment="1">
      <alignment horizontal="center"/>
    </xf>
    <xf numFmtId="172" fontId="0" fillId="0" borderId="27" xfId="0" applyNumberFormat="1" applyBorder="1" applyAlignment="1">
      <alignment horizontal="center"/>
    </xf>
    <xf numFmtId="175" fontId="0" fillId="0" borderId="27" xfId="0" applyNumberFormat="1" applyBorder="1" applyAlignment="1">
      <alignment horizontal="center"/>
    </xf>
    <xf numFmtId="175" fontId="0" fillId="0" borderId="28" xfId="0" applyNumberFormat="1" applyBorder="1" applyAlignment="1">
      <alignment horizontal="center"/>
    </xf>
    <xf numFmtId="170" fontId="0" fillId="0" borderId="23" xfId="0" applyNumberFormat="1" applyBorder="1" applyAlignment="1">
      <alignment horizontal="center"/>
    </xf>
    <xf numFmtId="0" fontId="32" fillId="3" borderId="29" xfId="0" applyFont="1" applyFill="1" applyBorder="1"/>
    <xf numFmtId="0" fontId="32" fillId="3" borderId="30" xfId="0" applyFont="1" applyFill="1" applyBorder="1"/>
    <xf numFmtId="0" fontId="32" fillId="3" borderId="31" xfId="0" applyFont="1" applyFill="1" applyBorder="1" applyAlignment="1">
      <alignment horizontal="center"/>
    </xf>
    <xf numFmtId="171" fontId="23" fillId="6" borderId="16" xfId="0" applyNumberFormat="1" applyFont="1" applyFill="1" applyBorder="1" applyAlignment="1">
      <alignment horizontal="center" vertical="center"/>
    </xf>
    <xf numFmtId="173" fontId="27" fillId="3" borderId="0" xfId="8" applyNumberFormat="1" applyFont="1" applyFill="1" applyAlignment="1">
      <alignment horizontal="center"/>
    </xf>
    <xf numFmtId="173" fontId="11" fillId="0" borderId="16" xfId="8" applyNumberFormat="1" applyFont="1" applyBorder="1" applyAlignment="1">
      <alignment horizontal="center" vertical="center"/>
    </xf>
    <xf numFmtId="0" fontId="0" fillId="0" borderId="16" xfId="0" applyBorder="1" applyAlignment="1">
      <alignment vertical="center"/>
    </xf>
    <xf numFmtId="170" fontId="27" fillId="3" borderId="0" xfId="0" applyNumberFormat="1" applyFont="1" applyFill="1" applyAlignment="1">
      <alignment horizontal="center"/>
    </xf>
    <xf numFmtId="173" fontId="11" fillId="0" borderId="15" xfId="10" applyNumberFormat="1" applyFont="1" applyFill="1" applyBorder="1" applyAlignment="1">
      <alignment horizontal="center"/>
    </xf>
    <xf numFmtId="0" fontId="7" fillId="0" borderId="18" xfId="0" applyFont="1" applyBorder="1" applyAlignment="1">
      <alignment horizontal="center" vertical="center"/>
    </xf>
    <xf numFmtId="0" fontId="7" fillId="0" borderId="32" xfId="0" applyFont="1" applyBorder="1" applyAlignment="1">
      <alignment horizontal="center" vertical="center"/>
    </xf>
    <xf numFmtId="172" fontId="7" fillId="0" borderId="16" xfId="0" applyNumberFormat="1" applyFont="1" applyBorder="1" applyAlignment="1">
      <alignment horizontal="center"/>
    </xf>
    <xf numFmtId="173" fontId="7" fillId="0" borderId="16" xfId="8" applyNumberFormat="1" applyFont="1" applyBorder="1" applyAlignment="1">
      <alignment horizontal="center"/>
    </xf>
    <xf numFmtId="14" fontId="7" fillId="0" borderId="18" xfId="0" applyNumberFormat="1" applyFont="1" applyBorder="1" applyAlignment="1">
      <alignment horizontal="center" vertical="center"/>
    </xf>
    <xf numFmtId="0" fontId="7" fillId="0" borderId="0" xfId="0" applyFont="1"/>
    <xf numFmtId="171" fontId="0" fillId="0" borderId="0" xfId="0" applyNumberFormat="1"/>
    <xf numFmtId="173" fontId="11" fillId="7" borderId="8" xfId="8" applyNumberFormat="1" applyFont="1" applyFill="1" applyBorder="1"/>
    <xf numFmtId="0" fontId="7" fillId="0" borderId="16" xfId="0" applyFont="1" applyBorder="1"/>
    <xf numFmtId="9" fontId="7" fillId="0" borderId="16" xfId="8" applyFont="1" applyBorder="1" applyAlignment="1">
      <alignment horizontal="center"/>
    </xf>
    <xf numFmtId="170" fontId="7" fillId="0" borderId="16" xfId="0" applyNumberFormat="1" applyFont="1" applyBorder="1" applyAlignment="1">
      <alignment horizontal="center"/>
    </xf>
    <xf numFmtId="172" fontId="7" fillId="0" borderId="16" xfId="8" applyNumberFormat="1" applyFont="1" applyFill="1" applyBorder="1" applyAlignment="1">
      <alignment horizontal="center"/>
    </xf>
    <xf numFmtId="0" fontId="7" fillId="0" borderId="20" xfId="0" applyFont="1" applyBorder="1"/>
    <xf numFmtId="0" fontId="7" fillId="0" borderId="16" xfId="0" applyFont="1" applyBorder="1" applyAlignment="1">
      <alignment horizontal="left"/>
    </xf>
    <xf numFmtId="0" fontId="7" fillId="0" borderId="20" xfId="0" quotePrefix="1" applyFont="1" applyBorder="1"/>
    <xf numFmtId="0" fontId="7" fillId="0" borderId="16" xfId="0" quotePrefix="1" applyFont="1" applyBorder="1"/>
    <xf numFmtId="172" fontId="7" fillId="0" borderId="16" xfId="8" applyNumberFormat="1" applyFont="1" applyBorder="1" applyAlignment="1">
      <alignment horizontal="center"/>
    </xf>
    <xf numFmtId="173" fontId="7" fillId="0" borderId="0" xfId="0" applyNumberFormat="1" applyFont="1" applyAlignment="1">
      <alignment horizontal="center"/>
    </xf>
    <xf numFmtId="0" fontId="7" fillId="0" borderId="0" xfId="0" applyFont="1" applyAlignment="1">
      <alignment horizontal="center"/>
    </xf>
    <xf numFmtId="173" fontId="7" fillId="0" borderId="16" xfId="8" applyNumberFormat="1" applyFont="1" applyFill="1" applyBorder="1" applyAlignment="1">
      <alignment horizontal="center"/>
    </xf>
    <xf numFmtId="9" fontId="0" fillId="0" borderId="0" xfId="0" applyNumberFormat="1"/>
    <xf numFmtId="0" fontId="7" fillId="0" borderId="19" xfId="0" applyFont="1" applyBorder="1" applyAlignment="1">
      <alignment horizontal="center" vertical="center"/>
    </xf>
    <xf numFmtId="0" fontId="7" fillId="0" borderId="20" xfId="0" applyFont="1" applyBorder="1" applyAlignment="1">
      <alignment horizontal="center"/>
    </xf>
    <xf numFmtId="172" fontId="7" fillId="0" borderId="0" xfId="0" quotePrefix="1" applyNumberFormat="1" applyFont="1" applyAlignment="1">
      <alignment horizontal="center"/>
    </xf>
    <xf numFmtId="173" fontId="11" fillId="0" borderId="13" xfId="8" applyNumberFormat="1" applyFont="1" applyBorder="1"/>
    <xf numFmtId="0" fontId="8" fillId="0" borderId="0" xfId="0" applyFont="1"/>
    <xf numFmtId="10" fontId="7" fillId="0" borderId="0" xfId="0" applyNumberFormat="1" applyFont="1" applyAlignment="1">
      <alignment horizontal="center"/>
    </xf>
    <xf numFmtId="171" fontId="0" fillId="0" borderId="0" xfId="0" applyNumberFormat="1" applyAlignment="1">
      <alignment horizontal="center"/>
    </xf>
    <xf numFmtId="4" fontId="7" fillId="0" borderId="16" xfId="0" applyNumberFormat="1" applyFont="1" applyBorder="1" applyAlignment="1">
      <alignment horizontal="center"/>
    </xf>
    <xf numFmtId="14" fontId="7" fillId="0" borderId="16" xfId="0" applyNumberFormat="1" applyFont="1" applyBorder="1" applyAlignment="1">
      <alignment horizontal="center"/>
    </xf>
    <xf numFmtId="174" fontId="7" fillId="0" borderId="16" xfId="8" applyNumberFormat="1" applyFont="1" applyBorder="1" applyAlignment="1">
      <alignment horizontal="center"/>
    </xf>
    <xf numFmtId="172" fontId="7" fillId="0" borderId="0" xfId="0" applyNumberFormat="1" applyFont="1"/>
    <xf numFmtId="2" fontId="7" fillId="0" borderId="16" xfId="8" applyNumberFormat="1" applyFont="1" applyBorder="1" applyAlignment="1">
      <alignment horizontal="center"/>
    </xf>
    <xf numFmtId="0" fontId="11" fillId="0" borderId="11" xfId="0" applyFont="1" applyBorder="1"/>
    <xf numFmtId="0" fontId="7" fillId="0" borderId="10" xfId="0" applyFont="1" applyBorder="1" applyAlignment="1">
      <alignment horizontal="left" indent="1"/>
    </xf>
    <xf numFmtId="172" fontId="11" fillId="0" borderId="0" xfId="0" applyNumberFormat="1" applyFont="1" applyAlignment="1">
      <alignment horizontal="center"/>
    </xf>
    <xf numFmtId="9" fontId="11" fillId="0" borderId="0" xfId="8" applyFont="1"/>
    <xf numFmtId="9" fontId="11" fillId="0" borderId="9" xfId="8" applyFont="1" applyBorder="1"/>
    <xf numFmtId="173" fontId="7" fillId="0" borderId="21" xfId="8" quotePrefix="1" applyNumberFormat="1" applyFont="1" applyFill="1" applyBorder="1" applyAlignment="1">
      <alignment horizontal="center"/>
    </xf>
    <xf numFmtId="0" fontId="7" fillId="0" borderId="33" xfId="0" applyFont="1" applyBorder="1" applyAlignment="1">
      <alignment horizontal="left" vertical="center"/>
    </xf>
    <xf numFmtId="0" fontId="7" fillId="0" borderId="31" xfId="0" applyFont="1" applyBorder="1" applyAlignment="1">
      <alignment horizontal="left" vertical="center"/>
    </xf>
    <xf numFmtId="170" fontId="36" fillId="0" borderId="16" xfId="0" applyNumberFormat="1" applyFont="1" applyBorder="1" applyAlignment="1">
      <alignment horizontal="center"/>
    </xf>
    <xf numFmtId="2" fontId="36" fillId="0" borderId="16" xfId="8" applyNumberFormat="1" applyFont="1" applyBorder="1" applyAlignment="1">
      <alignment horizontal="center"/>
    </xf>
    <xf numFmtId="173" fontId="35" fillId="0" borderId="16" xfId="8" applyNumberFormat="1" applyFont="1" applyBorder="1" applyAlignment="1">
      <alignment horizontal="center"/>
    </xf>
    <xf numFmtId="173" fontId="35" fillId="0" borderId="16" xfId="8" applyNumberFormat="1" applyFont="1" applyFill="1" applyBorder="1" applyAlignment="1">
      <alignment horizontal="center"/>
    </xf>
    <xf numFmtId="0" fontId="7" fillId="0" borderId="6" xfId="0" applyFont="1" applyBorder="1"/>
    <xf numFmtId="0" fontId="7" fillId="0" borderId="10" xfId="0" applyFont="1" applyBorder="1"/>
    <xf numFmtId="172" fontId="7" fillId="0" borderId="0" xfId="0" applyNumberFormat="1" applyFont="1" applyAlignment="1">
      <alignment horizontal="center"/>
    </xf>
    <xf numFmtId="9" fontId="7" fillId="0" borderId="0" xfId="8" applyFont="1"/>
    <xf numFmtId="9" fontId="7" fillId="0" borderId="9" xfId="8" applyFont="1" applyBorder="1"/>
    <xf numFmtId="0" fontId="7" fillId="0" borderId="31" xfId="0" applyFont="1" applyBorder="1" applyAlignment="1">
      <alignment vertical="center"/>
    </xf>
    <xf numFmtId="9" fontId="0" fillId="0" borderId="0" xfId="8" applyFont="1" applyAlignment="1">
      <alignment horizontal="right"/>
    </xf>
    <xf numFmtId="173" fontId="36" fillId="0" borderId="16" xfId="8" applyNumberFormat="1" applyFont="1" applyBorder="1" applyAlignment="1">
      <alignment horizontal="center"/>
    </xf>
    <xf numFmtId="2" fontId="35" fillId="0" borderId="21" xfId="8" applyNumberFormat="1" applyFont="1" applyBorder="1" applyAlignment="1">
      <alignment horizontal="center"/>
    </xf>
    <xf numFmtId="174" fontId="35" fillId="0" borderId="21" xfId="8" applyNumberFormat="1" applyFont="1" applyBorder="1" applyAlignment="1">
      <alignment horizontal="center"/>
    </xf>
    <xf numFmtId="174" fontId="35" fillId="0" borderId="21" xfId="0" applyNumberFormat="1" applyFont="1" applyBorder="1" applyAlignment="1">
      <alignment horizontal="center"/>
    </xf>
    <xf numFmtId="174" fontId="36" fillId="0" borderId="21" xfId="0" applyNumberFormat="1" applyFont="1" applyBorder="1" applyAlignment="1">
      <alignment horizontal="center"/>
    </xf>
    <xf numFmtId="173" fontId="36" fillId="0" borderId="21" xfId="8" applyNumberFormat="1" applyFont="1" applyBorder="1" applyAlignment="1">
      <alignment horizontal="center"/>
    </xf>
    <xf numFmtId="173" fontId="35" fillId="0" borderId="21" xfId="10" applyNumberFormat="1" applyFont="1" applyBorder="1" applyAlignment="1">
      <alignment horizontal="center"/>
    </xf>
    <xf numFmtId="0" fontId="9" fillId="0" borderId="0" xfId="3" applyAlignment="1" applyProtection="1"/>
    <xf numFmtId="0" fontId="26" fillId="0" borderId="0" xfId="0" applyFont="1" applyAlignment="1">
      <alignment horizontal="center"/>
    </xf>
    <xf numFmtId="0" fontId="11" fillId="0" borderId="0" xfId="0" applyFont="1"/>
    <xf numFmtId="173" fontId="28" fillId="4" borderId="0" xfId="0" applyNumberFormat="1" applyFont="1" applyFill="1" applyAlignment="1">
      <alignment horizontal="center"/>
    </xf>
    <xf numFmtId="0" fontId="39" fillId="10" borderId="60" xfId="0" applyFont="1" applyFill="1" applyBorder="1" applyAlignment="1">
      <alignment horizontal="center" vertical="center"/>
    </xf>
    <xf numFmtId="0" fontId="39" fillId="10" borderId="0" xfId="0" applyFont="1" applyFill="1" applyAlignment="1">
      <alignment horizontal="center" vertical="center"/>
    </xf>
    <xf numFmtId="0" fontId="0" fillId="0" borderId="61" xfId="0" applyBorder="1" applyAlignment="1">
      <alignment horizontal="left" vertical="center"/>
    </xf>
    <xf numFmtId="0" fontId="0" fillId="0" borderId="62" xfId="0" applyBorder="1" applyAlignment="1">
      <alignment horizontal="left" vertical="center"/>
    </xf>
    <xf numFmtId="0" fontId="13" fillId="0" borderId="61" xfId="0" applyFont="1" applyBorder="1" applyAlignment="1">
      <alignment horizontal="left" vertical="center"/>
    </xf>
    <xf numFmtId="0" fontId="7" fillId="0" borderId="0" xfId="17" applyAlignment="1">
      <alignment horizontal="center"/>
    </xf>
    <xf numFmtId="0" fontId="7" fillId="0" borderId="0" xfId="17"/>
    <xf numFmtId="0" fontId="11" fillId="0" borderId="0" xfId="17" applyFont="1" applyAlignment="1">
      <alignment horizontal="center"/>
    </xf>
    <xf numFmtId="0" fontId="8" fillId="0" borderId="0" xfId="17" applyFont="1"/>
    <xf numFmtId="0" fontId="42" fillId="0" borderId="0" xfId="17" applyFont="1"/>
    <xf numFmtId="0" fontId="43" fillId="0" borderId="0" xfId="17" applyFont="1"/>
    <xf numFmtId="3" fontId="43" fillId="0" borderId="0" xfId="17" applyNumberFormat="1" applyFont="1"/>
    <xf numFmtId="0" fontId="21" fillId="0" borderId="0" xfId="17" applyFont="1" applyAlignment="1">
      <alignment horizontal="left"/>
    </xf>
    <xf numFmtId="0" fontId="21" fillId="0" borderId="0" xfId="17" applyFont="1" applyAlignment="1">
      <alignment horizontal="center"/>
    </xf>
    <xf numFmtId="3" fontId="7" fillId="0" borderId="0" xfId="17" applyNumberFormat="1" applyAlignment="1">
      <alignment horizontal="center"/>
    </xf>
    <xf numFmtId="173" fontId="7" fillId="0" borderId="0" xfId="8" applyNumberFormat="1" applyFont="1" applyAlignment="1">
      <alignment horizontal="center"/>
    </xf>
    <xf numFmtId="9" fontId="7" fillId="0" borderId="0" xfId="8" applyFont="1" applyAlignment="1">
      <alignment horizontal="center"/>
    </xf>
    <xf numFmtId="9" fontId="7" fillId="0" borderId="0" xfId="8" applyFont="1" applyBorder="1" applyAlignment="1">
      <alignment horizontal="center"/>
    </xf>
    <xf numFmtId="0" fontId="44" fillId="0" borderId="0" xfId="17" applyFont="1"/>
    <xf numFmtId="9" fontId="41" fillId="0" borderId="0" xfId="8" applyFont="1" applyAlignment="1">
      <alignment horizontal="center"/>
    </xf>
    <xf numFmtId="0" fontId="43" fillId="0" borderId="64" xfId="17" applyFont="1" applyBorder="1"/>
    <xf numFmtId="3" fontId="7" fillId="0" borderId="65" xfId="17" applyNumberFormat="1" applyBorder="1" applyAlignment="1">
      <alignment horizontal="center"/>
    </xf>
    <xf numFmtId="0" fontId="43" fillId="0" borderId="66" xfId="17" applyFont="1" applyBorder="1"/>
    <xf numFmtId="3" fontId="7" fillId="0" borderId="54" xfId="17" applyNumberFormat="1" applyBorder="1" applyAlignment="1">
      <alignment horizontal="center"/>
    </xf>
    <xf numFmtId="0" fontId="43" fillId="11" borderId="0" xfId="17" applyFont="1" applyFill="1"/>
    <xf numFmtId="3" fontId="7" fillId="11" borderId="0" xfId="17" applyNumberFormat="1" applyFill="1" applyAlignment="1">
      <alignment horizontal="center"/>
    </xf>
    <xf numFmtId="0" fontId="43" fillId="12" borderId="0" xfId="17" applyFont="1" applyFill="1"/>
    <xf numFmtId="3" fontId="7" fillId="12" borderId="0" xfId="17" applyNumberFormat="1" applyFill="1" applyAlignment="1">
      <alignment horizontal="center"/>
    </xf>
    <xf numFmtId="0" fontId="43" fillId="0" borderId="0" xfId="17" applyFont="1" applyAlignment="1">
      <alignment horizontal="left"/>
    </xf>
    <xf numFmtId="0" fontId="21" fillId="0" borderId="0" xfId="17" applyFont="1"/>
    <xf numFmtId="0" fontId="11" fillId="0" borderId="0" xfId="17" applyFont="1"/>
    <xf numFmtId="3" fontId="11" fillId="0" borderId="0" xfId="17" applyNumberFormat="1" applyFont="1" applyAlignment="1">
      <alignment horizontal="center"/>
    </xf>
    <xf numFmtId="0" fontId="45" fillId="0" borderId="0" xfId="17" applyFont="1"/>
    <xf numFmtId="174" fontId="43" fillId="0" borderId="0" xfId="17" applyNumberFormat="1" applyFont="1" applyAlignment="1">
      <alignment horizontal="center"/>
    </xf>
    <xf numFmtId="174" fontId="7" fillId="0" borderId="0" xfId="17" applyNumberFormat="1" applyAlignment="1">
      <alignment horizontal="center"/>
    </xf>
    <xf numFmtId="2" fontId="7" fillId="0" borderId="0" xfId="8" applyNumberFormat="1" applyFont="1" applyAlignment="1">
      <alignment horizontal="center"/>
    </xf>
    <xf numFmtId="170" fontId="7" fillId="0" borderId="58" xfId="0" applyNumberFormat="1" applyFont="1" applyBorder="1"/>
    <xf numFmtId="0" fontId="8" fillId="0" borderId="0" xfId="0" applyFont="1" applyAlignment="1">
      <alignment horizontal="center"/>
    </xf>
    <xf numFmtId="10" fontId="0" fillId="0" borderId="0" xfId="0" applyNumberFormat="1"/>
    <xf numFmtId="4" fontId="0" fillId="0" borderId="0" xfId="0" applyNumberFormat="1" applyAlignment="1">
      <alignment horizontal="center"/>
    </xf>
    <xf numFmtId="10" fontId="7" fillId="0" borderId="0" xfId="0" applyNumberFormat="1" applyFont="1"/>
    <xf numFmtId="10" fontId="0" fillId="0" borderId="65" xfId="0" applyNumberFormat="1" applyBorder="1" applyAlignment="1">
      <alignment horizontal="center"/>
    </xf>
    <xf numFmtId="10" fontId="0" fillId="0" borderId="67" xfId="0" applyNumberFormat="1" applyBorder="1" applyAlignment="1">
      <alignment horizontal="center"/>
    </xf>
    <xf numFmtId="167" fontId="0" fillId="0" borderId="0" xfId="0" applyNumberFormat="1" applyAlignment="1">
      <alignment horizontal="center"/>
    </xf>
    <xf numFmtId="167" fontId="7" fillId="0" borderId="68" xfId="0" applyNumberFormat="1" applyFont="1" applyBorder="1" applyAlignment="1">
      <alignment horizontal="center"/>
    </xf>
    <xf numFmtId="167" fontId="0" fillId="0" borderId="54" xfId="0" applyNumberFormat="1" applyBorder="1" applyAlignment="1">
      <alignment horizontal="center"/>
    </xf>
    <xf numFmtId="167" fontId="7" fillId="0" borderId="69" xfId="0" applyNumberFormat="1" applyFont="1" applyBorder="1" applyAlignment="1">
      <alignment horizontal="center"/>
    </xf>
    <xf numFmtId="168" fontId="11" fillId="0" borderId="0" xfId="0" applyNumberFormat="1" applyFont="1" applyAlignment="1">
      <alignment horizontal="center"/>
    </xf>
    <xf numFmtId="0" fontId="7" fillId="0" borderId="64" xfId="0" applyFont="1" applyBorder="1" applyAlignment="1">
      <alignment horizontal="center"/>
    </xf>
    <xf numFmtId="4" fontId="0" fillId="0" borderId="0" xfId="0" applyNumberFormat="1"/>
    <xf numFmtId="0" fontId="0" fillId="0" borderId="0" xfId="8" applyNumberFormat="1" applyFont="1" applyAlignment="1">
      <alignment horizontal="center"/>
    </xf>
    <xf numFmtId="173" fontId="0" fillId="0" borderId="0" xfId="0" applyNumberFormat="1"/>
    <xf numFmtId="3" fontId="0" fillId="0" borderId="0" xfId="8" applyNumberFormat="1" applyFont="1" applyAlignment="1">
      <alignment horizontal="center"/>
    </xf>
    <xf numFmtId="2" fontId="4" fillId="0" borderId="0" xfId="25" applyNumberFormat="1" applyAlignment="1">
      <alignment horizontal="center"/>
    </xf>
    <xf numFmtId="0" fontId="43" fillId="0" borderId="0" xfId="17" applyFont="1" applyAlignment="1">
      <alignment horizontal="center"/>
    </xf>
    <xf numFmtId="172" fontId="7" fillId="0" borderId="21" xfId="0" applyNumberFormat="1" applyFont="1" applyBorder="1" applyAlignment="1">
      <alignment horizontal="center"/>
    </xf>
    <xf numFmtId="0" fontId="33" fillId="3" borderId="0" xfId="0" applyFont="1" applyFill="1" applyAlignment="1">
      <alignment horizontal="center"/>
    </xf>
    <xf numFmtId="9" fontId="7" fillId="0" borderId="0" xfId="8" applyFont="1" applyBorder="1"/>
    <xf numFmtId="9" fontId="11" fillId="0" borderId="0" xfId="8" applyFont="1" applyBorder="1"/>
    <xf numFmtId="10" fontId="7" fillId="0" borderId="33" xfId="0" applyNumberFormat="1" applyFont="1" applyBorder="1" applyAlignment="1">
      <alignment horizontal="center" vertical="center"/>
    </xf>
    <xf numFmtId="0" fontId="3" fillId="0" borderId="0" xfId="26"/>
    <xf numFmtId="0" fontId="3" fillId="0" borderId="0" xfId="26" applyAlignment="1">
      <alignment horizontal="center"/>
    </xf>
    <xf numFmtId="0" fontId="11" fillId="0" borderId="0" xfId="26" applyFont="1" applyAlignment="1">
      <alignment horizontal="left"/>
    </xf>
    <xf numFmtId="0" fontId="46" fillId="0" borderId="70" xfId="26" applyFont="1" applyBorder="1"/>
    <xf numFmtId="0" fontId="47" fillId="0" borderId="70" xfId="26" applyFont="1" applyBorder="1"/>
    <xf numFmtId="0" fontId="11" fillId="0" borderId="70" xfId="26" applyFont="1" applyBorder="1" applyAlignment="1">
      <alignment horizontal="center" vertical="center"/>
    </xf>
    <xf numFmtId="0" fontId="11" fillId="14" borderId="70" xfId="26" applyFont="1" applyFill="1" applyBorder="1"/>
    <xf numFmtId="0" fontId="27" fillId="0" borderId="0" xfId="26" applyFont="1"/>
    <xf numFmtId="172" fontId="7" fillId="14" borderId="70" xfId="26" applyNumberFormat="1" applyFont="1" applyFill="1" applyBorder="1"/>
    <xf numFmtId="172" fontId="3" fillId="0" borderId="70" xfId="26" applyNumberFormat="1" applyBorder="1" applyAlignment="1">
      <alignment horizontal="center"/>
    </xf>
    <xf numFmtId="172" fontId="3" fillId="0" borderId="0" xfId="26" applyNumberFormat="1"/>
    <xf numFmtId="0" fontId="7" fillId="0" borderId="70" xfId="26" applyFont="1" applyBorder="1"/>
    <xf numFmtId="172" fontId="3" fillId="0" borderId="0" xfId="26" applyNumberFormat="1" applyAlignment="1">
      <alignment horizontal="center"/>
    </xf>
    <xf numFmtId="0" fontId="7" fillId="14" borderId="70" xfId="26" applyFont="1" applyFill="1" applyBorder="1"/>
    <xf numFmtId="172" fontId="7" fillId="0" borderId="70" xfId="26" applyNumberFormat="1" applyFont="1" applyBorder="1"/>
    <xf numFmtId="172" fontId="7" fillId="11" borderId="0" xfId="26" applyNumberFormat="1" applyFont="1" applyFill="1"/>
    <xf numFmtId="172" fontId="3" fillId="11" borderId="0" xfId="26" applyNumberFormat="1" applyFill="1" applyAlignment="1">
      <alignment horizontal="center"/>
    </xf>
    <xf numFmtId="172" fontId="7" fillId="11" borderId="0" xfId="26" applyNumberFormat="1" applyFont="1" applyFill="1" applyAlignment="1">
      <alignment horizontal="center"/>
    </xf>
    <xf numFmtId="172" fontId="7" fillId="14" borderId="70" xfId="26" applyNumberFormat="1" applyFont="1" applyFill="1" applyBorder="1" applyAlignment="1">
      <alignment vertical="center"/>
    </xf>
    <xf numFmtId="172" fontId="11" fillId="12" borderId="70" xfId="26" quotePrefix="1" applyNumberFormat="1" applyFont="1" applyFill="1" applyBorder="1" applyAlignment="1">
      <alignment vertical="center"/>
    </xf>
    <xf numFmtId="172" fontId="7" fillId="14" borderId="70" xfId="26" applyNumberFormat="1" applyFont="1" applyFill="1" applyBorder="1" applyAlignment="1">
      <alignment horizontal="left" vertical="center"/>
    </xf>
    <xf numFmtId="0" fontId="46" fillId="0" borderId="70" xfId="26" applyFont="1" applyBorder="1" applyAlignment="1">
      <alignment vertical="center"/>
    </xf>
    <xf numFmtId="0" fontId="11" fillId="0" borderId="67" xfId="26" applyFont="1" applyBorder="1" applyAlignment="1">
      <alignment horizontal="center" vertical="center"/>
    </xf>
    <xf numFmtId="0" fontId="11" fillId="0" borderId="69" xfId="26" applyFont="1" applyBorder="1" applyAlignment="1">
      <alignment horizontal="center" vertical="center"/>
    </xf>
    <xf numFmtId="0" fontId="3" fillId="0" borderId="70" xfId="26" applyBorder="1"/>
    <xf numFmtId="0" fontId="11" fillId="0" borderId="0" xfId="26" applyFont="1" applyAlignment="1">
      <alignment horizontal="center" vertical="center"/>
    </xf>
    <xf numFmtId="4" fontId="3" fillId="0" borderId="70" xfId="26" applyNumberFormat="1" applyBorder="1" applyAlignment="1">
      <alignment horizontal="center"/>
    </xf>
    <xf numFmtId="0" fontId="3" fillId="11" borderId="0" xfId="26" applyFill="1"/>
    <xf numFmtId="172" fontId="3" fillId="11" borderId="0" xfId="26" applyNumberFormat="1" applyFill="1"/>
    <xf numFmtId="0" fontId="3" fillId="11" borderId="0" xfId="26" applyFill="1" applyAlignment="1">
      <alignment horizontal="center"/>
    </xf>
    <xf numFmtId="0" fontId="3" fillId="0" borderId="64" xfId="26" applyBorder="1"/>
    <xf numFmtId="170" fontId="3" fillId="0" borderId="65" xfId="26" applyNumberFormat="1" applyBorder="1" applyAlignment="1">
      <alignment horizontal="center"/>
    </xf>
    <xf numFmtId="172" fontId="46" fillId="0" borderId="65" xfId="26" applyNumberFormat="1" applyFont="1" applyBorder="1" applyAlignment="1">
      <alignment horizontal="center"/>
    </xf>
    <xf numFmtId="0" fontId="3" fillId="0" borderId="5" xfId="26" applyBorder="1"/>
    <xf numFmtId="170" fontId="27" fillId="3" borderId="0" xfId="17" applyNumberFormat="1" applyFont="1" applyFill="1" applyAlignment="1">
      <alignment horizontal="center"/>
    </xf>
    <xf numFmtId="170" fontId="27" fillId="3" borderId="68" xfId="17" applyNumberFormat="1" applyFont="1" applyFill="1" applyBorder="1" applyAlignment="1">
      <alignment horizontal="center"/>
    </xf>
    <xf numFmtId="0" fontId="3" fillId="0" borderId="66" xfId="26" applyBorder="1"/>
    <xf numFmtId="172" fontId="3" fillId="0" borderId="54" xfId="26" applyNumberFormat="1" applyBorder="1"/>
    <xf numFmtId="2" fontId="3" fillId="0" borderId="54" xfId="26" applyNumberFormat="1" applyBorder="1" applyAlignment="1">
      <alignment horizontal="center"/>
    </xf>
    <xf numFmtId="2" fontId="3" fillId="0" borderId="69" xfId="26" applyNumberFormat="1" applyBorder="1" applyAlignment="1">
      <alignment horizontal="center"/>
    </xf>
    <xf numFmtId="0" fontId="46" fillId="0" borderId="67" xfId="26" applyFont="1" applyBorder="1" applyAlignment="1">
      <alignment horizontal="center"/>
    </xf>
    <xf numFmtId="0" fontId="46" fillId="0" borderId="66" xfId="26" applyFont="1" applyBorder="1"/>
    <xf numFmtId="10" fontId="0" fillId="0" borderId="54" xfId="29" applyNumberFormat="1" applyFont="1" applyBorder="1" applyAlignment="1">
      <alignment horizontal="center"/>
    </xf>
    <xf numFmtId="10" fontId="0" fillId="0" borderId="69" xfId="29" applyNumberFormat="1" applyFont="1" applyBorder="1" applyAlignment="1">
      <alignment horizontal="center"/>
    </xf>
    <xf numFmtId="170" fontId="3" fillId="0" borderId="0" xfId="26" applyNumberFormat="1"/>
    <xf numFmtId="10" fontId="0" fillId="0" borderId="0" xfId="29" applyNumberFormat="1" applyFont="1"/>
    <xf numFmtId="10" fontId="7" fillId="0" borderId="0" xfId="29" applyNumberFormat="1" applyFont="1"/>
    <xf numFmtId="0" fontId="46" fillId="0" borderId="65" xfId="26" applyFont="1" applyBorder="1" applyAlignment="1">
      <alignment horizontal="center"/>
    </xf>
    <xf numFmtId="0" fontId="3" fillId="0" borderId="3" xfId="26" applyBorder="1"/>
    <xf numFmtId="0" fontId="3" fillId="0" borderId="4" xfId="26" applyBorder="1"/>
    <xf numFmtId="10" fontId="0" fillId="0" borderId="0" xfId="29" applyNumberFormat="1" applyFont="1" applyBorder="1" applyAlignment="1">
      <alignment horizontal="center"/>
    </xf>
    <xf numFmtId="172" fontId="3" fillId="0" borderId="68" xfId="26" applyNumberFormat="1" applyBorder="1" applyAlignment="1">
      <alignment horizontal="left"/>
    </xf>
    <xf numFmtId="0" fontId="3" fillId="0" borderId="68" xfId="26" applyBorder="1" applyAlignment="1">
      <alignment horizontal="left"/>
    </xf>
    <xf numFmtId="0" fontId="3" fillId="0" borderId="2" xfId="26" applyBorder="1"/>
    <xf numFmtId="172" fontId="3" fillId="0" borderId="69" xfId="26" applyNumberFormat="1" applyBorder="1" applyAlignment="1">
      <alignment horizontal="left"/>
    </xf>
    <xf numFmtId="0" fontId="3" fillId="0" borderId="70" xfId="26" applyBorder="1" applyAlignment="1">
      <alignment horizontal="center"/>
    </xf>
    <xf numFmtId="9" fontId="0" fillId="0" borderId="70" xfId="29" applyFont="1" applyBorder="1" applyAlignment="1">
      <alignment horizontal="center"/>
    </xf>
    <xf numFmtId="0" fontId="3" fillId="0" borderId="0" xfId="26" applyAlignment="1">
      <alignment horizontal="left"/>
    </xf>
    <xf numFmtId="0" fontId="46" fillId="0" borderId="71" xfId="26" applyFont="1" applyBorder="1"/>
    <xf numFmtId="173" fontId="46" fillId="0" borderId="1" xfId="29" applyNumberFormat="1" applyFont="1" applyBorder="1" applyAlignment="1">
      <alignment horizontal="center"/>
    </xf>
    <xf numFmtId="0" fontId="46" fillId="0" borderId="72" xfId="26" applyFont="1" applyBorder="1"/>
    <xf numFmtId="0" fontId="3" fillId="0" borderId="72" xfId="26" applyBorder="1"/>
    <xf numFmtId="170" fontId="3" fillId="0" borderId="0" xfId="26" applyNumberFormat="1" applyAlignment="1">
      <alignment horizontal="center"/>
    </xf>
    <xf numFmtId="0" fontId="43" fillId="0" borderId="5" xfId="17" applyFont="1" applyBorder="1"/>
    <xf numFmtId="173" fontId="7" fillId="0" borderId="0" xfId="8" applyNumberFormat="1" applyFont="1" applyBorder="1" applyAlignment="1">
      <alignment horizontal="center"/>
    </xf>
    <xf numFmtId="3" fontId="51" fillId="0" borderId="0" xfId="17" applyNumberFormat="1" applyFont="1"/>
    <xf numFmtId="4" fontId="2" fillId="0" borderId="70" xfId="31" applyNumberFormat="1" applyBorder="1" applyAlignment="1">
      <alignment horizontal="center"/>
    </xf>
    <xf numFmtId="4" fontId="2" fillId="0" borderId="65" xfId="31" applyNumberFormat="1" applyBorder="1" applyAlignment="1">
      <alignment horizontal="center"/>
    </xf>
    <xf numFmtId="4" fontId="2" fillId="0" borderId="67" xfId="31" applyNumberFormat="1" applyBorder="1" applyAlignment="1">
      <alignment horizontal="center"/>
    </xf>
    <xf numFmtId="4" fontId="2" fillId="0" borderId="0" xfId="31" applyNumberFormat="1" applyAlignment="1">
      <alignment horizontal="center"/>
    </xf>
    <xf numFmtId="0" fontId="7" fillId="0" borderId="61" xfId="0" applyFont="1" applyBorder="1" applyAlignment="1">
      <alignment horizontal="left" vertical="center"/>
    </xf>
    <xf numFmtId="174" fontId="0" fillId="0" borderId="0" xfId="8" applyNumberFormat="1" applyFont="1" applyFill="1" applyBorder="1" applyAlignment="1">
      <alignment horizontal="center"/>
    </xf>
    <xf numFmtId="9" fontId="0" fillId="0" borderId="0" xfId="8" applyFont="1" applyFill="1" applyBorder="1" applyAlignment="1">
      <alignment horizontal="center"/>
    </xf>
    <xf numFmtId="0" fontId="0" fillId="0" borderId="0" xfId="0" quotePrefix="1"/>
    <xf numFmtId="177" fontId="0" fillId="0" borderId="0" xfId="0" applyNumberFormat="1"/>
    <xf numFmtId="3" fontId="7" fillId="0" borderId="15" xfId="0" applyNumberFormat="1" applyFont="1" applyBorder="1" applyAlignment="1">
      <alignment horizontal="center"/>
    </xf>
    <xf numFmtId="9" fontId="7" fillId="0" borderId="16" xfId="8" applyFont="1" applyFill="1" applyBorder="1" applyAlignment="1">
      <alignment horizontal="center"/>
    </xf>
    <xf numFmtId="10" fontId="7" fillId="0" borderId="16" xfId="0" applyNumberFormat="1" applyFont="1" applyBorder="1" applyAlignment="1">
      <alignment horizontal="center"/>
    </xf>
    <xf numFmtId="10" fontId="7" fillId="16" borderId="0" xfId="0" applyNumberFormat="1" applyFont="1" applyFill="1"/>
    <xf numFmtId="0" fontId="57" fillId="0" borderId="0" xfId="13" applyFont="1" applyAlignment="1">
      <alignment horizontal="left" wrapText="1" readingOrder="1"/>
    </xf>
    <xf numFmtId="0" fontId="58" fillId="0" borderId="0" xfId="0" applyFont="1" applyAlignment="1">
      <alignment vertical="top" wrapText="1"/>
    </xf>
    <xf numFmtId="0" fontId="54" fillId="0" borderId="0" xfId="0" applyFont="1"/>
    <xf numFmtId="3" fontId="58" fillId="0" borderId="0" xfId="0" applyNumberFormat="1" applyFont="1" applyAlignment="1">
      <alignment vertical="top" wrapText="1"/>
    </xf>
    <xf numFmtId="0" fontId="59" fillId="0" borderId="0" xfId="0" applyFont="1"/>
    <xf numFmtId="0" fontId="59" fillId="0" borderId="0" xfId="0" applyFont="1" applyAlignment="1">
      <alignment horizontal="center"/>
    </xf>
    <xf numFmtId="14" fontId="7" fillId="0" borderId="17" xfId="0" applyNumberFormat="1" applyFont="1" applyBorder="1" applyAlignment="1">
      <alignment horizontal="center" vertical="center" wrapText="1"/>
    </xf>
    <xf numFmtId="0" fontId="28" fillId="3" borderId="16" xfId="0" applyFont="1" applyFill="1" applyBorder="1" applyAlignment="1">
      <alignment horizontal="center"/>
    </xf>
    <xf numFmtId="0" fontId="28" fillId="3" borderId="20" xfId="0" applyFont="1" applyFill="1" applyBorder="1" applyAlignment="1">
      <alignment horizontal="center"/>
    </xf>
    <xf numFmtId="0" fontId="7" fillId="0" borderId="16" xfId="0" applyFont="1" applyBorder="1" applyAlignment="1">
      <alignment horizontal="left" vertical="center"/>
    </xf>
    <xf numFmtId="9" fontId="7" fillId="0" borderId="0" xfId="8" applyFont="1" applyBorder="1" applyAlignment="1">
      <alignment horizontal="right"/>
    </xf>
    <xf numFmtId="0" fontId="7" fillId="0" borderId="0" xfId="0" applyFont="1" applyAlignment="1">
      <alignment horizontal="left"/>
    </xf>
    <xf numFmtId="2" fontId="7" fillId="5" borderId="0" xfId="0" applyNumberFormat="1" applyFont="1" applyFill="1" applyAlignment="1">
      <alignment horizontal="center"/>
    </xf>
    <xf numFmtId="2" fontId="7" fillId="0" borderId="0" xfId="0" applyNumberFormat="1" applyFont="1" applyAlignment="1">
      <alignment horizontal="center"/>
    </xf>
    <xf numFmtId="172" fontId="7" fillId="5" borderId="0" xfId="0" applyNumberFormat="1" applyFont="1" applyFill="1" applyAlignment="1">
      <alignment horizontal="center"/>
    </xf>
    <xf numFmtId="172" fontId="7" fillId="0" borderId="22" xfId="0" applyNumberFormat="1" applyFont="1" applyBorder="1"/>
    <xf numFmtId="172" fontId="7" fillId="0" borderId="23" xfId="0" applyNumberFormat="1" applyFont="1" applyBorder="1" applyAlignment="1">
      <alignment horizontal="center"/>
    </xf>
    <xf numFmtId="172" fontId="7" fillId="0" borderId="24" xfId="0" applyNumberFormat="1" applyFont="1" applyBorder="1"/>
    <xf numFmtId="172" fontId="7" fillId="0" borderId="26" xfId="0" applyNumberFormat="1" applyFont="1" applyBorder="1"/>
    <xf numFmtId="172" fontId="7" fillId="0" borderId="0" xfId="3" applyNumberFormat="1" applyFont="1" applyAlignment="1" applyProtection="1">
      <alignment horizontal="left"/>
    </xf>
    <xf numFmtId="0" fontId="0" fillId="0" borderId="74" xfId="0" applyBorder="1"/>
    <xf numFmtId="164" fontId="0" fillId="0" borderId="0" xfId="0" applyNumberFormat="1"/>
    <xf numFmtId="0" fontId="0" fillId="0" borderId="75" xfId="0" applyBorder="1"/>
    <xf numFmtId="10" fontId="0" fillId="0" borderId="73" xfId="0" applyNumberFormat="1" applyBorder="1" applyAlignment="1">
      <alignment horizontal="center" vertical="center"/>
    </xf>
    <xf numFmtId="0" fontId="35" fillId="0" borderId="21" xfId="0" applyFont="1" applyBorder="1" applyAlignment="1">
      <alignment horizontal="center" vertical="center"/>
    </xf>
    <xf numFmtId="173" fontId="7" fillId="0" borderId="21" xfId="8" applyNumberFormat="1" applyFont="1" applyFill="1" applyBorder="1" applyAlignment="1">
      <alignment horizontal="center" vertical="center"/>
    </xf>
    <xf numFmtId="172" fontId="51" fillId="0" borderId="16" xfId="0" applyNumberFormat="1" applyFont="1" applyBorder="1" applyAlignment="1">
      <alignment horizontal="center"/>
    </xf>
    <xf numFmtId="172" fontId="51" fillId="7" borderId="16" xfId="0" applyNumberFormat="1" applyFont="1" applyFill="1" applyBorder="1" applyAlignment="1">
      <alignment horizontal="center"/>
    </xf>
    <xf numFmtId="173" fontId="7" fillId="7" borderId="16" xfId="8" applyNumberFormat="1" applyFont="1" applyFill="1" applyBorder="1" applyAlignment="1">
      <alignment horizontal="center"/>
    </xf>
    <xf numFmtId="172" fontId="7" fillId="7" borderId="16" xfId="0" applyNumberFormat="1" applyFont="1" applyFill="1" applyBorder="1" applyAlignment="1">
      <alignment horizontal="center"/>
    </xf>
    <xf numFmtId="9" fontId="51" fillId="7" borderId="16" xfId="8" applyFont="1" applyFill="1" applyBorder="1" applyAlignment="1">
      <alignment horizontal="center"/>
    </xf>
    <xf numFmtId="173" fontId="51" fillId="0" borderId="16" xfId="8" applyNumberFormat="1" applyFont="1" applyBorder="1" applyAlignment="1">
      <alignment horizontal="center"/>
    </xf>
    <xf numFmtId="0" fontId="68" fillId="0" borderId="0" xfId="0" applyFont="1"/>
    <xf numFmtId="0" fontId="69" fillId="0" borderId="0" xfId="17" applyFont="1"/>
    <xf numFmtId="3" fontId="69" fillId="0" borderId="0" xfId="17" applyNumberFormat="1" applyFont="1" applyAlignment="1">
      <alignment horizontal="center"/>
    </xf>
    <xf numFmtId="0" fontId="69" fillId="0" borderId="0" xfId="17" applyFont="1" applyAlignment="1">
      <alignment horizontal="center"/>
    </xf>
    <xf numFmtId="3" fontId="69" fillId="0" borderId="0" xfId="17" applyNumberFormat="1" applyFont="1"/>
    <xf numFmtId="0" fontId="70" fillId="0" borderId="0" xfId="17" applyFont="1" applyAlignment="1">
      <alignment horizontal="center"/>
    </xf>
    <xf numFmtId="168" fontId="69" fillId="0" borderId="0" xfId="17" applyNumberFormat="1" applyFont="1"/>
    <xf numFmtId="0" fontId="69" fillId="13" borderId="0" xfId="17" applyFont="1" applyFill="1"/>
    <xf numFmtId="3" fontId="69" fillId="13" borderId="0" xfId="17" applyNumberFormat="1" applyFont="1" applyFill="1" applyAlignment="1">
      <alignment horizontal="center"/>
    </xf>
    <xf numFmtId="3" fontId="69" fillId="17" borderId="0" xfId="0" applyNumberFormat="1" applyFont="1" applyFill="1" applyAlignment="1">
      <alignment horizontal="center"/>
    </xf>
    <xf numFmtId="9" fontId="69" fillId="0" borderId="0" xfId="17" applyNumberFormat="1" applyFont="1"/>
    <xf numFmtId="176" fontId="69" fillId="0" borderId="0" xfId="17" applyNumberFormat="1" applyFont="1" applyAlignment="1">
      <alignment horizontal="center"/>
    </xf>
    <xf numFmtId="0" fontId="69" fillId="17" borderId="0" xfId="0" applyFont="1" applyFill="1" applyAlignment="1">
      <alignment horizontal="center"/>
    </xf>
    <xf numFmtId="3" fontId="69" fillId="0" borderId="0" xfId="17" applyNumberFormat="1" applyFont="1" applyAlignment="1">
      <alignment horizontal="left"/>
    </xf>
    <xf numFmtId="3" fontId="70" fillId="0" borderId="0" xfId="17" applyNumberFormat="1" applyFont="1"/>
    <xf numFmtId="3" fontId="70" fillId="0" borderId="0" xfId="17" applyNumberFormat="1" applyFont="1" applyAlignment="1">
      <alignment horizontal="center"/>
    </xf>
    <xf numFmtId="4" fontId="69" fillId="17" borderId="0" xfId="0" applyNumberFormat="1" applyFont="1" applyFill="1" applyAlignment="1">
      <alignment horizontal="center"/>
    </xf>
    <xf numFmtId="4" fontId="69" fillId="0" borderId="0" xfId="17" applyNumberFormat="1" applyFont="1"/>
    <xf numFmtId="175" fontId="70" fillId="0" borderId="0" xfId="17" applyNumberFormat="1" applyFont="1" applyAlignment="1">
      <alignment horizontal="center"/>
    </xf>
    <xf numFmtId="0" fontId="70" fillId="0" borderId="0" xfId="17" applyFont="1"/>
    <xf numFmtId="175" fontId="69" fillId="13" borderId="0" xfId="17" applyNumberFormat="1" applyFont="1" applyFill="1" applyAlignment="1">
      <alignment horizontal="left"/>
    </xf>
    <xf numFmtId="0" fontId="69" fillId="11" borderId="0" xfId="17" applyFont="1" applyFill="1"/>
    <xf numFmtId="4" fontId="70" fillId="17" borderId="0" xfId="0" applyNumberFormat="1" applyFont="1" applyFill="1" applyAlignment="1">
      <alignment horizontal="center"/>
    </xf>
    <xf numFmtId="0" fontId="70" fillId="13" borderId="0" xfId="17" applyFont="1" applyFill="1"/>
    <xf numFmtId="175" fontId="69" fillId="17" borderId="0" xfId="0" applyNumberFormat="1" applyFont="1" applyFill="1" applyAlignment="1">
      <alignment horizontal="center"/>
    </xf>
    <xf numFmtId="0" fontId="70" fillId="17" borderId="0" xfId="0" applyFont="1" applyFill="1" applyAlignment="1">
      <alignment horizontal="center"/>
    </xf>
    <xf numFmtId="9" fontId="69" fillId="13" borderId="0" xfId="8" applyFont="1" applyFill="1" applyAlignment="1">
      <alignment horizontal="center"/>
    </xf>
    <xf numFmtId="173" fontId="69" fillId="13" borderId="0" xfId="8" applyNumberFormat="1" applyFont="1" applyFill="1" applyAlignment="1">
      <alignment horizontal="center"/>
    </xf>
    <xf numFmtId="173" fontId="69" fillId="13" borderId="0" xfId="8" applyNumberFormat="1" applyFont="1" applyFill="1" applyBorder="1" applyAlignment="1">
      <alignment horizontal="center"/>
    </xf>
    <xf numFmtId="9" fontId="69" fillId="0" borderId="0" xfId="8" applyFont="1" applyFill="1" applyBorder="1" applyAlignment="1">
      <alignment horizontal="center"/>
    </xf>
    <xf numFmtId="9" fontId="70" fillId="0" borderId="0" xfId="8" applyFont="1" applyFill="1" applyBorder="1" applyAlignment="1">
      <alignment horizontal="center"/>
    </xf>
    <xf numFmtId="173" fontId="70" fillId="0" borderId="0" xfId="8" applyNumberFormat="1" applyFont="1" applyFill="1" applyBorder="1" applyAlignment="1">
      <alignment horizontal="center"/>
    </xf>
    <xf numFmtId="173" fontId="69" fillId="0" borderId="0" xfId="8" applyNumberFormat="1" applyFont="1" applyFill="1" applyBorder="1" applyAlignment="1">
      <alignment horizontal="center"/>
    </xf>
    <xf numFmtId="175" fontId="69" fillId="13" borderId="0" xfId="17" applyNumberFormat="1" applyFont="1" applyFill="1" applyAlignment="1">
      <alignment horizontal="center"/>
    </xf>
    <xf numFmtId="175" fontId="69" fillId="0" borderId="0" xfId="17" applyNumberFormat="1" applyFont="1" applyAlignment="1">
      <alignment horizontal="center"/>
    </xf>
    <xf numFmtId="4" fontId="69" fillId="13" borderId="0" xfId="17" applyNumberFormat="1" applyFont="1" applyFill="1" applyAlignment="1">
      <alignment horizontal="center"/>
    </xf>
    <xf numFmtId="0" fontId="51" fillId="0" borderId="0" xfId="17" applyFont="1"/>
    <xf numFmtId="173" fontId="69" fillId="13" borderId="0" xfId="17" applyNumberFormat="1" applyFont="1" applyFill="1" applyAlignment="1">
      <alignment horizontal="center"/>
    </xf>
    <xf numFmtId="0" fontId="26" fillId="0" borderId="0" xfId="13" applyFont="1"/>
    <xf numFmtId="0" fontId="7" fillId="0" borderId="0" xfId="13"/>
    <xf numFmtId="0" fontId="11" fillId="0" borderId="0" xfId="13" applyFont="1"/>
    <xf numFmtId="9" fontId="7" fillId="0" borderId="0" xfId="8" applyFont="1" applyFill="1" applyBorder="1" applyAlignment="1">
      <alignment horizontal="center" vertical="center"/>
    </xf>
    <xf numFmtId="173" fontId="7" fillId="0" borderId="0" xfId="13" applyNumberFormat="1"/>
    <xf numFmtId="9" fontId="0" fillId="0" borderId="0" xfId="0" applyNumberFormat="1" applyAlignment="1">
      <alignment horizontal="center" vertical="center"/>
    </xf>
    <xf numFmtId="173" fontId="0" fillId="0" borderId="0" xfId="8" applyNumberFormat="1" applyFont="1" applyFill="1" applyBorder="1"/>
    <xf numFmtId="0" fontId="0" fillId="0" borderId="0" xfId="0" applyAlignment="1">
      <alignment horizontal="center" vertical="center"/>
    </xf>
    <xf numFmtId="173" fontId="28" fillId="0" borderId="0" xfId="8" applyNumberFormat="1" applyFont="1" applyFill="1" applyBorder="1"/>
    <xf numFmtId="173" fontId="0" fillId="0" borderId="0" xfId="8" applyNumberFormat="1" applyFont="1" applyFill="1" applyBorder="1" applyAlignment="1">
      <alignment horizontal="center" vertical="center"/>
    </xf>
    <xf numFmtId="9" fontId="0" fillId="0" borderId="0" xfId="8" applyFont="1" applyFill="1" applyBorder="1"/>
    <xf numFmtId="2" fontId="0" fillId="0" borderId="0" xfId="0" applyNumberFormat="1"/>
    <xf numFmtId="0" fontId="28" fillId="0" borderId="0" xfId="0" applyFont="1" applyAlignment="1">
      <alignment horizontal="center"/>
    </xf>
    <xf numFmtId="164" fontId="27" fillId="0" borderId="0" xfId="0" applyNumberFormat="1" applyFont="1"/>
    <xf numFmtId="0" fontId="70" fillId="7" borderId="0" xfId="17" applyFont="1" applyFill="1" applyAlignment="1">
      <alignment horizontal="center"/>
    </xf>
    <xf numFmtId="0" fontId="11" fillId="0" borderId="72" xfId="26" applyFont="1" applyBorder="1" applyAlignment="1">
      <alignment horizontal="center" vertical="center"/>
    </xf>
    <xf numFmtId="0" fontId="11" fillId="0" borderId="3" xfId="26" applyFont="1" applyBorder="1" applyAlignment="1">
      <alignment horizontal="center"/>
    </xf>
    <xf numFmtId="9" fontId="3" fillId="0" borderId="0" xfId="26" applyNumberFormat="1" applyAlignment="1">
      <alignment horizontal="center"/>
    </xf>
    <xf numFmtId="10" fontId="3" fillId="0" borderId="0" xfId="26" applyNumberFormat="1" applyAlignment="1">
      <alignment horizontal="center"/>
    </xf>
    <xf numFmtId="173" fontId="69" fillId="0" borderId="0" xfId="17" applyNumberFormat="1" applyFont="1" applyAlignment="1">
      <alignment horizontal="center"/>
    </xf>
    <xf numFmtId="9" fontId="70" fillId="0" borderId="0" xfId="17" applyNumberFormat="1" applyFont="1" applyAlignment="1">
      <alignment horizontal="center"/>
    </xf>
    <xf numFmtId="178" fontId="3" fillId="15" borderId="70" xfId="27" applyNumberFormat="1" applyFill="1" applyBorder="1" applyAlignment="1">
      <alignment horizontal="center"/>
    </xf>
    <xf numFmtId="178" fontId="3" fillId="15" borderId="71" xfId="27" applyNumberFormat="1" applyFill="1" applyBorder="1" applyAlignment="1">
      <alignment horizontal="center"/>
    </xf>
    <xf numFmtId="178" fontId="3" fillId="0" borderId="79" xfId="26" applyNumberFormat="1" applyBorder="1" applyAlignment="1">
      <alignment horizontal="center"/>
    </xf>
    <xf numFmtId="178" fontId="3" fillId="15" borderId="70" xfId="26" applyNumberFormat="1" applyFill="1" applyBorder="1" applyAlignment="1">
      <alignment horizontal="center"/>
    </xf>
    <xf numFmtId="178" fontId="7" fillId="0" borderId="70" xfId="26" applyNumberFormat="1" applyFont="1" applyBorder="1" applyAlignment="1">
      <alignment horizontal="center"/>
    </xf>
    <xf numFmtId="178" fontId="49" fillId="5" borderId="70" xfId="26" applyNumberFormat="1" applyFont="1" applyFill="1" applyBorder="1" applyAlignment="1">
      <alignment horizontal="center" vertical="center"/>
    </xf>
    <xf numFmtId="178" fontId="48" fillId="0" borderId="70" xfId="26" applyNumberFormat="1" applyFont="1" applyBorder="1" applyAlignment="1">
      <alignment horizontal="center" vertical="center"/>
    </xf>
    <xf numFmtId="178" fontId="50" fillId="5" borderId="70" xfId="26" applyNumberFormat="1" applyFont="1" applyFill="1" applyBorder="1" applyAlignment="1">
      <alignment horizontal="center"/>
    </xf>
    <xf numFmtId="178" fontId="49" fillId="5" borderId="70" xfId="26" applyNumberFormat="1" applyFont="1" applyFill="1" applyBorder="1" applyAlignment="1">
      <alignment horizontal="center"/>
    </xf>
    <xf numFmtId="178" fontId="3" fillId="12" borderId="70" xfId="26" applyNumberFormat="1" applyFill="1" applyBorder="1" applyAlignment="1">
      <alignment horizontal="center"/>
    </xf>
    <xf numFmtId="178" fontId="49" fillId="0" borderId="70" xfId="26" applyNumberFormat="1" applyFont="1" applyBorder="1" applyAlignment="1">
      <alignment horizontal="center"/>
    </xf>
    <xf numFmtId="178" fontId="3" fillId="0" borderId="70" xfId="26" applyNumberFormat="1" applyBorder="1" applyAlignment="1">
      <alignment horizontal="center"/>
    </xf>
    <xf numFmtId="178" fontId="49" fillId="12" borderId="70" xfId="26" applyNumberFormat="1" applyFont="1" applyFill="1" applyBorder="1" applyAlignment="1">
      <alignment horizontal="center"/>
    </xf>
    <xf numFmtId="178" fontId="48" fillId="0" borderId="70" xfId="26" applyNumberFormat="1" applyFont="1" applyBorder="1" applyAlignment="1">
      <alignment horizontal="center"/>
    </xf>
    <xf numFmtId="178" fontId="49" fillId="5" borderId="70" xfId="32" applyNumberFormat="1" applyFont="1" applyFill="1" applyBorder="1" applyAlignment="1">
      <alignment horizontal="center"/>
    </xf>
    <xf numFmtId="178" fontId="49" fillId="15" borderId="70" xfId="27" applyNumberFormat="1" applyFont="1" applyFill="1" applyBorder="1" applyAlignment="1">
      <alignment horizontal="center"/>
    </xf>
    <xf numFmtId="178" fontId="49" fillId="0" borderId="2" xfId="26" applyNumberFormat="1" applyFont="1" applyBorder="1" applyAlignment="1">
      <alignment horizontal="center"/>
    </xf>
    <xf numFmtId="178" fontId="48" fillId="15" borderId="70" xfId="26" applyNumberFormat="1" applyFont="1" applyFill="1" applyBorder="1" applyAlignment="1">
      <alignment horizontal="center"/>
    </xf>
    <xf numFmtId="178" fontId="49" fillId="15" borderId="70" xfId="26" applyNumberFormat="1" applyFont="1" applyFill="1" applyBorder="1" applyAlignment="1">
      <alignment horizontal="center"/>
    </xf>
    <xf numFmtId="178" fontId="3" fillId="5" borderId="70" xfId="26" applyNumberFormat="1" applyFill="1" applyBorder="1" applyAlignment="1">
      <alignment horizontal="center" vertical="center"/>
    </xf>
    <xf numFmtId="178" fontId="50" fillId="0" borderId="70" xfId="29" applyNumberFormat="1" applyFont="1" applyBorder="1" applyAlignment="1">
      <alignment horizontal="center" vertical="center"/>
    </xf>
    <xf numFmtId="178" fontId="0" fillId="0" borderId="70" xfId="29" applyNumberFormat="1" applyFont="1" applyBorder="1" applyAlignment="1">
      <alignment horizontal="center" vertical="center"/>
    </xf>
    <xf numFmtId="178" fontId="50" fillId="5" borderId="70" xfId="26" applyNumberFormat="1" applyFont="1" applyFill="1" applyBorder="1" applyAlignment="1">
      <alignment horizontal="center" vertical="center"/>
    </xf>
    <xf numFmtId="178" fontId="49" fillId="0" borderId="70" xfId="29" applyNumberFormat="1" applyFont="1" applyBorder="1" applyAlignment="1">
      <alignment horizontal="center" vertical="center"/>
    </xf>
    <xf numFmtId="10" fontId="27" fillId="15" borderId="70" xfId="27" applyNumberFormat="1" applyFont="1" applyFill="1" applyBorder="1" applyAlignment="1">
      <alignment horizontal="center"/>
    </xf>
    <xf numFmtId="10" fontId="27" fillId="15" borderId="71" xfId="27" applyNumberFormat="1" applyFont="1" applyFill="1" applyBorder="1" applyAlignment="1">
      <alignment horizontal="center"/>
    </xf>
    <xf numFmtId="10" fontId="7" fillId="0" borderId="79" xfId="26" applyNumberFormat="1" applyFont="1" applyBorder="1" applyAlignment="1">
      <alignment horizontal="center"/>
    </xf>
    <xf numFmtId="10" fontId="27" fillId="15" borderId="70" xfId="28" applyNumberFormat="1" applyFont="1" applyFill="1" applyBorder="1" applyAlignment="1">
      <alignment horizontal="center"/>
    </xf>
    <xf numFmtId="10" fontId="27" fillId="15" borderId="71" xfId="28" applyNumberFormat="1" applyFont="1" applyFill="1" applyBorder="1" applyAlignment="1">
      <alignment horizontal="center"/>
    </xf>
    <xf numFmtId="0" fontId="11" fillId="0" borderId="70" xfId="27" applyFont="1" applyBorder="1" applyAlignment="1">
      <alignment horizontal="center"/>
    </xf>
    <xf numFmtId="2" fontId="70" fillId="0" borderId="0" xfId="17" applyNumberFormat="1" applyFont="1" applyAlignment="1">
      <alignment horizontal="center"/>
    </xf>
    <xf numFmtId="0" fontId="11" fillId="0" borderId="80" xfId="26" applyFont="1" applyBorder="1" applyAlignment="1">
      <alignment horizontal="center" vertical="center"/>
    </xf>
    <xf numFmtId="172" fontId="11" fillId="12" borderId="81" xfId="26" quotePrefix="1" applyNumberFormat="1" applyFont="1" applyFill="1" applyBorder="1" applyAlignment="1">
      <alignment vertical="center"/>
    </xf>
    <xf numFmtId="178" fontId="49" fillId="12" borderId="81" xfId="26" applyNumberFormat="1" applyFont="1" applyFill="1" applyBorder="1" applyAlignment="1">
      <alignment horizontal="center"/>
    </xf>
    <xf numFmtId="0" fontId="71" fillId="0" borderId="0" xfId="0" applyFont="1" applyAlignment="1">
      <alignment vertical="center"/>
    </xf>
    <xf numFmtId="0" fontId="51" fillId="0" borderId="0" xfId="0" applyFont="1"/>
    <xf numFmtId="10" fontId="0" fillId="19" borderId="65" xfId="29" applyNumberFormat="1" applyFont="1" applyFill="1" applyBorder="1" applyAlignment="1">
      <alignment horizontal="center"/>
    </xf>
    <xf numFmtId="172" fontId="3" fillId="19" borderId="67" xfId="26" applyNumberFormat="1" applyFill="1" applyBorder="1" applyAlignment="1">
      <alignment horizontal="left"/>
    </xf>
    <xf numFmtId="0" fontId="72" fillId="3" borderId="0" xfId="26" applyFont="1" applyFill="1"/>
    <xf numFmtId="0" fontId="46" fillId="0" borderId="0" xfId="26" applyFont="1"/>
    <xf numFmtId="0" fontId="72" fillId="3" borderId="0" xfId="26" applyFont="1" applyFill="1" applyAlignment="1">
      <alignment horizontal="right"/>
    </xf>
    <xf numFmtId="178" fontId="3" fillId="0" borderId="0" xfId="26" applyNumberFormat="1" applyAlignment="1">
      <alignment horizontal="center"/>
    </xf>
    <xf numFmtId="178" fontId="3" fillId="0" borderId="0" xfId="26" applyNumberFormat="1"/>
    <xf numFmtId="1" fontId="3" fillId="0" borderId="0" xfId="26" applyNumberFormat="1" applyAlignment="1">
      <alignment horizontal="center"/>
    </xf>
    <xf numFmtId="1" fontId="3" fillId="0" borderId="0" xfId="26" applyNumberFormat="1"/>
    <xf numFmtId="173" fontId="0" fillId="0" borderId="0" xfId="8" applyNumberFormat="1" applyFont="1" applyFill="1" applyBorder="1" applyAlignment="1">
      <alignment horizontal="center"/>
    </xf>
    <xf numFmtId="174" fontId="0" fillId="0" borderId="0" xfId="0" applyNumberFormat="1" applyAlignment="1">
      <alignment horizontal="center"/>
    </xf>
    <xf numFmtId="3" fontId="0" fillId="0" borderId="76" xfId="0" applyNumberFormat="1" applyBorder="1" applyAlignment="1">
      <alignment horizontal="center"/>
    </xf>
    <xf numFmtId="173" fontId="0" fillId="0" borderId="77" xfId="8" applyNumberFormat="1" applyFont="1" applyFill="1" applyBorder="1" applyAlignment="1">
      <alignment horizontal="center" wrapText="1"/>
    </xf>
    <xf numFmtId="173" fontId="0" fillId="0" borderId="77" xfId="8" applyNumberFormat="1" applyFont="1" applyFill="1" applyBorder="1" applyAlignment="1">
      <alignment horizontal="center"/>
    </xf>
    <xf numFmtId="3" fontId="0" fillId="0" borderId="77" xfId="0" applyNumberFormat="1" applyBorder="1" applyAlignment="1">
      <alignment horizontal="center"/>
    </xf>
    <xf numFmtId="9" fontId="0" fillId="0" borderId="77" xfId="8" applyFont="1" applyFill="1" applyBorder="1" applyAlignment="1">
      <alignment horizontal="center"/>
    </xf>
    <xf numFmtId="174" fontId="0" fillId="0" borderId="77" xfId="8" applyNumberFormat="1" applyFont="1" applyFill="1" applyBorder="1" applyAlignment="1">
      <alignment horizontal="center"/>
    </xf>
    <xf numFmtId="2" fontId="0" fillId="0" borderId="77" xfId="0" applyNumberFormat="1" applyBorder="1" applyAlignment="1">
      <alignment horizontal="center"/>
    </xf>
    <xf numFmtId="174" fontId="0" fillId="0" borderId="77" xfId="0" applyNumberFormat="1" applyBorder="1" applyAlignment="1">
      <alignment horizontal="center"/>
    </xf>
    <xf numFmtId="173" fontId="0" fillId="0" borderId="83" xfId="8" applyNumberFormat="1" applyFont="1" applyFill="1" applyBorder="1" applyAlignment="1">
      <alignment horizontal="center"/>
    </xf>
    <xf numFmtId="3" fontId="0" fillId="0" borderId="83" xfId="0" applyNumberFormat="1" applyBorder="1" applyAlignment="1">
      <alignment horizontal="center"/>
    </xf>
    <xf numFmtId="9" fontId="0" fillId="0" borderId="83" xfId="8" applyFont="1" applyFill="1" applyBorder="1" applyAlignment="1">
      <alignment horizontal="center"/>
    </xf>
    <xf numFmtId="174" fontId="0" fillId="0" borderId="83" xfId="0" applyNumberFormat="1" applyBorder="1" applyAlignment="1">
      <alignment horizontal="center"/>
    </xf>
    <xf numFmtId="3" fontId="0" fillId="0" borderId="82" xfId="0" applyNumberFormat="1" applyBorder="1" applyAlignment="1">
      <alignment horizontal="center" wrapText="1"/>
    </xf>
    <xf numFmtId="3" fontId="0" fillId="0" borderId="0" xfId="0" applyNumberFormat="1" applyAlignment="1">
      <alignment horizontal="center" wrapText="1"/>
    </xf>
    <xf numFmtId="172" fontId="0" fillId="7" borderId="0" xfId="0" applyNumberFormat="1" applyFill="1" applyAlignment="1">
      <alignment horizontal="center"/>
    </xf>
    <xf numFmtId="173" fontId="27" fillId="7" borderId="0" xfId="8" applyNumberFormat="1" applyFont="1" applyFill="1"/>
    <xf numFmtId="9" fontId="27" fillId="7" borderId="0" xfId="8" applyFont="1" applyFill="1"/>
    <xf numFmtId="0" fontId="27" fillId="7" borderId="0" xfId="0" applyFont="1" applyFill="1"/>
    <xf numFmtId="0" fontId="74" fillId="0" borderId="0" xfId="26" applyFont="1" applyAlignment="1">
      <alignment wrapText="1"/>
    </xf>
    <xf numFmtId="9" fontId="46" fillId="0" borderId="0" xfId="26" applyNumberFormat="1" applyFont="1" applyAlignment="1">
      <alignment horizontal="center" vertical="center"/>
    </xf>
    <xf numFmtId="178" fontId="75" fillId="18" borderId="85" xfId="0" applyNumberFormat="1" applyFont="1" applyFill="1" applyBorder="1" applyAlignment="1">
      <alignment horizontal="center"/>
    </xf>
    <xf numFmtId="178" fontId="75" fillId="18" borderId="85" xfId="0" applyNumberFormat="1" applyFont="1" applyFill="1" applyBorder="1" applyAlignment="1">
      <alignment horizontal="center" vertical="center"/>
    </xf>
    <xf numFmtId="0" fontId="46" fillId="0" borderId="0" xfId="26" applyFont="1" applyAlignment="1">
      <alignment horizontal="left"/>
    </xf>
    <xf numFmtId="173" fontId="46" fillId="0" borderId="0" xfId="26" applyNumberFormat="1" applyFont="1" applyAlignment="1">
      <alignment horizontal="center" vertical="center"/>
    </xf>
    <xf numFmtId="9" fontId="46" fillId="0" borderId="0" xfId="26" applyNumberFormat="1" applyFont="1" applyAlignment="1">
      <alignment horizontal="center"/>
    </xf>
    <xf numFmtId="10" fontId="0" fillId="0" borderId="84" xfId="8" applyNumberFormat="1" applyFont="1" applyFill="1" applyBorder="1" applyAlignment="1">
      <alignment horizontal="center"/>
    </xf>
    <xf numFmtId="10" fontId="46" fillId="0" borderId="0" xfId="26" applyNumberFormat="1" applyFont="1" applyAlignment="1">
      <alignment horizontal="center"/>
    </xf>
    <xf numFmtId="178" fontId="7" fillId="0" borderId="0" xfId="17" applyNumberFormat="1" applyAlignment="1">
      <alignment horizontal="center"/>
    </xf>
    <xf numFmtId="10" fontId="0" fillId="0" borderId="78" xfId="8" applyNumberFormat="1" applyFont="1" applyFill="1" applyBorder="1" applyAlignment="1">
      <alignment horizontal="center"/>
    </xf>
    <xf numFmtId="9" fontId="46" fillId="11" borderId="0" xfId="26" applyNumberFormat="1" applyFont="1" applyFill="1" applyAlignment="1">
      <alignment horizontal="center"/>
    </xf>
    <xf numFmtId="10" fontId="46" fillId="11" borderId="0" xfId="26" applyNumberFormat="1" applyFont="1" applyFill="1" applyAlignment="1">
      <alignment horizontal="center"/>
    </xf>
    <xf numFmtId="178" fontId="1" fillId="0" borderId="85" xfId="26" applyNumberFormat="1" applyFont="1" applyBorder="1" applyAlignment="1">
      <alignment horizontal="center" vertical="center"/>
    </xf>
    <xf numFmtId="0" fontId="1" fillId="0" borderId="85" xfId="26" applyFont="1" applyBorder="1" applyAlignment="1">
      <alignment horizontal="center" vertical="center"/>
    </xf>
    <xf numFmtId="0" fontId="51" fillId="7" borderId="0" xfId="0" applyFont="1" applyFill="1"/>
    <xf numFmtId="3" fontId="51" fillId="0" borderId="0" xfId="0" applyNumberFormat="1" applyFont="1" applyAlignment="1">
      <alignment horizontal="center"/>
    </xf>
    <xf numFmtId="173" fontId="51" fillId="0" borderId="0" xfId="8" applyNumberFormat="1" applyFont="1" applyFill="1" applyAlignment="1">
      <alignment horizontal="center"/>
    </xf>
    <xf numFmtId="0" fontId="51" fillId="0" borderId="61" xfId="0" applyFont="1" applyBorder="1" applyAlignment="1">
      <alignment horizontal="left" vertical="center"/>
    </xf>
    <xf numFmtId="173" fontId="1" fillId="0" borderId="0" xfId="8" applyNumberFormat="1" applyFont="1"/>
    <xf numFmtId="178" fontId="1" fillId="15" borderId="70" xfId="27" applyNumberFormat="1" applyFont="1" applyFill="1" applyBorder="1" applyAlignment="1">
      <alignment horizontal="center"/>
    </xf>
    <xf numFmtId="170" fontId="1" fillId="0" borderId="65" xfId="26" applyNumberFormat="1" applyFont="1" applyBorder="1" applyAlignment="1">
      <alignment horizontal="center"/>
    </xf>
    <xf numFmtId="2" fontId="1" fillId="0" borderId="54" xfId="26" applyNumberFormat="1" applyFont="1" applyBorder="1" applyAlignment="1">
      <alignment horizontal="center"/>
    </xf>
    <xf numFmtId="9" fontId="1" fillId="0" borderId="0" xfId="8" applyFont="1" applyAlignment="1">
      <alignment horizontal="center"/>
    </xf>
    <xf numFmtId="173" fontId="1" fillId="0" borderId="0" xfId="8" applyNumberFormat="1" applyFont="1" applyAlignment="1">
      <alignment horizontal="center"/>
    </xf>
    <xf numFmtId="0" fontId="1" fillId="0" borderId="4" xfId="26" applyFont="1" applyBorder="1"/>
    <xf numFmtId="43" fontId="1" fillId="0" borderId="0" xfId="30" applyFont="1"/>
    <xf numFmtId="0" fontId="1" fillId="0" borderId="0" xfId="26" applyFont="1"/>
    <xf numFmtId="0" fontId="1" fillId="0" borderId="0" xfId="26" applyFont="1" applyAlignment="1">
      <alignment horizontal="center" vertical="center"/>
    </xf>
    <xf numFmtId="178" fontId="46" fillId="0" borderId="85" xfId="26" applyNumberFormat="1" applyFont="1" applyBorder="1" applyAlignment="1">
      <alignment horizontal="center"/>
    </xf>
    <xf numFmtId="173" fontId="46" fillId="0" borderId="85" xfId="26" applyNumberFormat="1" applyFont="1" applyBorder="1" applyAlignment="1">
      <alignment horizontal="center" vertical="center"/>
    </xf>
    <xf numFmtId="9" fontId="46" fillId="0" borderId="85" xfId="26" applyNumberFormat="1" applyFont="1" applyBorder="1" applyAlignment="1">
      <alignment horizontal="center" vertical="center"/>
    </xf>
    <xf numFmtId="0" fontId="46" fillId="0" borderId="0" xfId="26" applyFont="1" applyAlignment="1">
      <alignment horizontal="center" vertical="center"/>
    </xf>
    <xf numFmtId="10" fontId="0" fillId="0" borderId="77" xfId="8" applyNumberFormat="1" applyFont="1" applyFill="1" applyBorder="1" applyAlignment="1">
      <alignment horizontal="center"/>
    </xf>
    <xf numFmtId="173" fontId="0" fillId="11" borderId="83" xfId="8" applyNumberFormat="1" applyFont="1" applyFill="1" applyBorder="1" applyAlignment="1">
      <alignment horizontal="center" wrapText="1"/>
    </xf>
    <xf numFmtId="173" fontId="0" fillId="11" borderId="83" xfId="8" applyNumberFormat="1" applyFont="1" applyFill="1" applyBorder="1" applyAlignment="1">
      <alignment horizontal="center"/>
    </xf>
    <xf numFmtId="9" fontId="0" fillId="20" borderId="83" xfId="8" applyFont="1" applyFill="1" applyBorder="1" applyAlignment="1">
      <alignment horizontal="center"/>
    </xf>
    <xf numFmtId="174" fontId="0" fillId="20" borderId="83" xfId="8" applyNumberFormat="1" applyFont="1" applyFill="1" applyBorder="1" applyAlignment="1">
      <alignment horizontal="center"/>
    </xf>
    <xf numFmtId="9" fontId="0" fillId="11" borderId="83" xfId="8" applyFont="1" applyFill="1" applyBorder="1" applyAlignment="1">
      <alignment horizontal="center"/>
    </xf>
    <xf numFmtId="174" fontId="0" fillId="8" borderId="83" xfId="0" applyNumberFormat="1" applyFill="1" applyBorder="1" applyAlignment="1">
      <alignment horizontal="center"/>
    </xf>
    <xf numFmtId="10" fontId="0" fillId="11" borderId="84" xfId="8" applyNumberFormat="1" applyFont="1" applyFill="1" applyBorder="1" applyAlignment="1">
      <alignment horizontal="center"/>
    </xf>
    <xf numFmtId="0" fontId="7" fillId="7" borderId="16" xfId="0" applyFont="1" applyFill="1" applyBorder="1"/>
    <xf numFmtId="172" fontId="7" fillId="7" borderId="21" xfId="0" applyNumberFormat="1" applyFont="1" applyFill="1" applyBorder="1" applyAlignment="1">
      <alignment horizontal="center"/>
    </xf>
    <xf numFmtId="0" fontId="0" fillId="7" borderId="0" xfId="0" applyFill="1"/>
    <xf numFmtId="0" fontId="7" fillId="7" borderId="16" xfId="0" applyFont="1" applyFill="1" applyBorder="1" applyAlignment="1">
      <alignment horizontal="left" indent="1"/>
    </xf>
    <xf numFmtId="0" fontId="7" fillId="7" borderId="16" xfId="0" applyFont="1" applyFill="1" applyBorder="1" applyAlignment="1">
      <alignment horizontal="left"/>
    </xf>
    <xf numFmtId="172" fontId="7" fillId="7" borderId="16" xfId="0" applyNumberFormat="1" applyFont="1" applyFill="1" applyBorder="1" applyAlignment="1">
      <alignment horizontal="center" wrapText="1"/>
    </xf>
    <xf numFmtId="0" fontId="0" fillId="7" borderId="16" xfId="0" applyFill="1" applyBorder="1"/>
    <xf numFmtId="9" fontId="7" fillId="7" borderId="16" xfId="19" applyFill="1" applyBorder="1" applyAlignment="1">
      <alignment horizontal="center"/>
    </xf>
    <xf numFmtId="173" fontId="7" fillId="7" borderId="21" xfId="19" applyNumberFormat="1" applyFill="1" applyBorder="1" applyAlignment="1">
      <alignment horizontal="center"/>
    </xf>
    <xf numFmtId="174" fontId="0" fillId="7" borderId="16" xfId="0" applyNumberFormat="1" applyFill="1" applyBorder="1" applyAlignment="1">
      <alignment horizontal="center"/>
    </xf>
    <xf numFmtId="174" fontId="0" fillId="7" borderId="21" xfId="0" applyNumberFormat="1" applyFill="1" applyBorder="1" applyAlignment="1">
      <alignment horizontal="center"/>
    </xf>
    <xf numFmtId="172" fontId="7" fillId="7" borderId="21" xfId="0" applyNumberFormat="1" applyFont="1" applyFill="1" applyBorder="1" applyAlignment="1">
      <alignment horizontal="center" wrapText="1"/>
    </xf>
    <xf numFmtId="0" fontId="77" fillId="21" borderId="92" xfId="0" applyFont="1" applyFill="1" applyBorder="1"/>
    <xf numFmtId="0" fontId="77" fillId="21" borderId="93" xfId="0" applyFont="1" applyFill="1" applyBorder="1"/>
    <xf numFmtId="0" fontId="77" fillId="21" borderId="94" xfId="0" applyFont="1" applyFill="1" applyBorder="1"/>
    <xf numFmtId="0" fontId="77" fillId="21" borderId="95" xfId="0" applyFont="1" applyFill="1" applyBorder="1"/>
    <xf numFmtId="0" fontId="77" fillId="21" borderId="97" xfId="0" applyFont="1" applyFill="1" applyBorder="1"/>
    <xf numFmtId="0" fontId="77" fillId="21" borderId="98" xfId="0" applyFont="1" applyFill="1" applyBorder="1"/>
    <xf numFmtId="0" fontId="78" fillId="0" borderId="99" xfId="0" applyFont="1" applyBorder="1"/>
    <xf numFmtId="0" fontId="73" fillId="22" borderId="100" xfId="0" applyFont="1" applyFill="1" applyBorder="1"/>
    <xf numFmtId="0" fontId="73" fillId="22" borderId="101" xfId="0" applyFont="1" applyFill="1" applyBorder="1"/>
    <xf numFmtId="0" fontId="73" fillId="22" borderId="102" xfId="0" applyFont="1" applyFill="1" applyBorder="1"/>
    <xf numFmtId="0" fontId="29" fillId="0" borderId="99" xfId="0" applyFont="1" applyBorder="1"/>
    <xf numFmtId="0" fontId="29" fillId="0" borderId="101" xfId="0" applyFont="1" applyBorder="1"/>
    <xf numFmtId="0" fontId="29" fillId="18" borderId="99" xfId="0" applyFont="1" applyFill="1" applyBorder="1"/>
    <xf numFmtId="0" fontId="0" fillId="18" borderId="100" xfId="0" applyFill="1" applyBorder="1"/>
    <xf numFmtId="0" fontId="0" fillId="18" borderId="101" xfId="0" applyFill="1" applyBorder="1"/>
    <xf numFmtId="0" fontId="37" fillId="23" borderId="101" xfId="0" applyFont="1" applyFill="1" applyBorder="1"/>
    <xf numFmtId="0" fontId="0" fillId="18" borderId="102" xfId="0" applyFill="1" applyBorder="1" applyAlignment="1">
      <alignment wrapText="1"/>
    </xf>
    <xf numFmtId="0" fontId="29" fillId="0" borderId="104" xfId="0" applyFont="1" applyBorder="1"/>
    <xf numFmtId="0" fontId="29" fillId="0" borderId="105" xfId="0" applyFont="1" applyBorder="1"/>
    <xf numFmtId="0" fontId="29" fillId="18" borderId="106" xfId="0" applyFont="1" applyFill="1" applyBorder="1"/>
    <xf numFmtId="0" fontId="26" fillId="23" borderId="107" xfId="0" applyFont="1" applyFill="1" applyBorder="1"/>
    <xf numFmtId="0" fontId="0" fillId="18" borderId="98" xfId="0" applyFill="1" applyBorder="1" applyAlignment="1">
      <alignment wrapText="1"/>
    </xf>
    <xf numFmtId="0" fontId="0" fillId="22" borderId="111" xfId="0" applyFill="1" applyBorder="1"/>
    <xf numFmtId="0" fontId="11" fillId="22" borderId="112" xfId="0" applyFont="1" applyFill="1" applyBorder="1"/>
    <xf numFmtId="0" fontId="0" fillId="22" borderId="101" xfId="0" applyFill="1" applyBorder="1"/>
    <xf numFmtId="0" fontId="11" fillId="22" borderId="102" xfId="0" applyFont="1" applyFill="1" applyBorder="1" applyAlignment="1">
      <alignment wrapText="1"/>
    </xf>
    <xf numFmtId="0" fontId="0" fillId="24" borderId="101" xfId="0" applyFill="1" applyBorder="1"/>
    <xf numFmtId="0" fontId="0" fillId="23" borderId="101" xfId="0" applyFill="1" applyBorder="1"/>
    <xf numFmtId="0" fontId="0" fillId="0" borderId="100" xfId="0" applyBorder="1"/>
    <xf numFmtId="0" fontId="0" fillId="0" borderId="101" xfId="0" applyBorder="1"/>
    <xf numFmtId="0" fontId="0" fillId="22" borderId="100" xfId="0" applyFill="1" applyBorder="1"/>
    <xf numFmtId="0" fontId="0" fillId="18" borderId="117" xfId="0" applyFill="1" applyBorder="1"/>
    <xf numFmtId="0" fontId="0" fillId="18" borderId="107" xfId="0" applyFill="1" applyBorder="1"/>
    <xf numFmtId="0" fontId="37" fillId="23" borderId="107" xfId="0" applyFont="1" applyFill="1" applyBorder="1"/>
    <xf numFmtId="0" fontId="11" fillId="22" borderId="100" xfId="0" applyFont="1" applyFill="1" applyBorder="1"/>
    <xf numFmtId="0" fontId="11" fillId="22" borderId="101" xfId="0" applyFont="1" applyFill="1" applyBorder="1"/>
    <xf numFmtId="0" fontId="38" fillId="23" borderId="101" xfId="0" applyFont="1" applyFill="1" applyBorder="1"/>
    <xf numFmtId="0" fontId="0" fillId="0" borderId="102" xfId="0" applyBorder="1" applyAlignment="1">
      <alignment wrapText="1"/>
    </xf>
    <xf numFmtId="10" fontId="0" fillId="18" borderId="102" xfId="0" applyNumberFormat="1" applyFill="1" applyBorder="1" applyAlignment="1">
      <alignment wrapText="1"/>
    </xf>
    <xf numFmtId="0" fontId="26" fillId="23" borderId="101" xfId="0" applyFont="1" applyFill="1" applyBorder="1"/>
    <xf numFmtId="0" fontId="0" fillId="0" borderId="118" xfId="0" applyBorder="1"/>
    <xf numFmtId="0" fontId="0" fillId="0" borderId="105" xfId="0" applyBorder="1"/>
    <xf numFmtId="0" fontId="0" fillId="18" borderId="105" xfId="0" applyFill="1" applyBorder="1"/>
    <xf numFmtId="0" fontId="26" fillId="23" borderId="105" xfId="0" applyFont="1" applyFill="1" applyBorder="1"/>
    <xf numFmtId="0" fontId="0" fillId="18" borderId="103" xfId="0" applyFill="1" applyBorder="1" applyAlignment="1">
      <alignment wrapText="1"/>
    </xf>
    <xf numFmtId="0" fontId="30" fillId="0" borderId="0" xfId="0" applyFont="1"/>
    <xf numFmtId="0" fontId="38" fillId="7" borderId="101" xfId="0" applyFont="1" applyFill="1" applyBorder="1"/>
    <xf numFmtId="0" fontId="0" fillId="6" borderId="101" xfId="0" applyFill="1" applyBorder="1"/>
    <xf numFmtId="0" fontId="38" fillId="6" borderId="101" xfId="0" applyFont="1" applyFill="1" applyBorder="1"/>
    <xf numFmtId="0" fontId="7" fillId="26" borderId="16" xfId="0" applyFont="1" applyFill="1" applyBorder="1" applyAlignment="1">
      <alignment horizontal="center"/>
    </xf>
    <xf numFmtId="172" fontId="7" fillId="6" borderId="16" xfId="0" applyNumberFormat="1" applyFont="1" applyFill="1" applyBorder="1" applyAlignment="1">
      <alignment horizontal="center"/>
    </xf>
    <xf numFmtId="172" fontId="7" fillId="26" borderId="16" xfId="0" applyNumberFormat="1" applyFont="1" applyFill="1" applyBorder="1" applyAlignment="1">
      <alignment horizontal="center"/>
    </xf>
    <xf numFmtId="0" fontId="79" fillId="7" borderId="0" xfId="0" applyFont="1" applyFill="1"/>
    <xf numFmtId="3" fontId="80" fillId="7" borderId="0" xfId="0" applyNumberFormat="1" applyFont="1" applyFill="1" applyAlignment="1">
      <alignment vertical="top" wrapText="1"/>
    </xf>
    <xf numFmtId="0" fontId="80" fillId="7" borderId="0" xfId="0" applyFont="1" applyFill="1" applyAlignment="1">
      <alignment vertical="top" wrapText="1"/>
    </xf>
    <xf numFmtId="0" fontId="81" fillId="7" borderId="0" xfId="13" applyFont="1" applyFill="1" applyAlignment="1">
      <alignment horizontal="left" wrapText="1" readingOrder="1"/>
    </xf>
    <xf numFmtId="0" fontId="82" fillId="7" borderId="0" xfId="0" applyFont="1" applyFill="1" applyAlignment="1">
      <alignment horizontal="left" vertical="top" wrapText="1"/>
    </xf>
    <xf numFmtId="14" fontId="82" fillId="7" borderId="0" xfId="0" applyNumberFormat="1" applyFont="1" applyFill="1" applyAlignment="1">
      <alignment horizontal="left" vertical="top" wrapText="1"/>
    </xf>
    <xf numFmtId="2" fontId="0" fillId="20" borderId="83" xfId="0" applyNumberFormat="1" applyFill="1" applyBorder="1" applyAlignment="1">
      <alignment horizontal="center"/>
    </xf>
    <xf numFmtId="9" fontId="83" fillId="0" borderId="0" xfId="17" applyNumberFormat="1" applyFont="1" applyAlignment="1">
      <alignment horizontal="center"/>
    </xf>
    <xf numFmtId="9" fontId="0" fillId="8" borderId="83" xfId="8" applyFont="1" applyFill="1" applyBorder="1" applyAlignment="1">
      <alignment horizontal="center"/>
    </xf>
    <xf numFmtId="0" fontId="0" fillId="26" borderId="101" xfId="0" applyFill="1" applyBorder="1"/>
    <xf numFmtId="178" fontId="0" fillId="0" borderId="70" xfId="26" applyNumberFormat="1" applyFont="1" applyBorder="1" applyAlignment="1">
      <alignment horizontal="center"/>
    </xf>
    <xf numFmtId="0" fontId="70" fillId="0" borderId="0" xfId="17" applyFont="1" applyAlignment="1">
      <alignment horizontal="center" wrapText="1"/>
    </xf>
    <xf numFmtId="179" fontId="46" fillId="0" borderId="1" xfId="26" applyNumberFormat="1" applyFont="1" applyBorder="1" applyAlignment="1">
      <alignment horizontal="center"/>
    </xf>
    <xf numFmtId="0" fontId="51" fillId="7" borderId="20" xfId="0" applyFont="1" applyFill="1" applyBorder="1" applyAlignment="1">
      <alignment horizontal="left" vertical="center" wrapText="1"/>
    </xf>
    <xf numFmtId="0" fontId="7" fillId="7" borderId="16" xfId="0" applyFont="1" applyFill="1" applyBorder="1" applyAlignment="1">
      <alignment horizontal="left" vertical="center" wrapText="1"/>
    </xf>
    <xf numFmtId="0" fontId="28" fillId="3" borderId="47" xfId="0" applyFont="1" applyFill="1" applyBorder="1" applyAlignment="1">
      <alignment horizontal="left"/>
    </xf>
    <xf numFmtId="0" fontId="28" fillId="3" borderId="48" xfId="0" applyFont="1" applyFill="1" applyBorder="1" applyAlignment="1">
      <alignment horizontal="left"/>
    </xf>
    <xf numFmtId="0" fontId="12" fillId="0" borderId="16" xfId="0" applyFont="1" applyBorder="1" applyAlignment="1">
      <alignment horizontal="center" vertical="center" wrapText="1"/>
    </xf>
    <xf numFmtId="0" fontId="12" fillId="0" borderId="21" xfId="0" applyFont="1" applyBorder="1" applyAlignment="1">
      <alignment horizontal="center" vertical="center" wrapText="1"/>
    </xf>
    <xf numFmtId="0" fontId="40" fillId="9" borderId="45" xfId="0" applyFont="1" applyFill="1" applyBorder="1" applyAlignment="1">
      <alignment horizontal="center" wrapText="1"/>
    </xf>
    <xf numFmtId="0" fontId="12" fillId="9" borderId="45" xfId="0" applyFont="1" applyFill="1" applyBorder="1" applyAlignment="1">
      <alignment horizontal="center" wrapText="1"/>
    </xf>
    <xf numFmtId="0" fontId="12" fillId="9" borderId="46" xfId="0" applyFont="1" applyFill="1" applyBorder="1" applyAlignment="1">
      <alignment horizontal="center" wrapText="1"/>
    </xf>
    <xf numFmtId="0" fontId="28" fillId="3" borderId="29" xfId="0" applyFont="1" applyFill="1" applyBorder="1" applyAlignment="1">
      <alignment horizontal="left"/>
    </xf>
    <xf numFmtId="0" fontId="28" fillId="3" borderId="30" xfId="0" applyFont="1" applyFill="1" applyBorder="1" applyAlignment="1">
      <alignment horizontal="left"/>
    </xf>
    <xf numFmtId="0" fontId="28" fillId="3" borderId="31" xfId="0" applyFont="1" applyFill="1" applyBorder="1" applyAlignment="1">
      <alignment horizontal="left"/>
    </xf>
    <xf numFmtId="0" fontId="28" fillId="3" borderId="20" xfId="0" applyFont="1" applyFill="1" applyBorder="1" applyAlignment="1">
      <alignment horizontal="left"/>
    </xf>
    <xf numFmtId="0" fontId="28" fillId="3" borderId="16" xfId="0" applyFont="1" applyFill="1" applyBorder="1" applyAlignment="1">
      <alignment horizontal="left"/>
    </xf>
    <xf numFmtId="171" fontId="8" fillId="0" borderId="21" xfId="0" applyNumberFormat="1" applyFont="1" applyBorder="1" applyAlignment="1">
      <alignment horizontal="center" vertical="center"/>
    </xf>
    <xf numFmtId="9" fontId="8" fillId="0" borderId="21" xfId="8" applyFont="1" applyBorder="1" applyAlignment="1">
      <alignment horizontal="center" vertical="center"/>
    </xf>
    <xf numFmtId="0" fontId="7" fillId="11" borderId="29" xfId="0" applyFont="1" applyFill="1" applyBorder="1" applyAlignment="1">
      <alignment horizontal="left" vertical="center" wrapText="1"/>
    </xf>
    <xf numFmtId="0" fontId="7" fillId="11" borderId="30" xfId="0" applyFont="1" applyFill="1" applyBorder="1" applyAlignment="1">
      <alignment horizontal="left" vertical="center" wrapText="1"/>
    </xf>
    <xf numFmtId="0" fontId="7" fillId="11" borderId="31" xfId="0" applyFont="1" applyFill="1" applyBorder="1" applyAlignment="1">
      <alignment horizontal="left" vertical="center" wrapText="1"/>
    </xf>
    <xf numFmtId="0" fontId="28" fillId="3" borderId="16" xfId="0" applyFont="1" applyFill="1" applyBorder="1" applyAlignment="1">
      <alignment horizontal="center"/>
    </xf>
    <xf numFmtId="0" fontId="28" fillId="3" borderId="21" xfId="0" applyFont="1" applyFill="1" applyBorder="1" applyAlignment="1">
      <alignment horizontal="center"/>
    </xf>
    <xf numFmtId="0" fontId="11" fillId="0" borderId="52" xfId="0" applyFont="1" applyBorder="1" applyAlignment="1">
      <alignment horizontal="center"/>
    </xf>
    <xf numFmtId="0" fontId="11" fillId="0" borderId="0" xfId="0" applyFont="1" applyAlignment="1">
      <alignment horizontal="center"/>
    </xf>
    <xf numFmtId="0" fontId="28" fillId="3" borderId="20" xfId="0" applyFont="1" applyFill="1" applyBorder="1" applyAlignment="1">
      <alignment horizontal="center"/>
    </xf>
    <xf numFmtId="0" fontId="32" fillId="3" borderId="16" xfId="0" applyFont="1" applyFill="1" applyBorder="1" applyAlignment="1">
      <alignment horizontal="center"/>
    </xf>
    <xf numFmtId="0" fontId="7" fillId="0" borderId="37" xfId="0" applyFont="1" applyBorder="1" applyAlignment="1">
      <alignment horizontal="left" vertic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7" fillId="0" borderId="40" xfId="0" applyFont="1" applyBorder="1" applyAlignment="1">
      <alignment horizontal="left" vertical="center" wrapText="1"/>
    </xf>
    <xf numFmtId="0" fontId="7" fillId="0" borderId="41" xfId="0" applyFont="1" applyBorder="1" applyAlignment="1">
      <alignment horizontal="left" vertical="center" wrapText="1"/>
    </xf>
    <xf numFmtId="0" fontId="7" fillId="0" borderId="42" xfId="0" applyFont="1" applyBorder="1" applyAlignment="1">
      <alignment horizontal="left" vertical="center" wrapText="1"/>
    </xf>
    <xf numFmtId="0" fontId="73" fillId="8" borderId="43" xfId="0" applyFont="1" applyFill="1" applyBorder="1" applyAlignment="1">
      <alignment horizontal="center" vertical="center" wrapText="1"/>
    </xf>
    <xf numFmtId="0" fontId="73" fillId="8" borderId="44" xfId="0" applyFont="1" applyFill="1" applyBorder="1" applyAlignment="1">
      <alignment horizontal="center" vertical="center" wrapText="1"/>
    </xf>
    <xf numFmtId="0" fontId="11" fillId="0" borderId="53" xfId="0" applyFont="1" applyBorder="1" applyAlignment="1">
      <alignment horizontal="left" vertical="center" wrapText="1"/>
    </xf>
    <xf numFmtId="0" fontId="11" fillId="0" borderId="38" xfId="0" applyFont="1" applyBorder="1" applyAlignment="1">
      <alignment horizontal="left" vertical="center"/>
    </xf>
    <xf numFmtId="0" fontId="11" fillId="0" borderId="39" xfId="0" applyFont="1" applyBorder="1" applyAlignment="1">
      <alignment horizontal="left" vertical="center"/>
    </xf>
    <xf numFmtId="0" fontId="11" fillId="0" borderId="55" xfId="0" applyFont="1" applyBorder="1" applyAlignment="1">
      <alignment horizontal="left" vertical="center"/>
    </xf>
    <xf numFmtId="0" fontId="11" fillId="0" borderId="0" xfId="0" applyFont="1" applyAlignment="1">
      <alignment horizontal="left" vertical="center"/>
    </xf>
    <xf numFmtId="0" fontId="11" fillId="0" borderId="56" xfId="0" applyFont="1" applyBorder="1" applyAlignment="1">
      <alignment horizontal="left" vertical="center"/>
    </xf>
    <xf numFmtId="0" fontId="11" fillId="0" borderId="57" xfId="0" applyFont="1" applyBorder="1" applyAlignment="1">
      <alignment horizontal="left" vertical="center"/>
    </xf>
    <xf numFmtId="0" fontId="11" fillId="0" borderId="41" xfId="0" applyFont="1" applyBorder="1" applyAlignment="1">
      <alignment horizontal="left" vertical="center"/>
    </xf>
    <xf numFmtId="0" fontId="11" fillId="0" borderId="42" xfId="0" applyFont="1" applyBorder="1" applyAlignment="1">
      <alignment horizontal="left" vertical="center"/>
    </xf>
    <xf numFmtId="0" fontId="8" fillId="0" borderId="34" xfId="0" applyFont="1" applyBorder="1" applyAlignment="1">
      <alignment horizontal="center" vertical="center"/>
    </xf>
    <xf numFmtId="0" fontId="8" fillId="0" borderId="35" xfId="0" applyFont="1" applyBorder="1" applyAlignment="1">
      <alignment horizontal="center" vertical="center"/>
    </xf>
    <xf numFmtId="0" fontId="8" fillId="0" borderId="36" xfId="0" applyFont="1" applyBorder="1" applyAlignment="1">
      <alignment horizontal="center" vertical="center"/>
    </xf>
    <xf numFmtId="0" fontId="16" fillId="0" borderId="20" xfId="0" applyFont="1" applyBorder="1" applyAlignment="1">
      <alignment horizontal="center" vertical="center" wrapText="1"/>
    </xf>
    <xf numFmtId="0" fontId="16" fillId="0" borderId="16" xfId="0" applyFont="1" applyBorder="1" applyAlignment="1">
      <alignment horizontal="center" vertical="center" wrapText="1"/>
    </xf>
    <xf numFmtId="0" fontId="60" fillId="0" borderId="16" xfId="0" applyFont="1" applyBorder="1" applyAlignment="1">
      <alignment horizontal="left" vertical="center" wrapText="1"/>
    </xf>
    <xf numFmtId="0" fontId="20" fillId="0" borderId="16" xfId="0" applyFont="1" applyBorder="1" applyAlignment="1">
      <alignment horizontal="left" vertical="center" wrapText="1"/>
    </xf>
    <xf numFmtId="0" fontId="20" fillId="0" borderId="21" xfId="0" applyFont="1" applyBorder="1" applyAlignment="1">
      <alignment horizontal="left" vertical="center" wrapText="1"/>
    </xf>
    <xf numFmtId="0" fontId="19" fillId="0" borderId="16" xfId="0" applyFont="1" applyBorder="1" applyAlignment="1">
      <alignment horizontal="left" vertical="center" wrapText="1"/>
    </xf>
    <xf numFmtId="0" fontId="19" fillId="0" borderId="21" xfId="0" applyFont="1" applyBorder="1" applyAlignment="1">
      <alignment horizontal="left" vertical="center" wrapText="1"/>
    </xf>
    <xf numFmtId="0" fontId="16" fillId="0" borderId="20" xfId="0" applyFont="1" applyBorder="1" applyAlignment="1">
      <alignment horizontal="center" wrapText="1"/>
    </xf>
    <xf numFmtId="0" fontId="16" fillId="0" borderId="16" xfId="0" applyFont="1" applyBorder="1" applyAlignment="1">
      <alignment horizontal="center" wrapText="1"/>
    </xf>
    <xf numFmtId="0" fontId="8" fillId="0" borderId="0" xfId="0" applyFont="1" applyAlignment="1">
      <alignment horizontal="center"/>
    </xf>
    <xf numFmtId="0" fontId="33" fillId="3" borderId="49" xfId="0" applyFont="1" applyFill="1" applyBorder="1" applyAlignment="1">
      <alignment horizontal="center"/>
    </xf>
    <xf numFmtId="0" fontId="33" fillId="3" borderId="50" xfId="0" applyFont="1" applyFill="1" applyBorder="1" applyAlignment="1">
      <alignment horizontal="center"/>
    </xf>
    <xf numFmtId="0" fontId="33" fillId="3" borderId="51" xfId="0" applyFont="1" applyFill="1" applyBorder="1" applyAlignment="1">
      <alignment horizontal="center"/>
    </xf>
    <xf numFmtId="0" fontId="33" fillId="3" borderId="6" xfId="0" applyFont="1" applyFill="1" applyBorder="1" applyAlignment="1">
      <alignment horizontal="center"/>
    </xf>
    <xf numFmtId="0" fontId="33" fillId="3" borderId="8" xfId="0" applyFont="1" applyFill="1" applyBorder="1" applyAlignment="1">
      <alignment horizontal="center"/>
    </xf>
    <xf numFmtId="0" fontId="33" fillId="3" borderId="7" xfId="0" applyFont="1" applyFill="1" applyBorder="1" applyAlignment="1">
      <alignment horizontal="center"/>
    </xf>
    <xf numFmtId="0" fontId="39" fillId="10" borderId="59" xfId="0" applyFont="1" applyFill="1" applyBorder="1" applyAlignment="1">
      <alignment horizontal="center" vertical="center"/>
    </xf>
    <xf numFmtId="0" fontId="39" fillId="10" borderId="61" xfId="0" applyFont="1" applyFill="1" applyBorder="1" applyAlignment="1">
      <alignment horizontal="center" vertical="center"/>
    </xf>
    <xf numFmtId="0" fontId="76" fillId="21" borderId="86" xfId="0" applyFont="1" applyFill="1" applyBorder="1" applyAlignment="1">
      <alignment readingOrder="1"/>
    </xf>
    <xf numFmtId="0" fontId="76" fillId="21" borderId="87" xfId="0" applyFont="1" applyFill="1" applyBorder="1" applyAlignment="1">
      <alignment readingOrder="1"/>
    </xf>
    <xf numFmtId="0" fontId="76" fillId="21" borderId="88" xfId="0" applyFont="1" applyFill="1" applyBorder="1" applyAlignment="1">
      <alignment readingOrder="1"/>
    </xf>
    <xf numFmtId="0" fontId="29" fillId="0" borderId="102" xfId="0" applyFont="1" applyBorder="1" applyAlignment="1">
      <alignment wrapText="1"/>
    </xf>
    <xf numFmtId="0" fontId="29" fillId="0" borderId="103" xfId="0" applyFont="1" applyBorder="1" applyAlignment="1">
      <alignment wrapText="1"/>
    </xf>
    <xf numFmtId="172" fontId="0" fillId="0" borderId="0" xfId="0" applyNumberFormat="1" applyAlignment="1">
      <alignment horizontal="center"/>
    </xf>
    <xf numFmtId="0" fontId="33" fillId="3" borderId="0" xfId="0" applyFont="1" applyFill="1" applyAlignment="1">
      <alignment horizontal="center"/>
    </xf>
    <xf numFmtId="173" fontId="0" fillId="0" borderId="0" xfId="0" applyNumberFormat="1" applyAlignment="1">
      <alignment horizontal="center"/>
    </xf>
    <xf numFmtId="0" fontId="0" fillId="0" borderId="0" xfId="0" applyAlignment="1">
      <alignment horizontal="center"/>
    </xf>
    <xf numFmtId="0" fontId="46" fillId="0" borderId="3" xfId="26" applyFont="1" applyBorder="1" applyAlignment="1">
      <alignment horizontal="center" vertical="center" wrapText="1"/>
    </xf>
    <xf numFmtId="0" fontId="46" fillId="0" borderId="4" xfId="26" applyFont="1" applyBorder="1" applyAlignment="1">
      <alignment horizontal="center" vertical="center" wrapText="1"/>
    </xf>
    <xf numFmtId="0" fontId="46" fillId="0" borderId="2" xfId="26" applyFont="1" applyBorder="1" applyAlignment="1">
      <alignment horizontal="center" vertical="center" wrapText="1"/>
    </xf>
    <xf numFmtId="0" fontId="46" fillId="0" borderId="3" xfId="26" applyFont="1" applyBorder="1" applyAlignment="1">
      <alignment horizontal="left" vertical="center"/>
    </xf>
    <xf numFmtId="0" fontId="46" fillId="0" borderId="4" xfId="26" applyFont="1" applyBorder="1" applyAlignment="1">
      <alignment horizontal="left" vertical="center"/>
    </xf>
    <xf numFmtId="0" fontId="46" fillId="0" borderId="2" xfId="26" applyFont="1" applyBorder="1" applyAlignment="1">
      <alignment horizontal="left" vertical="center"/>
    </xf>
    <xf numFmtId="0" fontId="33" fillId="3" borderId="0" xfId="26" applyFont="1" applyFill="1" applyAlignment="1">
      <alignment horizontal="center"/>
    </xf>
    <xf numFmtId="0" fontId="11" fillId="0" borderId="70" xfId="26" applyFont="1" applyBorder="1" applyAlignment="1">
      <alignment horizontal="center" vertical="center" wrapText="1"/>
    </xf>
    <xf numFmtId="0" fontId="46" fillId="0" borderId="3" xfId="26" applyFont="1" applyBorder="1" applyAlignment="1">
      <alignment horizontal="center" vertical="center"/>
    </xf>
    <xf numFmtId="0" fontId="46" fillId="0" borderId="4" xfId="26" applyFont="1" applyBorder="1" applyAlignment="1">
      <alignment horizontal="center" vertical="center"/>
    </xf>
    <xf numFmtId="0" fontId="46" fillId="0" borderId="2" xfId="26" applyFont="1" applyBorder="1" applyAlignment="1">
      <alignment horizontal="center" vertical="center"/>
    </xf>
    <xf numFmtId="0" fontId="46" fillId="0" borderId="70" xfId="26" applyFont="1" applyBorder="1" applyAlignment="1">
      <alignment horizontal="left" vertical="center" wrapText="1"/>
    </xf>
    <xf numFmtId="0" fontId="46" fillId="0" borderId="76" xfId="26" applyFont="1" applyBorder="1" applyAlignment="1">
      <alignment horizontal="center" vertical="center" wrapText="1"/>
    </xf>
    <xf numFmtId="0" fontId="46" fillId="0" borderId="77" xfId="26" applyFont="1" applyBorder="1" applyAlignment="1">
      <alignment horizontal="center" vertical="center" wrapText="1"/>
    </xf>
    <xf numFmtId="0" fontId="46" fillId="0" borderId="78" xfId="26" applyFont="1" applyBorder="1" applyAlignment="1">
      <alignment horizontal="center" vertical="center" wrapText="1"/>
    </xf>
    <xf numFmtId="0" fontId="8" fillId="0" borderId="0" xfId="17" applyFont="1" applyAlignment="1">
      <alignment horizontal="center"/>
    </xf>
    <xf numFmtId="0" fontId="43" fillId="0" borderId="0" xfId="17" applyFont="1" applyAlignment="1">
      <alignment horizontal="center"/>
    </xf>
    <xf numFmtId="0" fontId="77" fillId="21" borderId="89" xfId="0" applyFont="1" applyFill="1" applyBorder="1" applyAlignment="1"/>
    <xf numFmtId="0" fontId="77" fillId="21" borderId="90" xfId="0" applyFont="1" applyFill="1" applyBorder="1" applyAlignment="1"/>
    <xf numFmtId="0" fontId="77" fillId="21" borderId="91" xfId="0" applyFont="1" applyFill="1" applyBorder="1" applyAlignment="1"/>
    <xf numFmtId="0" fontId="77" fillId="21" borderId="92" xfId="0" applyFont="1" applyFill="1" applyBorder="1" applyAlignment="1"/>
    <xf numFmtId="0" fontId="77" fillId="21" borderId="94" xfId="0" applyFont="1" applyFill="1" applyBorder="1" applyAlignment="1"/>
    <xf numFmtId="0" fontId="77" fillId="21" borderId="108" xfId="0" applyFont="1" applyFill="1" applyBorder="1" applyAlignment="1"/>
    <xf numFmtId="0" fontId="77" fillId="21" borderId="109" xfId="0" applyFont="1" applyFill="1" applyBorder="1" applyAlignment="1"/>
    <xf numFmtId="0" fontId="77" fillId="21" borderId="110" xfId="0" applyFont="1" applyFill="1" applyBorder="1" applyAlignment="1"/>
    <xf numFmtId="0" fontId="37" fillId="24" borderId="113" xfId="0" applyFont="1" applyFill="1" applyBorder="1" applyAlignment="1"/>
    <xf numFmtId="0" fontId="37" fillId="24" borderId="96" xfId="0" applyFont="1" applyFill="1" applyBorder="1" applyAlignment="1"/>
    <xf numFmtId="0" fontId="37" fillId="24" borderId="114" xfId="0" applyFont="1" applyFill="1" applyBorder="1" applyAlignment="1"/>
    <xf numFmtId="0" fontId="37" fillId="25" borderId="61" xfId="0" applyFont="1" applyFill="1" applyBorder="1" applyAlignment="1"/>
    <xf numFmtId="0" fontId="37" fillId="25" borderId="0" xfId="0" applyFont="1" applyFill="1" applyAlignment="1"/>
    <xf numFmtId="0" fontId="37" fillId="25" borderId="115" xfId="0" applyFont="1" applyFill="1" applyBorder="1" applyAlignment="1"/>
    <xf numFmtId="0" fontId="0" fillId="23" borderId="62" xfId="0" applyFill="1" applyBorder="1" applyAlignment="1"/>
    <xf numFmtId="0" fontId="0" fillId="23" borderId="63" xfId="0" applyFill="1" applyBorder="1" applyAlignment="1"/>
    <xf numFmtId="0" fontId="0" fillId="23" borderId="116" xfId="0" applyFill="1" applyBorder="1" applyAlignment="1"/>
  </cellXfs>
  <cellStyles count="33">
    <cellStyle name="blp_title_header_row_left" xfId="1" xr:uid="{00000000-0005-0000-0000-000000000000}"/>
    <cellStyle name="Comma" xfId="30" builtinId="3"/>
    <cellStyle name="Currency" xfId="32" builtinId="4"/>
    <cellStyle name="fa_column_header_bottom_left 2" xfId="2" xr:uid="{00000000-0005-0000-0000-000002000000}"/>
    <cellStyle name="Hyperlink" xfId="3" builtinId="8"/>
    <cellStyle name="Millares 2" xfId="22" xr:uid="{00000000-0005-0000-0000-00000B000000}"/>
    <cellStyle name="Moneda 2" xfId="4" xr:uid="{00000000-0005-0000-0000-00000C000000}"/>
    <cellStyle name="Moneda 2 2" xfId="5" xr:uid="{00000000-0005-0000-0000-00000D000000}"/>
    <cellStyle name="Moneda 2 2 2" xfId="15" xr:uid="{00000000-0005-0000-0000-00000E000000}"/>
    <cellStyle name="Moneda 2 3" xfId="14" xr:uid="{00000000-0005-0000-0000-00000F000000}"/>
    <cellStyle name="Moneda 3" xfId="23" xr:uid="{00000000-0005-0000-0000-000010000000}"/>
    <cellStyle name="Normal" xfId="0" builtinId="0"/>
    <cellStyle name="Normal 2" xfId="6" xr:uid="{00000000-0005-0000-0000-000012000000}"/>
    <cellStyle name="Normal 2 2" xfId="7" xr:uid="{00000000-0005-0000-0000-000013000000}"/>
    <cellStyle name="Normal 2 2 2" xfId="17" xr:uid="{00000000-0005-0000-0000-000014000000}"/>
    <cellStyle name="Normal 2 3" xfId="12" xr:uid="{00000000-0005-0000-0000-000015000000}"/>
    <cellStyle name="Normal 2 3 2" xfId="21" xr:uid="{00000000-0005-0000-0000-000016000000}"/>
    <cellStyle name="Normal 2 4" xfId="16" xr:uid="{00000000-0005-0000-0000-000017000000}"/>
    <cellStyle name="Normal 2 4 2" xfId="24" xr:uid="{00000000-0005-0000-0000-000018000000}"/>
    <cellStyle name="Normal 3" xfId="31" xr:uid="{00000000-0005-0000-0000-000019000000}"/>
    <cellStyle name="Normal 3 2" xfId="13" xr:uid="{00000000-0005-0000-0000-00001A000000}"/>
    <cellStyle name="Normal 3 3" xfId="25" xr:uid="{00000000-0005-0000-0000-00001B000000}"/>
    <cellStyle name="Normal 3 3 2" xfId="26" xr:uid="{00000000-0005-0000-0000-00001C000000}"/>
    <cellStyle name="Normal 5" xfId="27" xr:uid="{00000000-0005-0000-0000-00001D000000}"/>
    <cellStyle name="Per cent" xfId="8" builtinId="5"/>
    <cellStyle name="Porcentaje 2" xfId="9" xr:uid="{00000000-0005-0000-0000-00001F000000}"/>
    <cellStyle name="Porcentaje 2 2" xfId="10" xr:uid="{00000000-0005-0000-0000-000020000000}"/>
    <cellStyle name="Porcentaje 2 2 2" xfId="19" xr:uid="{00000000-0005-0000-0000-000021000000}"/>
    <cellStyle name="Porcentaje 2 3" xfId="18" xr:uid="{00000000-0005-0000-0000-000022000000}"/>
    <cellStyle name="Porcentaje 3" xfId="11" xr:uid="{00000000-0005-0000-0000-000023000000}"/>
    <cellStyle name="Porcentaje 3 2" xfId="20" xr:uid="{00000000-0005-0000-0000-000024000000}"/>
    <cellStyle name="Porcentaje 4 2" xfId="29" xr:uid="{00000000-0005-0000-0000-000025000000}"/>
    <cellStyle name="Porcentaje 5" xfId="28" xr:uid="{00000000-0005-0000-0000-000026000000}"/>
  </cellStyles>
  <dxfs count="0"/>
  <tableStyles count="0" defaultTableStyle="TableStyleMedium9" defaultPivotStyle="PivotStyleLight16"/>
  <colors>
    <mruColors>
      <color rgb="FF5A966A"/>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06/relationships/rdRichValue" Target="richData/rdrichvalue.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eetMetadata" Target="metadata.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Array" Target="richData/rdarray.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Structure" Target="richData/rdsupportingpropertybagstructure.xml"/><Relationship Id="rId27"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pt-PT"/>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pt-PT"/>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c:v>
                </c:pt>
                <c:pt idx="1">
                  <c:v>0</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pt-PT"/>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pt-PT"/>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"$"#,##0</c:formatCode>
                <c:ptCount val="5"/>
                <c:pt idx="0">
                  <c:v>0</c:v>
                </c:pt>
                <c:pt idx="1">
                  <c:v>0</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pt-PT"/>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pt-PT"/>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"$"#,##0</c:formatCode>
                <c:ptCount val="5"/>
                <c:pt idx="0">
                  <c:v>58073</c:v>
                </c:pt>
                <c:pt idx="1">
                  <c:v>61045</c:v>
                </c:pt>
                <c:pt idx="2">
                  <c:v>0</c:v>
                </c:pt>
                <c:pt idx="3">
                  <c:v>0</c:v>
                </c:pt>
                <c:pt idx="4">
                  <c:v>0</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pt-PT"/>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pt-PT"/>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pt-P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2</xdr:row>
      <xdr:rowOff>209550</xdr:rowOff>
    </xdr:from>
    <xdr:to>
      <xdr:col>2</xdr:col>
      <xdr:colOff>1781175</xdr:colOff>
      <xdr:row>3</xdr:row>
      <xdr:rowOff>685800</xdr:rowOff>
    </xdr:to>
    <xdr:pic>
      <xdr:nvPicPr>
        <xdr:cNvPr id="2" name="Picture 1">
          <a:extLst>
            <a:ext uri="{FF2B5EF4-FFF2-40B4-BE49-F238E27FC236}">
              <a16:creationId xmlns:a16="http://schemas.microsoft.com/office/drawing/2014/main" id="{8A0DD6C7-7AA1-325E-F360-B9317E5DE73D}"/>
            </a:ext>
          </a:extLst>
        </xdr:cNvPr>
        <xdr:cNvPicPr>
          <a:picLocks noChangeAspect="1"/>
        </xdr:cNvPicPr>
      </xdr:nvPicPr>
      <xdr:blipFill>
        <a:blip xmlns:r="http://schemas.openxmlformats.org/officeDocument/2006/relationships" r:embed="rId1"/>
        <a:stretch>
          <a:fillRect/>
        </a:stretch>
      </xdr:blipFill>
      <xdr:spPr>
        <a:xfrm>
          <a:off x="209550" y="552450"/>
          <a:ext cx="2895600" cy="904875"/>
        </a:xfrm>
        <a:prstGeom prst="rect">
          <a:avLst/>
        </a:prstGeom>
      </xdr:spPr>
    </xdr:pic>
    <xdr:clientData/>
  </xdr:twoCellAnchor>
  <xdr:twoCellAnchor editAs="oneCell">
    <xdr:from>
      <xdr:col>7</xdr:col>
      <xdr:colOff>1343025</xdr:colOff>
      <xdr:row>42</xdr:row>
      <xdr:rowOff>0</xdr:rowOff>
    </xdr:from>
    <xdr:to>
      <xdr:col>12</xdr:col>
      <xdr:colOff>0</xdr:colOff>
      <xdr:row>49</xdr:row>
      <xdr:rowOff>381000</xdr:rowOff>
    </xdr:to>
    <xdr:pic>
      <xdr:nvPicPr>
        <xdr:cNvPr id="3" name="Picture 2">
          <a:extLst>
            <a:ext uri="{FF2B5EF4-FFF2-40B4-BE49-F238E27FC236}">
              <a16:creationId xmlns:a16="http://schemas.microsoft.com/office/drawing/2014/main" id="{199EDB30-AB3A-DBC7-1311-F11A944C127B}"/>
            </a:ext>
            <a:ext uri="{147F2762-F138-4A5C-976F-8EAC2B608ADB}">
              <a16:predDERef xmlns:a16="http://schemas.microsoft.com/office/drawing/2014/main" pred="{8A0DD6C7-7AA1-325E-F360-B9317E5DE73D}"/>
            </a:ext>
          </a:extLst>
        </xdr:cNvPr>
        <xdr:cNvPicPr>
          <a:picLocks noChangeAspect="1"/>
        </xdr:cNvPicPr>
      </xdr:nvPicPr>
      <xdr:blipFill>
        <a:blip xmlns:r="http://schemas.openxmlformats.org/officeDocument/2006/relationships" r:embed="rId2"/>
        <a:stretch>
          <a:fillRect/>
        </a:stretch>
      </xdr:blipFill>
      <xdr:spPr>
        <a:xfrm>
          <a:off x="9115425" y="8248650"/>
          <a:ext cx="5238750" cy="2552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0</xdr:row>
      <xdr:rowOff>85725</xdr:rowOff>
    </xdr:from>
    <xdr:to>
      <xdr:col>18</xdr:col>
      <xdr:colOff>19050</xdr:colOff>
      <xdr:row>16</xdr:row>
      <xdr:rowOff>95250</xdr:rowOff>
    </xdr:to>
    <xdr:pic>
      <xdr:nvPicPr>
        <xdr:cNvPr id="2" name="Imagem 1">
          <a:extLst>
            <a:ext uri="{FF2B5EF4-FFF2-40B4-BE49-F238E27FC236}">
              <a16:creationId xmlns:a16="http://schemas.microsoft.com/office/drawing/2014/main" id="{27A1C393-86D8-B845-C0BC-28A3EFC2BED9}"/>
            </a:ext>
          </a:extLst>
        </xdr:cNvPr>
        <xdr:cNvPicPr>
          <a:picLocks noChangeAspect="1"/>
        </xdr:cNvPicPr>
      </xdr:nvPicPr>
      <xdr:blipFill>
        <a:blip xmlns:r="http://schemas.openxmlformats.org/officeDocument/2006/relationships" r:embed="rId1"/>
        <a:stretch>
          <a:fillRect/>
        </a:stretch>
      </xdr:blipFill>
      <xdr:spPr>
        <a:xfrm>
          <a:off x="9210675" y="85725"/>
          <a:ext cx="5334000" cy="2647950"/>
        </a:xfrm>
        <a:prstGeom prst="rect">
          <a:avLst/>
        </a:prstGeom>
      </xdr:spPr>
    </xdr:pic>
    <xdr:clientData/>
  </xdr:twoCellAnchor>
  <xdr:twoCellAnchor editAs="oneCell">
    <xdr:from>
      <xdr:col>10</xdr:col>
      <xdr:colOff>0</xdr:colOff>
      <xdr:row>16</xdr:row>
      <xdr:rowOff>114300</xdr:rowOff>
    </xdr:from>
    <xdr:to>
      <xdr:col>17</xdr:col>
      <xdr:colOff>9525</xdr:colOff>
      <xdr:row>32</xdr:row>
      <xdr:rowOff>9525</xdr:rowOff>
    </xdr:to>
    <xdr:pic>
      <xdr:nvPicPr>
        <xdr:cNvPr id="4" name="Imagem 3">
          <a:extLst>
            <a:ext uri="{FF2B5EF4-FFF2-40B4-BE49-F238E27FC236}">
              <a16:creationId xmlns:a16="http://schemas.microsoft.com/office/drawing/2014/main" id="{2F9F79DD-646D-A763-29B6-3204BFE2EC22}"/>
            </a:ext>
            <a:ext uri="{147F2762-F138-4A5C-976F-8EAC2B608ADB}">
              <a16:predDERef xmlns:a16="http://schemas.microsoft.com/office/drawing/2014/main" pred="{27A1C393-86D8-B845-C0BC-28A3EFC2BED9}"/>
            </a:ext>
          </a:extLst>
        </xdr:cNvPr>
        <xdr:cNvPicPr>
          <a:picLocks noChangeAspect="1"/>
        </xdr:cNvPicPr>
      </xdr:nvPicPr>
      <xdr:blipFill>
        <a:blip xmlns:r="http://schemas.openxmlformats.org/officeDocument/2006/relationships" r:embed="rId2"/>
        <a:stretch>
          <a:fillRect/>
        </a:stretch>
      </xdr:blipFill>
      <xdr:spPr>
        <a:xfrm>
          <a:off x="9210675" y="2752725"/>
          <a:ext cx="4572000" cy="24860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22</xdr:row>
      <xdr:rowOff>0</xdr:rowOff>
    </xdr:from>
    <xdr:to>
      <xdr:col>4</xdr:col>
      <xdr:colOff>304800</xdr:colOff>
      <xdr:row>23</xdr:row>
      <xdr:rowOff>142875</xdr:rowOff>
    </xdr:to>
    <xdr:sp macro="" textlink="">
      <xdr:nvSpPr>
        <xdr:cNvPr id="914922"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22</xdr:row>
      <xdr:rowOff>0</xdr:rowOff>
    </xdr:from>
    <xdr:to>
      <xdr:col>4</xdr:col>
      <xdr:colOff>304800</xdr:colOff>
      <xdr:row>23</xdr:row>
      <xdr:rowOff>139065</xdr:rowOff>
    </xdr:to>
    <xdr:sp macro="" textlink="">
      <xdr:nvSpPr>
        <xdr:cNvPr id="914923"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200025</xdr:colOff>
      <xdr:row>53</xdr:row>
      <xdr:rowOff>9525</xdr:rowOff>
    </xdr:from>
    <xdr:to>
      <xdr:col>13</xdr:col>
      <xdr:colOff>933450</xdr:colOff>
      <xdr:row>66</xdr:row>
      <xdr:rowOff>133350</xdr:rowOff>
    </xdr:to>
    <xdr:pic>
      <xdr:nvPicPr>
        <xdr:cNvPr id="2" name="Picture 1">
          <a:extLst>
            <a:ext uri="{FF2B5EF4-FFF2-40B4-BE49-F238E27FC236}">
              <a16:creationId xmlns:a16="http://schemas.microsoft.com/office/drawing/2014/main" id="{98BE6FB7-C303-4B75-B905-230B76F34747}"/>
            </a:ext>
          </a:extLst>
        </xdr:cNvPr>
        <xdr:cNvPicPr>
          <a:picLocks noChangeAspect="1"/>
        </xdr:cNvPicPr>
      </xdr:nvPicPr>
      <xdr:blipFill>
        <a:blip xmlns:r="http://schemas.openxmlformats.org/officeDocument/2006/relationships" r:embed="rId1"/>
        <a:stretch>
          <a:fillRect/>
        </a:stretch>
      </xdr:blipFill>
      <xdr:spPr>
        <a:xfrm>
          <a:off x="9382125" y="9829800"/>
          <a:ext cx="5495925" cy="2752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hdisegutl.sharepoint.com/sites/LIS-GENERAL-SecuritiesResearch/Shared%20Documents/Securities%20Research/One%20Pagers/24-25/4th%20cycle/Team%205%20(Raul%20Vasconcelos)/Bloomberg/DSY.xlsx" TargetMode="External"/><Relationship Id="rId1" Type="http://schemas.openxmlformats.org/officeDocument/2006/relationships/externalLinkPath" Target="Bloomberg/DS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3vFivxBU0qmB3Y9QczRIuTQiYzZqLpCp3PFmlb3cj6KPKdr9xqDQbFYHNEpHaK2" itemId="01LJM7Q2J5X7FXPDLYMBGJTBGS4URZQ7WM">
      <xxl21:absoluteUrl r:id="rId2"/>
    </xxl21:alternateUrls>
    <sheetNames>
      <sheetName val="GAAP Highlights"/>
      <sheetName val="Income - GAAP"/>
      <sheetName val="Bal Sheet - Standardized"/>
      <sheetName val="Cash Flow - Standardized"/>
      <sheetName val="Profitability"/>
      <sheetName val="ESG Ratios"/>
      <sheetName val="By Measure"/>
      <sheetName val="By Geography"/>
      <sheetName val="By Segment"/>
      <sheetName val="Environmental"/>
      <sheetName val="Social"/>
      <sheetName val="Governance"/>
    </sheetNames>
    <sheetDataSet>
      <sheetData sheetId="0"/>
      <sheetData sheetId="1">
        <row r="1">
          <cell r="A1"/>
          <cell r="Q1" t="str">
            <v> </v>
          </cell>
        </row>
        <row r="2">
          <cell r="A2" t="str">
            <v>Dassault Systemes SE (DSY FP) - GAAP</v>
          </cell>
          <cell r="Q2" t="str">
            <v> </v>
          </cell>
        </row>
        <row r="3">
          <cell r="A3"/>
          <cell r="Q3" t="str">
            <v> </v>
          </cell>
        </row>
        <row r="4">
          <cell r="A4" t="str">
            <v>In Millions of EUR except Per Share</v>
          </cell>
          <cell r="E4" t="str">
            <v>FY 2024</v>
          </cell>
          <cell r="F4" t="str">
            <v>FY 2023</v>
          </cell>
          <cell r="G4" t="str">
            <v>FY 2022</v>
          </cell>
          <cell r="H4" t="str">
            <v>FY 2021</v>
          </cell>
          <cell r="I4" t="str">
            <v>FY 2020</v>
          </cell>
          <cell r="J4" t="str">
            <v>FY 2019</v>
          </cell>
          <cell r="K4" t="str">
            <v>FY 2018</v>
          </cell>
          <cell r="L4" t="str">
            <v>FY 2017</v>
          </cell>
          <cell r="M4" t="str">
            <v>FY 2016</v>
          </cell>
          <cell r="N4" t="str">
            <v>FY 2015</v>
          </cell>
          <cell r="O4" t="str">
            <v>FY 2014</v>
          </cell>
          <cell r="P4" t="str">
            <v>FY 2013</v>
          </cell>
          <cell r="Q4" t="str">
            <v>FY 2012</v>
          </cell>
        </row>
        <row r="5">
          <cell r="A5" t="str">
            <v>12 Months Ending</v>
          </cell>
          <cell r="E5" t="str">
            <v>12/31/2024</v>
          </cell>
          <cell r="F5" t="str">
            <v>12/31/2023</v>
          </cell>
          <cell r="G5" t="str">
            <v>12/31/2022</v>
          </cell>
          <cell r="H5" t="str">
            <v>12/31/2021</v>
          </cell>
          <cell r="I5" t="str">
            <v>12/31/2020</v>
          </cell>
          <cell r="J5" t="str">
            <v>12/31/2019</v>
          </cell>
          <cell r="K5" t="str">
            <v>12/31/2018</v>
          </cell>
          <cell r="L5" t="str">
            <v>12/31/2017</v>
          </cell>
          <cell r="M5" t="str">
            <v>12/31/2016</v>
          </cell>
          <cell r="N5" t="str">
            <v>12/31/2015</v>
          </cell>
          <cell r="O5" t="str">
            <v>12/31/2014</v>
          </cell>
          <cell r="P5" t="str">
            <v>12/31/2013</v>
          </cell>
          <cell r="Q5">
            <v>41274</v>
          </cell>
        </row>
        <row r="6">
          <cell r="A6" t="str">
            <v>Revenue</v>
          </cell>
          <cell r="E6">
            <v>6213.6</v>
          </cell>
          <cell r="F6">
            <v>5951.4</v>
          </cell>
          <cell r="G6">
            <v>5665.3</v>
          </cell>
          <cell r="H6">
            <v>4860</v>
          </cell>
          <cell r="I6">
            <v>4452.3</v>
          </cell>
          <cell r="J6">
            <v>4018.2</v>
          </cell>
          <cell r="K6">
            <v>3477.4</v>
          </cell>
          <cell r="L6">
            <v>3228</v>
          </cell>
          <cell r="M6">
            <v>3055.6</v>
          </cell>
          <cell r="N6">
            <v>2839.5</v>
          </cell>
          <cell r="O6">
            <v>2294.3000000000002</v>
          </cell>
          <cell r="P6">
            <v>2066.1</v>
          </cell>
          <cell r="Q6">
            <v>2028.3420000000001</v>
          </cell>
        </row>
        <row r="7">
          <cell r="A7" t="str">
            <v xml:space="preserve">    + Sales &amp; Services Revenue</v>
          </cell>
          <cell r="E7">
            <v>5088.3999999999996</v>
          </cell>
          <cell r="F7">
            <v>4863.8</v>
          </cell>
          <cell r="G7">
            <v>4559.1000000000004</v>
          </cell>
          <cell r="H7">
            <v>3877.1</v>
          </cell>
          <cell r="I7">
            <v>3644.8</v>
          </cell>
          <cell r="J7">
            <v>3018.6</v>
          </cell>
          <cell r="K7">
            <v>2558.9</v>
          </cell>
          <cell r="L7">
            <v>2372.1999999999998</v>
          </cell>
          <cell r="M7">
            <v>2282.4</v>
          </cell>
          <cell r="N7">
            <v>2122.9</v>
          </cell>
          <cell r="O7">
            <v>1714.9</v>
          </cell>
          <cell r="P7">
            <v>1566.1</v>
          </cell>
          <cell r="Q7">
            <v>1496.0039999999999</v>
          </cell>
        </row>
        <row r="8">
          <cell r="A8" t="str">
            <v xml:space="preserve">    + Other Revenue</v>
          </cell>
          <cell r="E8">
            <v>1125.2</v>
          </cell>
          <cell r="F8">
            <v>1087.5999999999999</v>
          </cell>
          <cell r="G8">
            <v>1106.2</v>
          </cell>
          <cell r="H8">
            <v>982.9</v>
          </cell>
          <cell r="I8">
            <v>807.5</v>
          </cell>
          <cell r="J8">
            <v>999.6</v>
          </cell>
          <cell r="K8">
            <v>918.5</v>
          </cell>
          <cell r="L8">
            <v>855.8</v>
          </cell>
          <cell r="M8">
            <v>773.2</v>
          </cell>
          <cell r="N8">
            <v>716.5</v>
          </cell>
          <cell r="O8">
            <v>579.4</v>
          </cell>
          <cell r="P8">
            <v>500.1</v>
          </cell>
          <cell r="Q8">
            <v>532.33799999999997</v>
          </cell>
        </row>
        <row r="9">
          <cell r="A9" t="str">
            <v xml:space="preserve">  - Cost of Revenue</v>
          </cell>
          <cell r="E9">
            <v>1016.3</v>
          </cell>
          <cell r="F9">
            <v>971</v>
          </cell>
          <cell r="G9">
            <v>919.3</v>
          </cell>
          <cell r="H9">
            <v>790.3</v>
          </cell>
          <cell r="I9">
            <v>749.7</v>
          </cell>
          <cell r="J9">
            <v>633.6</v>
          </cell>
          <cell r="K9">
            <v>510.8</v>
          </cell>
          <cell r="L9">
            <v>474</v>
          </cell>
          <cell r="M9">
            <v>463.6</v>
          </cell>
          <cell r="N9">
            <v>437.9</v>
          </cell>
          <cell r="O9">
            <v>343.3</v>
          </cell>
          <cell r="P9">
            <v>261.3</v>
          </cell>
          <cell r="Q9">
            <v>267.03399999999999</v>
          </cell>
        </row>
        <row r="10">
          <cell r="A10" t="str">
            <v xml:space="preserve">    + Cost of Goods &amp; Services</v>
          </cell>
          <cell r="E10">
            <v>1016.3</v>
          </cell>
          <cell r="F10">
            <v>971</v>
          </cell>
          <cell r="G10">
            <v>919.3</v>
          </cell>
          <cell r="H10">
            <v>790.3</v>
          </cell>
          <cell r="I10">
            <v>749.7</v>
          </cell>
          <cell r="J10">
            <v>633.6</v>
          </cell>
          <cell r="K10">
            <v>510.8</v>
          </cell>
          <cell r="L10">
            <v>474</v>
          </cell>
          <cell r="M10">
            <v>463.6</v>
          </cell>
          <cell r="N10">
            <v>437.9</v>
          </cell>
          <cell r="O10">
            <v>343.3</v>
          </cell>
          <cell r="P10">
            <v>261.3</v>
          </cell>
          <cell r="Q10">
            <v>267.03399999999999</v>
          </cell>
        </row>
        <row r="11">
          <cell r="A11" t="str">
            <v>Gross Profit</v>
          </cell>
          <cell r="E11">
            <v>5197.3</v>
          </cell>
          <cell r="F11">
            <v>4980.3999999999996</v>
          </cell>
          <cell r="G11">
            <v>4746</v>
          </cell>
          <cell r="H11">
            <v>4069.7</v>
          </cell>
          <cell r="I11">
            <v>3702.6</v>
          </cell>
          <cell r="J11">
            <v>3384.6</v>
          </cell>
          <cell r="K11">
            <v>2966.6</v>
          </cell>
          <cell r="L11">
            <v>2754</v>
          </cell>
          <cell r="M11">
            <v>2592</v>
          </cell>
          <cell r="N11">
            <v>2401.5</v>
          </cell>
          <cell r="O11">
            <v>1951</v>
          </cell>
          <cell r="P11">
            <v>1804.8</v>
          </cell>
          <cell r="Q11">
            <v>1761.308</v>
          </cell>
        </row>
        <row r="12">
          <cell r="A12" t="str">
            <v xml:space="preserve">  + Other Operating Income</v>
          </cell>
          <cell r="E12">
            <v>0</v>
          </cell>
          <cell r="F12">
            <v>0</v>
          </cell>
          <cell r="G12">
            <v>0</v>
          </cell>
          <cell r="H12">
            <v>0</v>
          </cell>
          <cell r="I12">
            <v>0</v>
          </cell>
          <cell r="J12">
            <v>0</v>
          </cell>
          <cell r="K12">
            <v>0</v>
          </cell>
          <cell r="L12">
            <v>0</v>
          </cell>
          <cell r="M12">
            <v>0</v>
          </cell>
          <cell r="N12">
            <v>0</v>
          </cell>
          <cell r="O12">
            <v>0</v>
          </cell>
          <cell r="P12" t="str">
            <v>—</v>
          </cell>
          <cell r="Q12" t="str">
            <v>—</v>
          </cell>
        </row>
        <row r="13">
          <cell r="A13" t="str">
            <v xml:space="preserve">  - Operating Expenses</v>
          </cell>
          <cell r="E13">
            <v>3837.7</v>
          </cell>
          <cell r="F13">
            <v>3738.5</v>
          </cell>
          <cell r="G13">
            <v>3443.1</v>
          </cell>
          <cell r="H13">
            <v>3050.3</v>
          </cell>
          <cell r="I13">
            <v>3032.9</v>
          </cell>
          <cell r="J13">
            <v>2571.8000000000002</v>
          </cell>
          <cell r="K13">
            <v>2198.4</v>
          </cell>
          <cell r="L13">
            <v>2025</v>
          </cell>
          <cell r="M13">
            <v>1920</v>
          </cell>
          <cell r="N13">
            <v>1768.3</v>
          </cell>
          <cell r="O13">
            <v>1520.2</v>
          </cell>
          <cell r="P13">
            <v>1301.7</v>
          </cell>
          <cell r="Q13">
            <v>1260.347</v>
          </cell>
        </row>
        <row r="14">
          <cell r="A14" t="str">
            <v xml:space="preserve">    + Selling, General &amp; Admin</v>
          </cell>
          <cell r="E14">
            <v>2174.8000000000002</v>
          </cell>
          <cell r="F14">
            <v>2075.1</v>
          </cell>
          <cell r="G14">
            <v>1937.8</v>
          </cell>
          <cell r="H14">
            <v>1700.7</v>
          </cell>
          <cell r="I14">
            <v>1647</v>
          </cell>
          <cell r="J14">
            <v>1555.8</v>
          </cell>
          <cell r="K14">
            <v>1357.2</v>
          </cell>
          <cell r="L14">
            <v>1258.2</v>
          </cell>
          <cell r="M14">
            <v>1183.0999999999999</v>
          </cell>
          <cell r="N14">
            <v>1103.9000000000001</v>
          </cell>
          <cell r="O14">
            <v>937.9</v>
          </cell>
          <cell r="P14">
            <v>818.5</v>
          </cell>
          <cell r="Q14">
            <v>795.90700000000004</v>
          </cell>
        </row>
        <row r="15">
          <cell r="A15" t="str">
            <v xml:space="preserve">    + Selling &amp; Marketing</v>
          </cell>
          <cell r="E15">
            <v>1704.3</v>
          </cell>
          <cell r="F15">
            <v>1624.5</v>
          </cell>
          <cell r="G15">
            <v>1502.6</v>
          </cell>
          <cell r="H15">
            <v>1299.9000000000001</v>
          </cell>
          <cell r="I15">
            <v>1256.3</v>
          </cell>
          <cell r="J15">
            <v>1226.3</v>
          </cell>
          <cell r="K15">
            <v>1069.8</v>
          </cell>
          <cell r="L15">
            <v>1015</v>
          </cell>
          <cell r="M15">
            <v>952.6</v>
          </cell>
          <cell r="N15">
            <v>892.2</v>
          </cell>
          <cell r="O15">
            <v>748.4</v>
          </cell>
          <cell r="P15">
            <v>665.1</v>
          </cell>
          <cell r="Q15">
            <v>632.56600000000003</v>
          </cell>
        </row>
        <row r="16">
          <cell r="A16" t="str">
            <v xml:space="preserve">    + General &amp; Administrative</v>
          </cell>
          <cell r="E16">
            <v>470.5</v>
          </cell>
          <cell r="F16">
            <v>450.6</v>
          </cell>
          <cell r="G16">
            <v>435.2</v>
          </cell>
          <cell r="H16">
            <v>400.8</v>
          </cell>
          <cell r="I16">
            <v>390.7</v>
          </cell>
          <cell r="J16">
            <v>329.5</v>
          </cell>
          <cell r="K16">
            <v>287.39999999999998</v>
          </cell>
          <cell r="L16">
            <v>243.3</v>
          </cell>
          <cell r="M16">
            <v>230.5</v>
          </cell>
          <cell r="N16">
            <v>211.7</v>
          </cell>
          <cell r="O16">
            <v>189.4</v>
          </cell>
          <cell r="P16">
            <v>153.4</v>
          </cell>
          <cell r="Q16">
            <v>163.34100000000001</v>
          </cell>
        </row>
        <row r="17">
          <cell r="A17" t="str">
            <v xml:space="preserve">    + Research &amp; Development</v>
          </cell>
          <cell r="E17">
            <v>1286.2</v>
          </cell>
          <cell r="F17">
            <v>1228.3</v>
          </cell>
          <cell r="G17">
            <v>1087.2</v>
          </cell>
          <cell r="H17">
            <v>949.3</v>
          </cell>
          <cell r="I17">
            <v>935.4</v>
          </cell>
          <cell r="J17">
            <v>737.9</v>
          </cell>
          <cell r="K17">
            <v>631.1</v>
          </cell>
          <cell r="L17">
            <v>576.6</v>
          </cell>
          <cell r="M17">
            <v>540.5</v>
          </cell>
          <cell r="N17">
            <v>492.5</v>
          </cell>
          <cell r="O17">
            <v>409.7</v>
          </cell>
          <cell r="P17">
            <v>375.5</v>
          </cell>
          <cell r="Q17">
            <v>368.13799999999998</v>
          </cell>
        </row>
        <row r="18">
          <cell r="A18" t="str">
            <v xml:space="preserve">    + Other Operating Expense</v>
          </cell>
          <cell r="E18">
            <v>376.7</v>
          </cell>
          <cell r="F18">
            <v>435.1</v>
          </cell>
          <cell r="G18">
            <v>418.1</v>
          </cell>
          <cell r="H18">
            <v>400.3</v>
          </cell>
          <cell r="I18">
            <v>450.5</v>
          </cell>
          <cell r="J18">
            <v>278.10000000000002</v>
          </cell>
          <cell r="K18">
            <v>210.1</v>
          </cell>
          <cell r="L18">
            <v>190.2</v>
          </cell>
          <cell r="M18">
            <v>196.4</v>
          </cell>
          <cell r="N18">
            <v>171.9</v>
          </cell>
          <cell r="O18">
            <v>172.6</v>
          </cell>
          <cell r="P18">
            <v>107.7</v>
          </cell>
          <cell r="Q18">
            <v>96.302000000000007</v>
          </cell>
        </row>
        <row r="19">
          <cell r="A19" t="str">
            <v>Operating Income (Loss)</v>
          </cell>
          <cell r="E19">
            <v>1359.6</v>
          </cell>
          <cell r="F19">
            <v>1241.9000000000001</v>
          </cell>
          <cell r="G19">
            <v>1302.9000000000001</v>
          </cell>
          <cell r="H19">
            <v>1019.4</v>
          </cell>
          <cell r="I19">
            <v>669.7</v>
          </cell>
          <cell r="J19">
            <v>812.8</v>
          </cell>
          <cell r="K19">
            <v>768.2</v>
          </cell>
          <cell r="L19">
            <v>729</v>
          </cell>
          <cell r="M19">
            <v>672</v>
          </cell>
          <cell r="N19">
            <v>633.20000000000005</v>
          </cell>
          <cell r="O19">
            <v>430.8</v>
          </cell>
          <cell r="P19">
            <v>503</v>
          </cell>
          <cell r="Q19">
            <v>500.96100000000001</v>
          </cell>
        </row>
        <row r="20">
          <cell r="A20" t="str">
            <v xml:space="preserve">  - Non-Operating (Income) Loss</v>
          </cell>
          <cell r="E20">
            <v>-118.4</v>
          </cell>
          <cell r="F20">
            <v>-59</v>
          </cell>
          <cell r="G20">
            <v>-2.7</v>
          </cell>
          <cell r="H20">
            <v>15.1</v>
          </cell>
          <cell r="I20">
            <v>23.4</v>
          </cell>
          <cell r="J20">
            <v>-3.1</v>
          </cell>
          <cell r="K20">
            <v>-15.6</v>
          </cell>
          <cell r="L20">
            <v>-22.4</v>
          </cell>
          <cell r="M20">
            <v>10.5</v>
          </cell>
          <cell r="N20">
            <v>0.1</v>
          </cell>
          <cell r="O20">
            <v>-14.9</v>
          </cell>
          <cell r="P20">
            <v>-18</v>
          </cell>
          <cell r="Q20">
            <v>-18.093</v>
          </cell>
        </row>
        <row r="21">
          <cell r="A21" t="str">
            <v xml:space="preserve">    + Interest Expense, Net</v>
          </cell>
          <cell r="E21">
            <v>0</v>
          </cell>
          <cell r="F21">
            <v>-98.3</v>
          </cell>
          <cell r="G21">
            <v>-13.8</v>
          </cell>
          <cell r="H21">
            <v>16.8</v>
          </cell>
          <cell r="I21">
            <v>22.9</v>
          </cell>
          <cell r="J21">
            <v>-8.5</v>
          </cell>
          <cell r="K21">
            <v>-21.9</v>
          </cell>
          <cell r="L21">
            <v>-13</v>
          </cell>
          <cell r="M21">
            <v>7.9</v>
          </cell>
          <cell r="N21">
            <v>-11.2</v>
          </cell>
          <cell r="O21">
            <v>-17.100000000000001</v>
          </cell>
          <cell r="P21">
            <v>-18.2</v>
          </cell>
          <cell r="Q21">
            <v>-13.311</v>
          </cell>
        </row>
        <row r="22">
          <cell r="A22" t="str">
            <v xml:space="preserve">    + Interest Expense</v>
          </cell>
          <cell r="E22">
            <v>0</v>
          </cell>
          <cell r="F22">
            <v>40.1</v>
          </cell>
          <cell r="G22">
            <v>26</v>
          </cell>
          <cell r="H22">
            <v>28.2</v>
          </cell>
          <cell r="I22">
            <v>37.200000000000003</v>
          </cell>
          <cell r="J22">
            <v>25.2</v>
          </cell>
          <cell r="K22">
            <v>15.5</v>
          </cell>
          <cell r="L22">
            <v>12.4</v>
          </cell>
          <cell r="M22">
            <v>25.3</v>
          </cell>
          <cell r="N22">
            <v>7.4</v>
          </cell>
          <cell r="O22">
            <v>5.7</v>
          </cell>
          <cell r="P22">
            <v>3.1</v>
          </cell>
          <cell r="Q22">
            <v>7.76</v>
          </cell>
        </row>
        <row r="23">
          <cell r="A23" t="str">
            <v xml:space="preserve">    - Interest Income</v>
          </cell>
          <cell r="E23">
            <v>0</v>
          </cell>
          <cell r="F23">
            <v>138.4</v>
          </cell>
          <cell r="G23">
            <v>39.799999999999997</v>
          </cell>
          <cell r="H23">
            <v>11.4</v>
          </cell>
          <cell r="I23">
            <v>14.3</v>
          </cell>
          <cell r="J23">
            <v>33.700000000000003</v>
          </cell>
          <cell r="K23">
            <v>37.4</v>
          </cell>
          <cell r="L23">
            <v>25.5</v>
          </cell>
          <cell r="M23">
            <v>17.399999999999999</v>
          </cell>
          <cell r="N23">
            <v>18.600000000000001</v>
          </cell>
          <cell r="O23">
            <v>22.9</v>
          </cell>
          <cell r="P23">
            <v>21.3</v>
          </cell>
          <cell r="Q23">
            <v>21.071000000000002</v>
          </cell>
        </row>
        <row r="24">
          <cell r="A24" t="str">
            <v xml:space="preserve">    + Foreign Exch (Gain) Loss</v>
          </cell>
          <cell r="E24">
            <v>0</v>
          </cell>
          <cell r="F24">
            <v>10.7</v>
          </cell>
          <cell r="G24">
            <v>9.1</v>
          </cell>
          <cell r="H24">
            <v>-1.1000000000000001</v>
          </cell>
          <cell r="I24">
            <v>0.8</v>
          </cell>
          <cell r="J24">
            <v>1.3</v>
          </cell>
          <cell r="K24">
            <v>15</v>
          </cell>
          <cell r="L24">
            <v>10.199999999999999</v>
          </cell>
          <cell r="M24">
            <v>9.3000000000000007</v>
          </cell>
          <cell r="N24">
            <v>12</v>
          </cell>
          <cell r="O24">
            <v>4.0999999999999996</v>
          </cell>
          <cell r="P24">
            <v>0.5</v>
          </cell>
          <cell r="Q24">
            <v>2.9079999999999999</v>
          </cell>
        </row>
        <row r="25">
          <cell r="A25" t="str">
            <v xml:space="preserve">    + (Income) Loss from Affiliates</v>
          </cell>
          <cell r="E25">
            <v>0</v>
          </cell>
          <cell r="F25">
            <v>0</v>
          </cell>
          <cell r="G25">
            <v>0</v>
          </cell>
          <cell r="H25">
            <v>0</v>
          </cell>
          <cell r="I25">
            <v>0</v>
          </cell>
          <cell r="J25">
            <v>0</v>
          </cell>
          <cell r="K25">
            <v>0</v>
          </cell>
          <cell r="L25">
            <v>0</v>
          </cell>
          <cell r="M25">
            <v>0</v>
          </cell>
          <cell r="N25">
            <v>0</v>
          </cell>
          <cell r="O25">
            <v>0</v>
          </cell>
          <cell r="P25">
            <v>0</v>
          </cell>
          <cell r="Q25">
            <v>0</v>
          </cell>
        </row>
        <row r="26">
          <cell r="A26" t="str">
            <v xml:space="preserve">    + Other Non-Op (Income) Loss</v>
          </cell>
          <cell r="E26">
            <v>-118.4</v>
          </cell>
          <cell r="F26">
            <v>28.6</v>
          </cell>
          <cell r="G26">
            <v>2</v>
          </cell>
          <cell r="H26">
            <v>-0.6</v>
          </cell>
          <cell r="I26">
            <v>-0.3</v>
          </cell>
          <cell r="J26">
            <v>4.0999999999999996</v>
          </cell>
          <cell r="K26">
            <v>-8.6999999999999993</v>
          </cell>
          <cell r="L26">
            <v>-19.600000000000001</v>
          </cell>
          <cell r="M26">
            <v>-6.7</v>
          </cell>
          <cell r="N26">
            <v>-0.7</v>
          </cell>
          <cell r="O26">
            <v>-1.9</v>
          </cell>
          <cell r="P26">
            <v>-0.2</v>
          </cell>
          <cell r="Q26">
            <v>-7.69</v>
          </cell>
        </row>
        <row r="27">
          <cell r="A27" t="str">
            <v>Pretax Income</v>
          </cell>
          <cell r="E27">
            <v>1478</v>
          </cell>
          <cell r="F27">
            <v>1300.9000000000001</v>
          </cell>
          <cell r="G27">
            <v>1305.5999999999999</v>
          </cell>
          <cell r="H27">
            <v>1004.3</v>
          </cell>
          <cell r="I27">
            <v>646.29999999999995</v>
          </cell>
          <cell r="J27">
            <v>815.9</v>
          </cell>
          <cell r="K27">
            <v>783.8</v>
          </cell>
          <cell r="L27">
            <v>751.4</v>
          </cell>
          <cell r="M27">
            <v>661.5</v>
          </cell>
          <cell r="N27">
            <v>633.1</v>
          </cell>
          <cell r="O27">
            <v>445.8</v>
          </cell>
          <cell r="P27">
            <v>521</v>
          </cell>
          <cell r="Q27">
            <v>519.05399999999997</v>
          </cell>
        </row>
        <row r="28">
          <cell r="A28" t="str">
            <v xml:space="preserve">  - Income Tax Expense (Benefit)</v>
          </cell>
          <cell r="E28">
            <v>279.89999999999998</v>
          </cell>
          <cell r="F28">
            <v>250.7</v>
          </cell>
          <cell r="G28">
            <v>375.4</v>
          </cell>
          <cell r="H28">
            <v>230.4</v>
          </cell>
          <cell r="I28">
            <v>160.80000000000001</v>
          </cell>
          <cell r="J28">
            <v>209.6</v>
          </cell>
          <cell r="K28">
            <v>220.4</v>
          </cell>
          <cell r="L28">
            <v>231.3</v>
          </cell>
          <cell r="M28">
            <v>209.3</v>
          </cell>
          <cell r="N28">
            <v>227.1</v>
          </cell>
          <cell r="O28">
            <v>153.30000000000001</v>
          </cell>
          <cell r="P28">
            <v>165.8</v>
          </cell>
          <cell r="Q28">
            <v>180.22499999999999</v>
          </cell>
        </row>
        <row r="29">
          <cell r="A29" t="str">
            <v xml:space="preserve">    + Current Income Tax</v>
          </cell>
          <cell r="E29" t="str">
            <v>—</v>
          </cell>
          <cell r="F29">
            <v>432</v>
          </cell>
          <cell r="G29">
            <v>620</v>
          </cell>
          <cell r="H29">
            <v>327.2</v>
          </cell>
          <cell r="I29">
            <v>256.60000000000002</v>
          </cell>
          <cell r="J29">
            <v>298.3</v>
          </cell>
          <cell r="K29">
            <v>236.9</v>
          </cell>
          <cell r="L29">
            <v>311.39999999999998</v>
          </cell>
          <cell r="M29">
            <v>252.5</v>
          </cell>
          <cell r="N29">
            <v>269.60000000000002</v>
          </cell>
          <cell r="O29">
            <v>193.2</v>
          </cell>
          <cell r="P29">
            <v>180.6</v>
          </cell>
          <cell r="Q29">
            <v>185.67400000000001</v>
          </cell>
        </row>
        <row r="30">
          <cell r="A30" t="str">
            <v xml:space="preserve">    + Deferred Income Tax</v>
          </cell>
          <cell r="E30" t="str">
            <v>—</v>
          </cell>
          <cell r="F30">
            <v>-181.3</v>
          </cell>
          <cell r="G30">
            <v>-244.6</v>
          </cell>
          <cell r="H30">
            <v>-96.8</v>
          </cell>
          <cell r="I30">
            <v>-95.8</v>
          </cell>
          <cell r="J30">
            <v>-88.7</v>
          </cell>
          <cell r="K30">
            <v>-16.5</v>
          </cell>
          <cell r="L30">
            <v>-80.099999999999994</v>
          </cell>
          <cell r="M30">
            <v>-43.2</v>
          </cell>
          <cell r="N30">
            <v>-42.5</v>
          </cell>
          <cell r="O30">
            <v>-39.9</v>
          </cell>
          <cell r="P30">
            <v>-14.8</v>
          </cell>
          <cell r="Q30">
            <v>-5.4489999999999998</v>
          </cell>
        </row>
        <row r="31">
          <cell r="A31" t="str">
            <v>Income (Loss) from Cont Ops</v>
          </cell>
          <cell r="E31">
            <v>1198.0999999999999</v>
          </cell>
          <cell r="F31">
            <v>1050.2</v>
          </cell>
          <cell r="G31">
            <v>930.2</v>
          </cell>
          <cell r="H31">
            <v>773.9</v>
          </cell>
          <cell r="I31">
            <v>485.5</v>
          </cell>
          <cell r="J31">
            <v>606.29999999999995</v>
          </cell>
          <cell r="K31">
            <v>563.4</v>
          </cell>
          <cell r="L31">
            <v>520.1</v>
          </cell>
          <cell r="M31">
            <v>452.2</v>
          </cell>
          <cell r="N31">
            <v>406</v>
          </cell>
          <cell r="O31">
            <v>292.5</v>
          </cell>
          <cell r="P31">
            <v>355.2</v>
          </cell>
          <cell r="Q31">
            <v>338.82900000000001</v>
          </cell>
        </row>
        <row r="32">
          <cell r="A32" t="str">
            <v xml:space="preserve">  - Net Extraordinary Losses (Gains)</v>
          </cell>
          <cell r="E32">
            <v>0</v>
          </cell>
          <cell r="F32">
            <v>0</v>
          </cell>
          <cell r="G32">
            <v>0</v>
          </cell>
          <cell r="H32">
            <v>0</v>
          </cell>
          <cell r="I32">
            <v>0</v>
          </cell>
          <cell r="J32">
            <v>0</v>
          </cell>
          <cell r="K32">
            <v>0</v>
          </cell>
          <cell r="L32">
            <v>0</v>
          </cell>
          <cell r="M32">
            <v>0</v>
          </cell>
          <cell r="N32">
            <v>0</v>
          </cell>
          <cell r="O32">
            <v>0</v>
          </cell>
          <cell r="P32">
            <v>0</v>
          </cell>
          <cell r="Q32">
            <v>0</v>
          </cell>
        </row>
        <row r="33">
          <cell r="A33" t="str">
            <v xml:space="preserve">    + Discontinued Operations</v>
          </cell>
          <cell r="E33">
            <v>0</v>
          </cell>
          <cell r="F33">
            <v>0</v>
          </cell>
          <cell r="G33">
            <v>0</v>
          </cell>
          <cell r="H33">
            <v>0</v>
          </cell>
          <cell r="I33">
            <v>0</v>
          </cell>
          <cell r="J33">
            <v>0</v>
          </cell>
          <cell r="K33">
            <v>0</v>
          </cell>
          <cell r="L33">
            <v>0</v>
          </cell>
          <cell r="M33">
            <v>0</v>
          </cell>
          <cell r="N33">
            <v>0</v>
          </cell>
          <cell r="O33">
            <v>0</v>
          </cell>
          <cell r="P33">
            <v>0</v>
          </cell>
          <cell r="Q33">
            <v>0</v>
          </cell>
        </row>
        <row r="34">
          <cell r="A34" t="str">
            <v xml:space="preserve">    + XO &amp; Accounting Changes</v>
          </cell>
          <cell r="E34">
            <v>0</v>
          </cell>
          <cell r="F34">
            <v>0</v>
          </cell>
          <cell r="G34">
            <v>0</v>
          </cell>
          <cell r="H34">
            <v>0</v>
          </cell>
          <cell r="I34">
            <v>0</v>
          </cell>
          <cell r="J34">
            <v>0</v>
          </cell>
          <cell r="K34">
            <v>0</v>
          </cell>
          <cell r="L34">
            <v>0</v>
          </cell>
          <cell r="M34">
            <v>0</v>
          </cell>
          <cell r="N34">
            <v>0</v>
          </cell>
          <cell r="O34">
            <v>0</v>
          </cell>
          <cell r="P34">
            <v>0</v>
          </cell>
          <cell r="Q34">
            <v>0</v>
          </cell>
        </row>
        <row r="35">
          <cell r="A35" t="str">
            <v>Income (Loss) Incl. MI</v>
          </cell>
          <cell r="E35">
            <v>1198.0999999999999</v>
          </cell>
          <cell r="F35">
            <v>1050.2</v>
          </cell>
          <cell r="G35">
            <v>930.2</v>
          </cell>
          <cell r="H35">
            <v>773.9</v>
          </cell>
          <cell r="I35">
            <v>485.5</v>
          </cell>
          <cell r="J35">
            <v>606.29999999999995</v>
          </cell>
          <cell r="K35">
            <v>563.4</v>
          </cell>
          <cell r="L35">
            <v>520.1</v>
          </cell>
          <cell r="M35">
            <v>452.2</v>
          </cell>
          <cell r="N35">
            <v>406</v>
          </cell>
          <cell r="O35">
            <v>292.5</v>
          </cell>
          <cell r="P35">
            <v>355.2</v>
          </cell>
          <cell r="Q35">
            <v>338.82900000000001</v>
          </cell>
        </row>
        <row r="36">
          <cell r="A36" t="str">
            <v xml:space="preserve">  - Minority Interest</v>
          </cell>
          <cell r="E36">
            <v>-2.1</v>
          </cell>
          <cell r="F36">
            <v>-0.7</v>
          </cell>
          <cell r="G36">
            <v>-1.3</v>
          </cell>
          <cell r="H36">
            <v>0.2</v>
          </cell>
          <cell r="I36">
            <v>-5.5</v>
          </cell>
          <cell r="J36">
            <v>-9</v>
          </cell>
          <cell r="K36">
            <v>-6</v>
          </cell>
          <cell r="L36">
            <v>0.7</v>
          </cell>
          <cell r="M36">
            <v>5</v>
          </cell>
          <cell r="N36">
            <v>3.8</v>
          </cell>
          <cell r="O36">
            <v>1.2</v>
          </cell>
          <cell r="P36">
            <v>2.9</v>
          </cell>
          <cell r="Q36">
            <v>4.008</v>
          </cell>
        </row>
        <row r="37">
          <cell r="A37" t="str">
            <v>Net Income, GAAP</v>
          </cell>
          <cell r="E37">
            <v>1200.2</v>
          </cell>
          <cell r="F37">
            <v>1050.9000000000001</v>
          </cell>
          <cell r="G37">
            <v>931.5</v>
          </cell>
          <cell r="H37">
            <v>773.7</v>
          </cell>
          <cell r="I37">
            <v>491</v>
          </cell>
          <cell r="J37">
            <v>615.29999999999995</v>
          </cell>
          <cell r="K37">
            <v>569.4</v>
          </cell>
          <cell r="L37">
            <v>519.4</v>
          </cell>
          <cell r="M37">
            <v>447.2</v>
          </cell>
          <cell r="N37">
            <v>402.2</v>
          </cell>
          <cell r="O37">
            <v>291.2</v>
          </cell>
          <cell r="P37">
            <v>352.3</v>
          </cell>
          <cell r="Q37">
            <v>334.82100000000003</v>
          </cell>
        </row>
        <row r="38">
          <cell r="A38" t="str">
            <v xml:space="preserve">  - Preferred Dividends</v>
          </cell>
          <cell r="E38">
            <v>0</v>
          </cell>
          <cell r="F38">
            <v>0</v>
          </cell>
          <cell r="G38">
            <v>0</v>
          </cell>
          <cell r="H38">
            <v>0</v>
          </cell>
          <cell r="I38">
            <v>0</v>
          </cell>
          <cell r="J38">
            <v>0</v>
          </cell>
          <cell r="K38">
            <v>0</v>
          </cell>
          <cell r="L38">
            <v>0</v>
          </cell>
          <cell r="M38">
            <v>0</v>
          </cell>
          <cell r="N38">
            <v>0</v>
          </cell>
          <cell r="O38">
            <v>0</v>
          </cell>
          <cell r="P38">
            <v>0</v>
          </cell>
          <cell r="Q38">
            <v>0</v>
          </cell>
        </row>
        <row r="39">
          <cell r="A39" t="str">
            <v xml:space="preserve">  - Other Adjustments</v>
          </cell>
          <cell r="E39">
            <v>0</v>
          </cell>
          <cell r="F39">
            <v>0</v>
          </cell>
          <cell r="G39">
            <v>0</v>
          </cell>
          <cell r="H39">
            <v>0</v>
          </cell>
          <cell r="I39">
            <v>0</v>
          </cell>
          <cell r="J39">
            <v>0</v>
          </cell>
          <cell r="K39">
            <v>0</v>
          </cell>
          <cell r="L39">
            <v>0</v>
          </cell>
          <cell r="M39">
            <v>0</v>
          </cell>
          <cell r="N39">
            <v>0</v>
          </cell>
          <cell r="O39">
            <v>0</v>
          </cell>
          <cell r="P39">
            <v>0</v>
          </cell>
          <cell r="Q39">
            <v>0</v>
          </cell>
        </row>
        <row r="40">
          <cell r="A40" t="str">
            <v>Net Income Avail to Common, GAAP</v>
          </cell>
          <cell r="E40">
            <v>1200.2</v>
          </cell>
          <cell r="F40">
            <v>1050.9000000000001</v>
          </cell>
          <cell r="G40">
            <v>931.5</v>
          </cell>
          <cell r="H40">
            <v>773.7</v>
          </cell>
          <cell r="I40">
            <v>491</v>
          </cell>
          <cell r="J40">
            <v>615.29999999999995</v>
          </cell>
          <cell r="K40">
            <v>569.4</v>
          </cell>
          <cell r="L40">
            <v>519.4</v>
          </cell>
          <cell r="M40">
            <v>447.2</v>
          </cell>
          <cell r="N40">
            <v>402.2</v>
          </cell>
          <cell r="O40">
            <v>291.2</v>
          </cell>
          <cell r="P40">
            <v>352.3</v>
          </cell>
          <cell r="Q40">
            <v>334.82100000000003</v>
          </cell>
        </row>
        <row r="41">
          <cell r="A41"/>
          <cell r="E41" t="str">
            <v> </v>
          </cell>
          <cell r="F41" t="str">
            <v> </v>
          </cell>
          <cell r="G41" t="str">
            <v> </v>
          </cell>
          <cell r="H41" t="str">
            <v> </v>
          </cell>
          <cell r="I41" t="str">
            <v> </v>
          </cell>
          <cell r="J41" t="str">
            <v> </v>
          </cell>
          <cell r="K41" t="str">
            <v> </v>
          </cell>
          <cell r="L41" t="str">
            <v> </v>
          </cell>
          <cell r="M41" t="str">
            <v> </v>
          </cell>
          <cell r="N41" t="str">
            <v> </v>
          </cell>
          <cell r="O41" t="str">
            <v> </v>
          </cell>
          <cell r="P41" t="str">
            <v> </v>
          </cell>
          <cell r="Q41" t="str">
            <v> </v>
          </cell>
        </row>
        <row r="42">
          <cell r="A42" t="str">
            <v>Net Income Avail to Common, Adj</v>
          </cell>
          <cell r="E42">
            <v>1217</v>
          </cell>
          <cell r="F42">
            <v>1092.5</v>
          </cell>
          <cell r="G42">
            <v>974.7</v>
          </cell>
          <cell r="H42">
            <v>796.2</v>
          </cell>
          <cell r="I42">
            <v>531.29999999999995</v>
          </cell>
          <cell r="J42">
            <v>637.6</v>
          </cell>
          <cell r="K42">
            <v>595.20000000000005</v>
          </cell>
          <cell r="L42">
            <v>539</v>
          </cell>
          <cell r="M42">
            <v>472.4</v>
          </cell>
          <cell r="N42">
            <v>409.8</v>
          </cell>
          <cell r="O42">
            <v>315.60000000000002</v>
          </cell>
          <cell r="P42">
            <v>356.4</v>
          </cell>
          <cell r="Q42">
            <v>331.55799999999999</v>
          </cell>
        </row>
        <row r="43">
          <cell r="A43" t="str">
            <v xml:space="preserve">  Net Abnormal Losses (Gains)</v>
          </cell>
          <cell r="E43">
            <v>16.8</v>
          </cell>
          <cell r="F43">
            <v>41.6</v>
          </cell>
          <cell r="G43">
            <v>43.2</v>
          </cell>
          <cell r="H43">
            <v>22.5</v>
          </cell>
          <cell r="I43">
            <v>40.299999999999997</v>
          </cell>
          <cell r="J43">
            <v>22.3</v>
          </cell>
          <cell r="K43">
            <v>25.8</v>
          </cell>
          <cell r="L43">
            <v>19.600000000000001</v>
          </cell>
          <cell r="M43">
            <v>25.2</v>
          </cell>
          <cell r="N43">
            <v>7.7</v>
          </cell>
          <cell r="O43">
            <v>24.4</v>
          </cell>
          <cell r="P43">
            <v>4.2</v>
          </cell>
          <cell r="Q43">
            <v>-3.2629999999999999</v>
          </cell>
        </row>
        <row r="44">
          <cell r="A44" t="str">
            <v xml:space="preserve">  Net Extraordinary Losses (Gains)</v>
          </cell>
          <cell r="E44">
            <v>0</v>
          </cell>
          <cell r="F44">
            <v>0</v>
          </cell>
          <cell r="G44">
            <v>0</v>
          </cell>
          <cell r="H44">
            <v>0</v>
          </cell>
          <cell r="I44">
            <v>0</v>
          </cell>
          <cell r="J44">
            <v>0</v>
          </cell>
          <cell r="K44">
            <v>0</v>
          </cell>
          <cell r="L44">
            <v>0</v>
          </cell>
          <cell r="M44">
            <v>0</v>
          </cell>
          <cell r="N44">
            <v>0</v>
          </cell>
          <cell r="O44">
            <v>0</v>
          </cell>
          <cell r="P44">
            <v>0</v>
          </cell>
          <cell r="Q44">
            <v>0</v>
          </cell>
        </row>
        <row r="45">
          <cell r="A45"/>
          <cell r="E45" t="str">
            <v> </v>
          </cell>
          <cell r="F45" t="str">
            <v> </v>
          </cell>
          <cell r="G45" t="str">
            <v> </v>
          </cell>
          <cell r="H45" t="str">
            <v> </v>
          </cell>
          <cell r="I45" t="str">
            <v> </v>
          </cell>
          <cell r="J45" t="str">
            <v> </v>
          </cell>
          <cell r="K45" t="str">
            <v> </v>
          </cell>
          <cell r="L45" t="str">
            <v> </v>
          </cell>
          <cell r="M45" t="str">
            <v> </v>
          </cell>
          <cell r="N45" t="str">
            <v> </v>
          </cell>
          <cell r="O45" t="str">
            <v> </v>
          </cell>
          <cell r="P45" t="str">
            <v> </v>
          </cell>
          <cell r="Q45" t="str">
            <v> </v>
          </cell>
        </row>
        <row r="46">
          <cell r="A46" t="str">
            <v>Basic Weighted Avg Shares</v>
          </cell>
          <cell r="E46">
            <v>1313.3</v>
          </cell>
          <cell r="F46">
            <v>1315.1</v>
          </cell>
          <cell r="G46">
            <v>1312.3</v>
          </cell>
          <cell r="H46">
            <v>1309.8</v>
          </cell>
          <cell r="I46">
            <v>1302.2</v>
          </cell>
          <cell r="J46">
            <v>1297</v>
          </cell>
          <cell r="K46">
            <v>1291.8</v>
          </cell>
          <cell r="L46">
            <v>1274.7</v>
          </cell>
          <cell r="M46">
            <v>1269.5999999999999</v>
          </cell>
          <cell r="N46">
            <v>1262.4000000000001</v>
          </cell>
          <cell r="O46">
            <v>1254.3</v>
          </cell>
          <cell r="P46">
            <v>1248.7</v>
          </cell>
          <cell r="Q46">
            <v>1232.799</v>
          </cell>
        </row>
        <row r="47">
          <cell r="A47" t="str">
            <v>Basic EPS, GAAP</v>
          </cell>
          <cell r="E47">
            <v>0.91</v>
          </cell>
          <cell r="F47">
            <v>0.8</v>
          </cell>
          <cell r="G47">
            <v>0.71</v>
          </cell>
          <cell r="H47">
            <v>0.59</v>
          </cell>
          <cell r="I47">
            <v>0.38</v>
          </cell>
          <cell r="J47">
            <v>0.47</v>
          </cell>
          <cell r="K47">
            <v>0.44</v>
          </cell>
          <cell r="L47">
            <v>0.41</v>
          </cell>
          <cell r="M47">
            <v>0.35</v>
          </cell>
          <cell r="N47">
            <v>0.32</v>
          </cell>
          <cell r="O47">
            <v>0.23</v>
          </cell>
          <cell r="P47">
            <v>0.28000000000000003</v>
          </cell>
          <cell r="Q47">
            <v>0.27200000000000002</v>
          </cell>
        </row>
        <row r="48">
          <cell r="A48" t="str">
            <v>Basic EPS from Cont Ops, GAAP</v>
          </cell>
          <cell r="E48">
            <v>0.91</v>
          </cell>
          <cell r="F48">
            <v>0.8</v>
          </cell>
          <cell r="G48">
            <v>0.71</v>
          </cell>
          <cell r="H48">
            <v>0.59</v>
          </cell>
          <cell r="I48">
            <v>0.38</v>
          </cell>
          <cell r="J48">
            <v>0.47</v>
          </cell>
          <cell r="K48">
            <v>0.44</v>
          </cell>
          <cell r="L48">
            <v>0.41</v>
          </cell>
          <cell r="M48">
            <v>0.35</v>
          </cell>
          <cell r="N48">
            <v>0.32</v>
          </cell>
          <cell r="O48">
            <v>0.23</v>
          </cell>
          <cell r="P48">
            <v>0.28000000000000003</v>
          </cell>
          <cell r="Q48">
            <v>0.27200000000000002</v>
          </cell>
        </row>
        <row r="49">
          <cell r="A49" t="str">
            <v>Basic EPS from Cont Ops, Adjusted</v>
          </cell>
          <cell r="E49">
            <v>0.92</v>
          </cell>
          <cell r="F49">
            <v>0.83</v>
          </cell>
          <cell r="G49">
            <v>0.74</v>
          </cell>
          <cell r="H49">
            <v>0.61</v>
          </cell>
          <cell r="I49">
            <v>0.41</v>
          </cell>
          <cell r="J49">
            <v>0.49</v>
          </cell>
          <cell r="K49">
            <v>0.46</v>
          </cell>
          <cell r="L49">
            <v>0.42</v>
          </cell>
          <cell r="M49">
            <v>0.37</v>
          </cell>
          <cell r="N49">
            <v>0.32</v>
          </cell>
          <cell r="O49">
            <v>0.25</v>
          </cell>
          <cell r="P49">
            <v>0.28999999999999998</v>
          </cell>
          <cell r="Q49">
            <v>0.26900000000000002</v>
          </cell>
        </row>
        <row r="50">
          <cell r="A50"/>
          <cell r="E50" t="str">
            <v> </v>
          </cell>
          <cell r="F50" t="str">
            <v> </v>
          </cell>
          <cell r="G50" t="str">
            <v> </v>
          </cell>
          <cell r="H50" t="str">
            <v> </v>
          </cell>
          <cell r="I50" t="str">
            <v> </v>
          </cell>
          <cell r="J50" t="str">
            <v> </v>
          </cell>
          <cell r="K50" t="str">
            <v> </v>
          </cell>
          <cell r="L50" t="str">
            <v> </v>
          </cell>
          <cell r="M50" t="str">
            <v> </v>
          </cell>
          <cell r="N50" t="str">
            <v> </v>
          </cell>
          <cell r="O50" t="str">
            <v> </v>
          </cell>
          <cell r="P50" t="str">
            <v> </v>
          </cell>
          <cell r="Q50" t="str">
            <v> </v>
          </cell>
        </row>
        <row r="51">
          <cell r="A51" t="str">
            <v>Diluted Weighted Avg Shares</v>
          </cell>
          <cell r="E51">
            <v>1333.4</v>
          </cell>
          <cell r="F51">
            <v>1336.8</v>
          </cell>
          <cell r="G51">
            <v>1332.7</v>
          </cell>
          <cell r="H51">
            <v>1332.1</v>
          </cell>
          <cell r="I51">
            <v>1320.9</v>
          </cell>
          <cell r="J51">
            <v>1316</v>
          </cell>
          <cell r="K51">
            <v>1303.8</v>
          </cell>
          <cell r="L51">
            <v>1291.5</v>
          </cell>
          <cell r="M51">
            <v>1287</v>
          </cell>
          <cell r="N51">
            <v>1283</v>
          </cell>
          <cell r="O51">
            <v>1276.4000000000001</v>
          </cell>
          <cell r="P51">
            <v>1276</v>
          </cell>
          <cell r="Q51">
            <v>1259.085</v>
          </cell>
        </row>
        <row r="52">
          <cell r="A52" t="str">
            <v>Diluted EPS, GAAP</v>
          </cell>
          <cell r="E52">
            <v>0.9</v>
          </cell>
          <cell r="F52">
            <v>0.79</v>
          </cell>
          <cell r="G52">
            <v>0.7</v>
          </cell>
          <cell r="H52">
            <v>0.57999999999999996</v>
          </cell>
          <cell r="I52">
            <v>0.37</v>
          </cell>
          <cell r="J52">
            <v>0.47</v>
          </cell>
          <cell r="K52">
            <v>0.44</v>
          </cell>
          <cell r="L52">
            <v>0.4</v>
          </cell>
          <cell r="M52">
            <v>0.35</v>
          </cell>
          <cell r="N52">
            <v>0.31</v>
          </cell>
          <cell r="O52">
            <v>0.23</v>
          </cell>
          <cell r="P52">
            <v>0.28000000000000003</v>
          </cell>
          <cell r="Q52">
            <v>0.26600000000000001</v>
          </cell>
        </row>
        <row r="53">
          <cell r="A53" t="str">
            <v>Diluted EPS from Cont Ops, GAAP</v>
          </cell>
          <cell r="E53">
            <v>0.9</v>
          </cell>
          <cell r="F53">
            <v>0.79</v>
          </cell>
          <cell r="G53">
            <v>0.7</v>
          </cell>
          <cell r="H53">
            <v>0.57999999999999996</v>
          </cell>
          <cell r="I53">
            <v>0.37</v>
          </cell>
          <cell r="J53">
            <v>0.47</v>
          </cell>
          <cell r="K53">
            <v>0.44</v>
          </cell>
          <cell r="L53">
            <v>0.4</v>
          </cell>
          <cell r="M53">
            <v>0.35</v>
          </cell>
          <cell r="N53">
            <v>0.31</v>
          </cell>
          <cell r="O53">
            <v>0.23</v>
          </cell>
          <cell r="P53">
            <v>0.28000000000000003</v>
          </cell>
          <cell r="Q53">
            <v>0.26600000000000001</v>
          </cell>
        </row>
        <row r="54">
          <cell r="A54" t="str">
            <v>Diluted EPS from Cont Ops, Adjusted</v>
          </cell>
          <cell r="E54">
            <v>0.91</v>
          </cell>
          <cell r="F54">
            <v>0.82</v>
          </cell>
          <cell r="G54">
            <v>0.73</v>
          </cell>
          <cell r="H54">
            <v>0.6</v>
          </cell>
          <cell r="I54">
            <v>0.4</v>
          </cell>
          <cell r="J54">
            <v>0.48</v>
          </cell>
          <cell r="K54">
            <v>0.46</v>
          </cell>
          <cell r="L54">
            <v>0.42</v>
          </cell>
          <cell r="M54">
            <v>0.37</v>
          </cell>
          <cell r="N54">
            <v>0.32</v>
          </cell>
          <cell r="O54">
            <v>0.25</v>
          </cell>
          <cell r="P54">
            <v>0.28000000000000003</v>
          </cell>
          <cell r="Q54">
            <v>0.26300000000000001</v>
          </cell>
        </row>
        <row r="55">
          <cell r="A55"/>
          <cell r="E55" t="str">
            <v> </v>
          </cell>
          <cell r="F55" t="str">
            <v> </v>
          </cell>
          <cell r="G55" t="str">
            <v> </v>
          </cell>
          <cell r="H55" t="str">
            <v> </v>
          </cell>
          <cell r="I55" t="str">
            <v> </v>
          </cell>
          <cell r="J55" t="str">
            <v> </v>
          </cell>
          <cell r="K55" t="str">
            <v> </v>
          </cell>
          <cell r="L55" t="str">
            <v> </v>
          </cell>
          <cell r="M55" t="str">
            <v> </v>
          </cell>
          <cell r="N55" t="str">
            <v> </v>
          </cell>
          <cell r="O55" t="str">
            <v> </v>
          </cell>
          <cell r="P55" t="str">
            <v> </v>
          </cell>
          <cell r="Q55" t="str">
            <v> </v>
          </cell>
        </row>
        <row r="56">
          <cell r="A56" t="str">
            <v>Reference Items</v>
          </cell>
          <cell r="E56" t="str">
            <v> </v>
          </cell>
          <cell r="F56" t="str">
            <v> </v>
          </cell>
          <cell r="G56" t="str">
            <v> </v>
          </cell>
          <cell r="H56" t="str">
            <v> </v>
          </cell>
          <cell r="I56" t="str">
            <v> </v>
          </cell>
          <cell r="J56" t="str">
            <v> </v>
          </cell>
          <cell r="K56" t="str">
            <v> </v>
          </cell>
          <cell r="L56" t="str">
            <v> </v>
          </cell>
          <cell r="M56" t="str">
            <v> </v>
          </cell>
          <cell r="N56" t="str">
            <v> </v>
          </cell>
          <cell r="O56" t="str">
            <v> </v>
          </cell>
          <cell r="P56" t="str">
            <v> </v>
          </cell>
          <cell r="Q56" t="str">
            <v> </v>
          </cell>
        </row>
        <row r="57">
          <cell r="A57" t="str">
            <v>Accounting Standard</v>
          </cell>
          <cell r="E57" t="str">
            <v>IAS/IFRS</v>
          </cell>
          <cell r="F57" t="str">
            <v>IAS/IFRS</v>
          </cell>
          <cell r="G57" t="str">
            <v>IAS/IFRS</v>
          </cell>
          <cell r="H57" t="str">
            <v>IAS/IFRS</v>
          </cell>
          <cell r="I57" t="str">
            <v>IAS/IFRS</v>
          </cell>
          <cell r="J57" t="str">
            <v>IAS/IFRS</v>
          </cell>
          <cell r="K57" t="str">
            <v>IAS/IFRS</v>
          </cell>
          <cell r="L57" t="str">
            <v>IAS/IFRS</v>
          </cell>
          <cell r="M57" t="str">
            <v>IAS/IFRS</v>
          </cell>
          <cell r="N57" t="str">
            <v>IAS/IFRS</v>
          </cell>
          <cell r="O57" t="str">
            <v>IAS/IFRS</v>
          </cell>
          <cell r="P57" t="str">
            <v>IAS/IFRS</v>
          </cell>
          <cell r="Q57" t="str">
            <v>IAS/IFRS</v>
          </cell>
        </row>
        <row r="58">
          <cell r="A58" t="str">
            <v>EBITDA</v>
          </cell>
          <cell r="E58">
            <v>1920.6</v>
          </cell>
          <cell r="F58">
            <v>1811.4</v>
          </cell>
          <cell r="G58">
            <v>1899.7</v>
          </cell>
          <cell r="H58">
            <v>1594</v>
          </cell>
          <cell r="I58">
            <v>1274.2</v>
          </cell>
          <cell r="J58">
            <v>1208.8</v>
          </cell>
          <cell r="K58">
            <v>1005.9</v>
          </cell>
          <cell r="L58">
            <v>946.7</v>
          </cell>
          <cell r="M58">
            <v>878.5</v>
          </cell>
          <cell r="N58">
            <v>844.6</v>
          </cell>
          <cell r="O58">
            <v>607.20000000000005</v>
          </cell>
          <cell r="P58">
            <v>644.4</v>
          </cell>
          <cell r="Q58">
            <v>633.08000000000004</v>
          </cell>
        </row>
        <row r="59">
          <cell r="A59" t="str">
            <v>EBITDA Margin (T12M)</v>
          </cell>
          <cell r="E59">
            <v>30.91</v>
          </cell>
          <cell r="F59">
            <v>30.44</v>
          </cell>
          <cell r="G59">
            <v>33.53</v>
          </cell>
          <cell r="H59">
            <v>32.799999999999997</v>
          </cell>
          <cell r="I59">
            <v>28.62</v>
          </cell>
          <cell r="J59">
            <v>30.08</v>
          </cell>
          <cell r="K59">
            <v>28.93</v>
          </cell>
          <cell r="L59">
            <v>29.33</v>
          </cell>
          <cell r="M59">
            <v>28.75</v>
          </cell>
          <cell r="N59">
            <v>29.75</v>
          </cell>
          <cell r="O59">
            <v>26.46</v>
          </cell>
          <cell r="P59">
            <v>31.19</v>
          </cell>
          <cell r="Q59">
            <v>31.212</v>
          </cell>
        </row>
        <row r="60">
          <cell r="A60" t="str">
            <v>EBITA</v>
          </cell>
          <cell r="E60">
            <v>1728.7</v>
          </cell>
          <cell r="F60">
            <v>1623.5</v>
          </cell>
          <cell r="G60">
            <v>1701.5</v>
          </cell>
          <cell r="H60">
            <v>1400.5</v>
          </cell>
          <cell r="I60">
            <v>1084.7</v>
          </cell>
          <cell r="J60">
            <v>984.6</v>
          </cell>
          <cell r="K60">
            <v>948.6</v>
          </cell>
          <cell r="L60">
            <v>897.2</v>
          </cell>
          <cell r="M60">
            <v>836.5</v>
          </cell>
          <cell r="N60">
            <v>802.2</v>
          </cell>
          <cell r="O60">
            <v>570.1</v>
          </cell>
          <cell r="P60">
            <v>611</v>
          </cell>
          <cell r="Q60">
            <v>600.35799999999995</v>
          </cell>
        </row>
        <row r="61">
          <cell r="A61" t="str">
            <v>EBIT</v>
          </cell>
          <cell r="E61">
            <v>1359.6</v>
          </cell>
          <cell r="F61">
            <v>1241.9000000000001</v>
          </cell>
          <cell r="G61">
            <v>1302.9000000000001</v>
          </cell>
          <cell r="H61">
            <v>1019.4</v>
          </cell>
          <cell r="I61">
            <v>669.7</v>
          </cell>
          <cell r="J61">
            <v>812.8</v>
          </cell>
          <cell r="K61">
            <v>768.2</v>
          </cell>
          <cell r="L61">
            <v>729</v>
          </cell>
          <cell r="M61">
            <v>672</v>
          </cell>
          <cell r="N61">
            <v>633.20000000000005</v>
          </cell>
          <cell r="O61">
            <v>430.8</v>
          </cell>
          <cell r="P61">
            <v>503</v>
          </cell>
          <cell r="Q61">
            <v>500.96100000000001</v>
          </cell>
        </row>
        <row r="62">
          <cell r="A62" t="str">
            <v>Gross Margin</v>
          </cell>
          <cell r="E62">
            <v>83.64</v>
          </cell>
          <cell r="F62">
            <v>83.68</v>
          </cell>
          <cell r="G62">
            <v>83.77</v>
          </cell>
          <cell r="H62">
            <v>83.74</v>
          </cell>
          <cell r="I62">
            <v>83.16</v>
          </cell>
          <cell r="J62">
            <v>84.23</v>
          </cell>
          <cell r="K62">
            <v>85.31</v>
          </cell>
          <cell r="L62">
            <v>85.32</v>
          </cell>
          <cell r="M62">
            <v>84.83</v>
          </cell>
          <cell r="N62">
            <v>84.58</v>
          </cell>
          <cell r="O62">
            <v>85.04</v>
          </cell>
          <cell r="P62">
            <v>87.35</v>
          </cell>
          <cell r="Q62">
            <v>86.834999999999994</v>
          </cell>
        </row>
        <row r="63">
          <cell r="A63" t="str">
            <v>Operating Margin</v>
          </cell>
          <cell r="E63">
            <v>21.88</v>
          </cell>
          <cell r="F63">
            <v>20.87</v>
          </cell>
          <cell r="G63">
            <v>23</v>
          </cell>
          <cell r="H63">
            <v>20.98</v>
          </cell>
          <cell r="I63">
            <v>15.04</v>
          </cell>
          <cell r="J63">
            <v>20.23</v>
          </cell>
          <cell r="K63">
            <v>22.09</v>
          </cell>
          <cell r="L63">
            <v>22.58</v>
          </cell>
          <cell r="M63">
            <v>21.99</v>
          </cell>
          <cell r="N63">
            <v>22.3</v>
          </cell>
          <cell r="O63">
            <v>18.78</v>
          </cell>
          <cell r="P63">
            <v>24.35</v>
          </cell>
          <cell r="Q63">
            <v>24.698</v>
          </cell>
        </row>
        <row r="64">
          <cell r="A64" t="str">
            <v>Profit Margin</v>
          </cell>
          <cell r="E64">
            <v>19.32</v>
          </cell>
          <cell r="F64">
            <v>17.66</v>
          </cell>
          <cell r="G64">
            <v>16.440000000000001</v>
          </cell>
          <cell r="H64">
            <v>15.92</v>
          </cell>
          <cell r="I64">
            <v>11.03</v>
          </cell>
          <cell r="J64">
            <v>15.31</v>
          </cell>
          <cell r="K64">
            <v>16.37</v>
          </cell>
          <cell r="L64">
            <v>16.09</v>
          </cell>
          <cell r="M64">
            <v>14.64</v>
          </cell>
          <cell r="N64">
            <v>14.16</v>
          </cell>
          <cell r="O64">
            <v>12.69</v>
          </cell>
          <cell r="P64">
            <v>17.05</v>
          </cell>
          <cell r="Q64">
            <v>16.507000000000001</v>
          </cell>
        </row>
        <row r="65">
          <cell r="A65" t="str">
            <v>Sales per Employee</v>
          </cell>
          <cell r="E65">
            <v>238745.87</v>
          </cell>
          <cell r="F65">
            <v>249943.3</v>
          </cell>
          <cell r="G65">
            <v>251533.99</v>
          </cell>
          <cell r="H65">
            <v>237119.44</v>
          </cell>
          <cell r="I65">
            <v>224988.63</v>
          </cell>
          <cell r="J65">
            <v>207540.93</v>
          </cell>
          <cell r="K65">
            <v>216592.96</v>
          </cell>
          <cell r="L65">
            <v>200000.5</v>
          </cell>
          <cell r="M65">
            <v>201915.42</v>
          </cell>
          <cell r="N65">
            <v>203195.58</v>
          </cell>
          <cell r="O65">
            <v>172346.75</v>
          </cell>
          <cell r="P65">
            <v>193929.32</v>
          </cell>
          <cell r="Q65">
            <v>200389.44899999999</v>
          </cell>
        </row>
        <row r="66">
          <cell r="A66" t="str">
            <v>Dividends per Share</v>
          </cell>
          <cell r="E66">
            <v>0.23</v>
          </cell>
          <cell r="F66">
            <v>0.23</v>
          </cell>
          <cell r="G66">
            <v>0.21</v>
          </cell>
          <cell r="H66">
            <v>0.17</v>
          </cell>
          <cell r="I66">
            <v>0.11</v>
          </cell>
          <cell r="J66">
            <v>0.14000000000000001</v>
          </cell>
          <cell r="K66">
            <v>0.13</v>
          </cell>
          <cell r="L66">
            <v>0.12</v>
          </cell>
          <cell r="M66">
            <v>0.11</v>
          </cell>
          <cell r="N66">
            <v>0.09</v>
          </cell>
          <cell r="O66">
            <v>0.09</v>
          </cell>
          <cell r="P66">
            <v>0.08</v>
          </cell>
          <cell r="Q66">
            <v>0.08</v>
          </cell>
        </row>
        <row r="67">
          <cell r="A67" t="str">
            <v>Total Cash Common Dividends</v>
          </cell>
          <cell r="E67">
            <v>308.10000000000002</v>
          </cell>
          <cell r="F67">
            <v>302.39999999999998</v>
          </cell>
          <cell r="G67">
            <v>275.89999999999998</v>
          </cell>
          <cell r="H67">
            <v>222.7</v>
          </cell>
          <cell r="I67">
            <v>146.19999999999999</v>
          </cell>
          <cell r="J67">
            <v>181.6</v>
          </cell>
          <cell r="K67">
            <v>168.1</v>
          </cell>
          <cell r="L67">
            <v>148.5</v>
          </cell>
          <cell r="M67">
            <v>136.80000000000001</v>
          </cell>
          <cell r="N67">
            <v>120.7</v>
          </cell>
          <cell r="O67">
            <v>109.7</v>
          </cell>
          <cell r="P67">
            <v>104.9</v>
          </cell>
          <cell r="Q67">
            <v>100.31100000000001</v>
          </cell>
        </row>
        <row r="68">
          <cell r="A68" t="str">
            <v>Personnel Expenses</v>
          </cell>
          <cell r="E68" t="str">
            <v>—</v>
          </cell>
          <cell r="F68">
            <v>2848.1</v>
          </cell>
          <cell r="G68">
            <v>2690.2</v>
          </cell>
          <cell r="H68">
            <v>2286.6999999999998</v>
          </cell>
          <cell r="I68">
            <v>2207</v>
          </cell>
          <cell r="J68">
            <v>1894.4</v>
          </cell>
          <cell r="K68">
            <v>1635.8</v>
          </cell>
          <cell r="L68">
            <v>1535.3</v>
          </cell>
          <cell r="M68">
            <v>1434.2</v>
          </cell>
          <cell r="N68">
            <v>1354.9</v>
          </cell>
          <cell r="O68">
            <v>1098</v>
          </cell>
          <cell r="P68">
            <v>951</v>
          </cell>
          <cell r="Q68">
            <v>924.75599999999997</v>
          </cell>
        </row>
        <row r="69">
          <cell r="A69" t="str">
            <v>Export Sales</v>
          </cell>
          <cell r="E69" t="str">
            <v>—</v>
          </cell>
          <cell r="F69">
            <v>4459.3</v>
          </cell>
          <cell r="G69">
            <v>4474.8</v>
          </cell>
          <cell r="H69" t="str">
            <v>—</v>
          </cell>
          <cell r="I69" t="str">
            <v>—</v>
          </cell>
          <cell r="J69" t="str">
            <v>—</v>
          </cell>
          <cell r="K69" t="str">
            <v>—</v>
          </cell>
          <cell r="L69" t="str">
            <v>—</v>
          </cell>
          <cell r="M69" t="str">
            <v>—</v>
          </cell>
          <cell r="N69" t="str">
            <v>—</v>
          </cell>
          <cell r="O69" t="str">
            <v>—</v>
          </cell>
          <cell r="P69" t="str">
            <v>—</v>
          </cell>
          <cell r="Q69" t="str">
            <v>—</v>
          </cell>
        </row>
        <row r="70">
          <cell r="A70" t="str">
            <v>Depreciation Expense</v>
          </cell>
          <cell r="E70">
            <v>191.9</v>
          </cell>
          <cell r="F70">
            <v>187.9</v>
          </cell>
          <cell r="G70">
            <v>198.2</v>
          </cell>
          <cell r="H70">
            <v>193.5</v>
          </cell>
          <cell r="I70">
            <v>189.5</v>
          </cell>
          <cell r="J70">
            <v>224.2</v>
          </cell>
          <cell r="K70">
            <v>57.3</v>
          </cell>
          <cell r="L70">
            <v>49.5</v>
          </cell>
          <cell r="M70">
            <v>42</v>
          </cell>
          <cell r="N70">
            <v>42.4</v>
          </cell>
          <cell r="O70">
            <v>37</v>
          </cell>
          <cell r="P70">
            <v>33.4</v>
          </cell>
          <cell r="Q70">
            <v>32.722000000000001</v>
          </cell>
        </row>
        <row r="71">
          <cell r="A71" t="str">
            <v>Rental Expense</v>
          </cell>
          <cell r="E71" t="str">
            <v>—</v>
          </cell>
          <cell r="F71">
            <v>7.1</v>
          </cell>
          <cell r="G71">
            <v>5.2</v>
          </cell>
          <cell r="H71">
            <v>3.9</v>
          </cell>
          <cell r="I71">
            <v>6</v>
          </cell>
          <cell r="J71">
            <v>5.9</v>
          </cell>
          <cell r="K71">
            <v>87.8</v>
          </cell>
          <cell r="L71">
            <v>82.4</v>
          </cell>
          <cell r="M71">
            <v>77.099999999999994</v>
          </cell>
          <cell r="N71">
            <v>74.900000000000006</v>
          </cell>
          <cell r="O71">
            <v>61.9</v>
          </cell>
          <cell r="P71">
            <v>52.4</v>
          </cell>
          <cell r="Q71">
            <v>52.4</v>
          </cell>
        </row>
        <row r="72">
          <cell r="A72" t="str">
            <v>Source: Bloomberg</v>
          </cell>
          <cell r="Q72" t="str">
            <v> </v>
          </cell>
        </row>
      </sheetData>
      <sheetData sheetId="2">
        <row r="1">
          <cell r="A1"/>
          <cell r="C1"/>
          <cell r="D1"/>
          <cell r="E1"/>
          <cell r="F1"/>
          <cell r="G1"/>
          <cell r="H1"/>
          <cell r="I1"/>
          <cell r="J1"/>
          <cell r="K1"/>
          <cell r="L1"/>
          <cell r="M1"/>
          <cell r="N1"/>
          <cell r="O1"/>
        </row>
        <row r="2">
          <cell r="A2" t="str">
            <v>Dassault Systemes SE (DSY FP) - Standardized</v>
          </cell>
          <cell r="C2"/>
          <cell r="D2"/>
          <cell r="E2"/>
          <cell r="F2"/>
          <cell r="G2"/>
          <cell r="H2"/>
          <cell r="I2"/>
          <cell r="J2"/>
          <cell r="K2"/>
          <cell r="L2"/>
          <cell r="M2"/>
          <cell r="N2"/>
          <cell r="O2"/>
        </row>
        <row r="3">
          <cell r="A3"/>
          <cell r="C3"/>
          <cell r="D3"/>
          <cell r="E3"/>
          <cell r="F3"/>
          <cell r="G3"/>
          <cell r="H3"/>
          <cell r="I3"/>
          <cell r="J3"/>
          <cell r="K3"/>
          <cell r="L3"/>
          <cell r="M3"/>
          <cell r="N3"/>
          <cell r="O3"/>
        </row>
        <row r="4">
          <cell r="A4" t="str">
            <v>In Millions of EUR except Per Share</v>
          </cell>
          <cell r="C4" t="str">
            <v>FY 2024</v>
          </cell>
          <cell r="D4" t="str">
            <v>FY 2023</v>
          </cell>
          <cell r="E4" t="str">
            <v>FY 2022</v>
          </cell>
          <cell r="F4" t="str">
            <v>FY 2021</v>
          </cell>
          <cell r="G4" t="str">
            <v>FY 2020</v>
          </cell>
          <cell r="H4" t="str">
            <v>FY 2019</v>
          </cell>
          <cell r="I4" t="str">
            <v>FY 2018</v>
          </cell>
          <cell r="J4" t="str">
            <v>FY 2017</v>
          </cell>
          <cell r="K4" t="str">
            <v>FY 2016</v>
          </cell>
          <cell r="L4" t="str">
            <v>FY 2015</v>
          </cell>
          <cell r="M4" t="str">
            <v>FY 2014</v>
          </cell>
          <cell r="N4" t="str">
            <v>FY 2013</v>
          </cell>
          <cell r="O4" t="str">
            <v>FY 2012</v>
          </cell>
        </row>
        <row r="5">
          <cell r="A5" t="str">
            <v>12 Months Ending</v>
          </cell>
          <cell r="C5" t="str">
            <v>12/31/2024</v>
          </cell>
          <cell r="D5" t="str">
            <v>12/31/2023</v>
          </cell>
          <cell r="E5" t="str">
            <v>12/31/2022</v>
          </cell>
          <cell r="F5" t="str">
            <v>12/31/2021</v>
          </cell>
          <cell r="G5" t="str">
            <v>12/31/2020</v>
          </cell>
          <cell r="H5" t="str">
            <v>12/31/2019</v>
          </cell>
          <cell r="I5" t="str">
            <v>12/31/2018</v>
          </cell>
          <cell r="J5" t="str">
            <v>12/31/2017</v>
          </cell>
          <cell r="K5" t="str">
            <v>12/31/2016</v>
          </cell>
          <cell r="L5" t="str">
            <v>12/31/2015</v>
          </cell>
          <cell r="M5" t="str">
            <v>12/31/2014</v>
          </cell>
          <cell r="N5" t="str">
            <v>12/31/2013</v>
          </cell>
          <cell r="O5" t="str">
            <v>12/31/2012</v>
          </cell>
        </row>
        <row r="6">
          <cell r="A6" t="str">
            <v>Total Assets</v>
          </cell>
          <cell r="C6" t="str">
            <v> </v>
          </cell>
          <cell r="D6" t="str">
            <v> </v>
          </cell>
          <cell r="E6" t="str">
            <v> </v>
          </cell>
          <cell r="F6" t="str">
            <v> </v>
          </cell>
          <cell r="G6" t="str">
            <v> </v>
          </cell>
          <cell r="H6" t="str">
            <v> </v>
          </cell>
          <cell r="I6" t="str">
            <v> </v>
          </cell>
          <cell r="J6" t="str">
            <v> </v>
          </cell>
          <cell r="K6" t="str">
            <v> </v>
          </cell>
          <cell r="L6" t="str">
            <v> </v>
          </cell>
          <cell r="M6" t="str">
            <v> </v>
          </cell>
          <cell r="N6" t="str">
            <v> </v>
          </cell>
          <cell r="O6" t="str">
            <v> </v>
          </cell>
        </row>
        <row r="7">
          <cell r="A7" t="str">
            <v xml:space="preserve">  + Cash, Cash Equivalents &amp; STI</v>
          </cell>
          <cell r="C7">
            <v>3952.6</v>
          </cell>
          <cell r="D7">
            <v>3568.3</v>
          </cell>
          <cell r="E7">
            <v>2769</v>
          </cell>
          <cell r="F7">
            <v>2979.5</v>
          </cell>
          <cell r="G7">
            <v>2148.8000000000002</v>
          </cell>
          <cell r="H7">
            <v>1944.9</v>
          </cell>
          <cell r="I7">
            <v>2809.9</v>
          </cell>
          <cell r="J7">
            <v>2460.6999999999998</v>
          </cell>
          <cell r="K7">
            <v>2492.8000000000002</v>
          </cell>
          <cell r="L7">
            <v>2351.3000000000002</v>
          </cell>
          <cell r="M7">
            <v>1175.5</v>
          </cell>
          <cell r="N7">
            <v>1803.6</v>
          </cell>
          <cell r="O7">
            <v>1319.1</v>
          </cell>
        </row>
        <row r="8">
          <cell r="A8" t="str">
            <v xml:space="preserve">    + Cash &amp; Cash Equivalents</v>
          </cell>
          <cell r="C8">
            <v>3952.6</v>
          </cell>
          <cell r="D8">
            <v>3568.3</v>
          </cell>
          <cell r="E8">
            <v>2769</v>
          </cell>
          <cell r="F8">
            <v>2979.5</v>
          </cell>
          <cell r="G8">
            <v>2148.8000000000002</v>
          </cell>
          <cell r="H8">
            <v>1944.9</v>
          </cell>
          <cell r="I8">
            <v>2809.3</v>
          </cell>
          <cell r="J8">
            <v>2459.4</v>
          </cell>
          <cell r="K8">
            <v>2436.6999999999998</v>
          </cell>
          <cell r="L8">
            <v>2280.5</v>
          </cell>
          <cell r="M8">
            <v>1104.2</v>
          </cell>
          <cell r="N8">
            <v>1737.9</v>
          </cell>
          <cell r="O8">
            <v>1159.3</v>
          </cell>
        </row>
        <row r="9">
          <cell r="A9" t="str">
            <v xml:space="preserve">    + ST Investments</v>
          </cell>
          <cell r="C9">
            <v>0</v>
          </cell>
          <cell r="D9">
            <v>0</v>
          </cell>
          <cell r="E9">
            <v>0</v>
          </cell>
          <cell r="F9">
            <v>0</v>
          </cell>
          <cell r="G9">
            <v>0</v>
          </cell>
          <cell r="H9">
            <v>0</v>
          </cell>
          <cell r="I9">
            <v>0.6</v>
          </cell>
          <cell r="J9">
            <v>1.3</v>
          </cell>
          <cell r="K9">
            <v>56.1</v>
          </cell>
          <cell r="L9">
            <v>70.8</v>
          </cell>
          <cell r="M9">
            <v>71.3</v>
          </cell>
          <cell r="N9">
            <v>65.8</v>
          </cell>
          <cell r="O9">
            <v>159.80000000000001</v>
          </cell>
        </row>
        <row r="10">
          <cell r="A10" t="str">
            <v xml:space="preserve">  + Accounts &amp; Notes Receiv</v>
          </cell>
          <cell r="C10">
            <v>2120.9</v>
          </cell>
          <cell r="D10">
            <v>1707.9</v>
          </cell>
          <cell r="E10">
            <v>1661.6</v>
          </cell>
          <cell r="F10">
            <v>1366.3</v>
          </cell>
          <cell r="G10">
            <v>1229.0999999999999</v>
          </cell>
          <cell r="H10">
            <v>1319.2</v>
          </cell>
          <cell r="I10">
            <v>1044.0999999999999</v>
          </cell>
          <cell r="J10">
            <v>895.9</v>
          </cell>
          <cell r="K10">
            <v>820.4</v>
          </cell>
          <cell r="L10">
            <v>739.1</v>
          </cell>
          <cell r="M10">
            <v>627.70000000000005</v>
          </cell>
          <cell r="N10">
            <v>472.6</v>
          </cell>
          <cell r="O10">
            <v>457.8</v>
          </cell>
        </row>
        <row r="11">
          <cell r="A11" t="str">
            <v xml:space="preserve">    + Accounts Receivable, Net</v>
          </cell>
          <cell r="C11">
            <v>2120.9</v>
          </cell>
          <cell r="D11">
            <v>1707.9</v>
          </cell>
          <cell r="E11">
            <v>1661.6</v>
          </cell>
          <cell r="F11">
            <v>1366.3</v>
          </cell>
          <cell r="G11">
            <v>1229.0999999999999</v>
          </cell>
          <cell r="H11">
            <v>1319.2</v>
          </cell>
          <cell r="I11">
            <v>1044.0999999999999</v>
          </cell>
          <cell r="J11">
            <v>895.9</v>
          </cell>
          <cell r="K11">
            <v>820.4</v>
          </cell>
          <cell r="L11">
            <v>739.1</v>
          </cell>
          <cell r="M11">
            <v>627.70000000000005</v>
          </cell>
          <cell r="N11">
            <v>472.6</v>
          </cell>
          <cell r="O11">
            <v>457.8</v>
          </cell>
        </row>
        <row r="12">
          <cell r="A12" t="str">
            <v xml:space="preserve">    + Notes Receivable, Net</v>
          </cell>
          <cell r="C12">
            <v>0</v>
          </cell>
          <cell r="D12">
            <v>0</v>
          </cell>
          <cell r="E12">
            <v>0</v>
          </cell>
          <cell r="F12">
            <v>0</v>
          </cell>
          <cell r="G12">
            <v>0</v>
          </cell>
          <cell r="H12">
            <v>0</v>
          </cell>
          <cell r="I12">
            <v>0</v>
          </cell>
          <cell r="J12">
            <v>0</v>
          </cell>
          <cell r="K12">
            <v>0</v>
          </cell>
          <cell r="L12">
            <v>0</v>
          </cell>
          <cell r="M12">
            <v>0</v>
          </cell>
          <cell r="N12">
            <v>0</v>
          </cell>
          <cell r="O12">
            <v>0</v>
          </cell>
        </row>
        <row r="13">
          <cell r="A13" t="str">
            <v xml:space="preserve">  + Unbilled Revenues</v>
          </cell>
          <cell r="C13">
            <v>30.1</v>
          </cell>
          <cell r="D13">
            <v>26.8</v>
          </cell>
          <cell r="E13">
            <v>20.3</v>
          </cell>
          <cell r="F13">
            <v>12.7</v>
          </cell>
          <cell r="G13">
            <v>27</v>
          </cell>
          <cell r="H13">
            <v>26.9</v>
          </cell>
          <cell r="I13">
            <v>26.5</v>
          </cell>
          <cell r="J13">
            <v>0</v>
          </cell>
          <cell r="K13">
            <v>0</v>
          </cell>
          <cell r="L13">
            <v>0</v>
          </cell>
          <cell r="M13">
            <v>0</v>
          </cell>
          <cell r="N13">
            <v>0</v>
          </cell>
          <cell r="O13">
            <v>0</v>
          </cell>
        </row>
        <row r="14">
          <cell r="A14" t="str">
            <v xml:space="preserve">  + Inventories</v>
          </cell>
          <cell r="C14">
            <v>0</v>
          </cell>
          <cell r="D14">
            <v>0</v>
          </cell>
          <cell r="E14">
            <v>0</v>
          </cell>
          <cell r="F14">
            <v>0</v>
          </cell>
          <cell r="G14">
            <v>0</v>
          </cell>
          <cell r="H14">
            <v>0</v>
          </cell>
          <cell r="I14">
            <v>0</v>
          </cell>
          <cell r="J14">
            <v>0</v>
          </cell>
          <cell r="K14">
            <v>0</v>
          </cell>
          <cell r="L14">
            <v>0</v>
          </cell>
          <cell r="M14">
            <v>0</v>
          </cell>
          <cell r="N14">
            <v>0</v>
          </cell>
          <cell r="O14">
            <v>0</v>
          </cell>
        </row>
        <row r="15">
          <cell r="A15" t="str">
            <v xml:space="preserve">    + Raw Materials</v>
          </cell>
          <cell r="C15">
            <v>0</v>
          </cell>
          <cell r="D15">
            <v>0</v>
          </cell>
          <cell r="E15">
            <v>0</v>
          </cell>
          <cell r="F15">
            <v>0</v>
          </cell>
          <cell r="G15">
            <v>0</v>
          </cell>
          <cell r="H15">
            <v>0</v>
          </cell>
          <cell r="I15">
            <v>0</v>
          </cell>
          <cell r="J15">
            <v>0</v>
          </cell>
          <cell r="K15">
            <v>0</v>
          </cell>
          <cell r="L15">
            <v>0</v>
          </cell>
          <cell r="M15">
            <v>0</v>
          </cell>
          <cell r="N15">
            <v>0</v>
          </cell>
          <cell r="O15">
            <v>0</v>
          </cell>
        </row>
        <row r="16">
          <cell r="A16" t="str">
            <v xml:space="preserve">    + Work In Process</v>
          </cell>
          <cell r="C16">
            <v>0</v>
          </cell>
          <cell r="D16">
            <v>0</v>
          </cell>
          <cell r="E16">
            <v>0</v>
          </cell>
          <cell r="F16">
            <v>0</v>
          </cell>
          <cell r="G16">
            <v>0</v>
          </cell>
          <cell r="H16">
            <v>0</v>
          </cell>
          <cell r="I16">
            <v>0</v>
          </cell>
          <cell r="J16">
            <v>0</v>
          </cell>
          <cell r="K16">
            <v>0</v>
          </cell>
          <cell r="L16">
            <v>0</v>
          </cell>
          <cell r="M16">
            <v>0</v>
          </cell>
          <cell r="N16">
            <v>0</v>
          </cell>
          <cell r="O16">
            <v>0</v>
          </cell>
        </row>
        <row r="17">
          <cell r="A17" t="str">
            <v xml:space="preserve">    + Finished Goods</v>
          </cell>
          <cell r="C17">
            <v>0</v>
          </cell>
          <cell r="D17">
            <v>0</v>
          </cell>
          <cell r="E17">
            <v>0</v>
          </cell>
          <cell r="F17">
            <v>0</v>
          </cell>
          <cell r="G17">
            <v>0</v>
          </cell>
          <cell r="H17">
            <v>0</v>
          </cell>
          <cell r="I17">
            <v>0</v>
          </cell>
          <cell r="J17">
            <v>0</v>
          </cell>
          <cell r="K17">
            <v>0</v>
          </cell>
          <cell r="L17">
            <v>0</v>
          </cell>
          <cell r="M17">
            <v>0</v>
          </cell>
          <cell r="N17">
            <v>0</v>
          </cell>
          <cell r="O17">
            <v>0</v>
          </cell>
        </row>
        <row r="18">
          <cell r="A18" t="str">
            <v xml:space="preserve">    + Other Inventory</v>
          </cell>
          <cell r="C18">
            <v>0</v>
          </cell>
          <cell r="D18">
            <v>0</v>
          </cell>
          <cell r="E18">
            <v>0</v>
          </cell>
          <cell r="F18">
            <v>0</v>
          </cell>
          <cell r="G18">
            <v>0</v>
          </cell>
          <cell r="H18">
            <v>0</v>
          </cell>
          <cell r="I18">
            <v>0</v>
          </cell>
          <cell r="J18">
            <v>0</v>
          </cell>
          <cell r="K18">
            <v>0</v>
          </cell>
          <cell r="L18">
            <v>0</v>
          </cell>
          <cell r="M18">
            <v>0</v>
          </cell>
          <cell r="N18">
            <v>0</v>
          </cell>
          <cell r="O18">
            <v>0</v>
          </cell>
        </row>
        <row r="19">
          <cell r="A19" t="str">
            <v xml:space="preserve">  + Other ST Assets</v>
          </cell>
          <cell r="C19">
            <v>464</v>
          </cell>
          <cell r="D19">
            <v>477.1</v>
          </cell>
          <cell r="E19">
            <v>393.4</v>
          </cell>
          <cell r="F19">
            <v>360.5</v>
          </cell>
          <cell r="G19">
            <v>355.4</v>
          </cell>
          <cell r="H19">
            <v>378</v>
          </cell>
          <cell r="I19">
            <v>321.3</v>
          </cell>
          <cell r="J19">
            <v>242.9</v>
          </cell>
          <cell r="K19">
            <v>257.2</v>
          </cell>
          <cell r="L19">
            <v>150.80000000000001</v>
          </cell>
          <cell r="M19">
            <v>177.4</v>
          </cell>
          <cell r="N19">
            <v>143.80000000000001</v>
          </cell>
          <cell r="O19">
            <v>154.5</v>
          </cell>
        </row>
        <row r="20">
          <cell r="A20" t="str">
            <v xml:space="preserve">    + Prepaid Expenses</v>
          </cell>
          <cell r="C20" t="str">
            <v>—</v>
          </cell>
          <cell r="D20">
            <v>146.4</v>
          </cell>
          <cell r="E20">
            <v>158.4</v>
          </cell>
          <cell r="F20">
            <v>137.30000000000001</v>
          </cell>
          <cell r="G20">
            <v>104.1</v>
          </cell>
          <cell r="H20">
            <v>122.6</v>
          </cell>
          <cell r="I20" t="str">
            <v>—</v>
          </cell>
          <cell r="J20" t="str">
            <v>—</v>
          </cell>
          <cell r="K20" t="str">
            <v>—</v>
          </cell>
          <cell r="L20" t="str">
            <v>—</v>
          </cell>
          <cell r="M20" t="str">
            <v>—</v>
          </cell>
          <cell r="N20" t="str">
            <v>—</v>
          </cell>
          <cell r="O20" t="str">
            <v>—</v>
          </cell>
        </row>
        <row r="21">
          <cell r="A21" t="str">
            <v xml:space="preserve">    + Derivative &amp; Hedging Assets</v>
          </cell>
          <cell r="C21" t="str">
            <v>—</v>
          </cell>
          <cell r="D21">
            <v>9.1999999999999993</v>
          </cell>
          <cell r="E21">
            <v>6.9</v>
          </cell>
          <cell r="F21">
            <v>7</v>
          </cell>
          <cell r="G21">
            <v>6.5</v>
          </cell>
          <cell r="H21">
            <v>3.2</v>
          </cell>
          <cell r="I21">
            <v>12.9</v>
          </cell>
          <cell r="J21">
            <v>13.6</v>
          </cell>
          <cell r="K21">
            <v>8.9</v>
          </cell>
          <cell r="L21">
            <v>2.2999999999999998</v>
          </cell>
          <cell r="M21">
            <v>4.9000000000000004</v>
          </cell>
          <cell r="N21">
            <v>0.9</v>
          </cell>
          <cell r="O21">
            <v>13.6</v>
          </cell>
        </row>
        <row r="22">
          <cell r="A22" t="str">
            <v xml:space="preserve">    + Deferred Tax Assets</v>
          </cell>
          <cell r="C22" t="str">
            <v>—</v>
          </cell>
          <cell r="D22">
            <v>44.3</v>
          </cell>
          <cell r="E22">
            <v>42.6</v>
          </cell>
          <cell r="F22">
            <v>35.1</v>
          </cell>
          <cell r="G22">
            <v>25.5</v>
          </cell>
          <cell r="H22">
            <v>11.6</v>
          </cell>
          <cell r="I22" t="str">
            <v>—</v>
          </cell>
          <cell r="J22" t="str">
            <v>—</v>
          </cell>
          <cell r="K22" t="str">
            <v>—</v>
          </cell>
          <cell r="L22" t="str">
            <v>—</v>
          </cell>
          <cell r="M22" t="str">
            <v>—</v>
          </cell>
          <cell r="N22" t="str">
            <v>—</v>
          </cell>
          <cell r="O22" t="str">
            <v>—</v>
          </cell>
        </row>
        <row r="23">
          <cell r="A23" t="str">
            <v xml:space="preserve">    + Taxes Receivable</v>
          </cell>
          <cell r="C23" t="str">
            <v>—</v>
          </cell>
          <cell r="D23">
            <v>238.6</v>
          </cell>
          <cell r="E23">
            <v>152.69999999999999</v>
          </cell>
          <cell r="F23">
            <v>152.19999999999999</v>
          </cell>
          <cell r="G23">
            <v>190</v>
          </cell>
          <cell r="H23">
            <v>204</v>
          </cell>
          <cell r="I23">
            <v>201.2</v>
          </cell>
          <cell r="J23">
            <v>132.19999999999999</v>
          </cell>
          <cell r="K23">
            <v>157.6</v>
          </cell>
          <cell r="L23">
            <v>88.6</v>
          </cell>
          <cell r="M23">
            <v>113.5</v>
          </cell>
          <cell r="N23">
            <v>87.6</v>
          </cell>
          <cell r="O23">
            <v>92.3</v>
          </cell>
        </row>
        <row r="24">
          <cell r="A24" t="str">
            <v xml:space="preserve">    + Misc ST Assets</v>
          </cell>
          <cell r="C24">
            <v>464</v>
          </cell>
          <cell r="D24">
            <v>38.6</v>
          </cell>
          <cell r="E24">
            <v>32.799999999999997</v>
          </cell>
          <cell r="F24">
            <v>28.9</v>
          </cell>
          <cell r="G24">
            <v>29.3</v>
          </cell>
          <cell r="H24">
            <v>36.6</v>
          </cell>
          <cell r="I24">
            <v>107.2</v>
          </cell>
          <cell r="J24">
            <v>97</v>
          </cell>
          <cell r="K24">
            <v>90.8</v>
          </cell>
          <cell r="L24">
            <v>59.9</v>
          </cell>
          <cell r="M24">
            <v>59</v>
          </cell>
          <cell r="N24">
            <v>55.2</v>
          </cell>
          <cell r="O24">
            <v>48.6</v>
          </cell>
        </row>
        <row r="25">
          <cell r="A25" t="str">
            <v>Total Current Assets</v>
          </cell>
          <cell r="C25">
            <v>6567.6</v>
          </cell>
          <cell r="D25">
            <v>5780.1</v>
          </cell>
          <cell r="E25">
            <v>4844.3</v>
          </cell>
          <cell r="F25">
            <v>4719</v>
          </cell>
          <cell r="G25">
            <v>3760.3</v>
          </cell>
          <cell r="H25">
            <v>3669</v>
          </cell>
          <cell r="I25">
            <v>4201.8</v>
          </cell>
          <cell r="J25">
            <v>3599.5</v>
          </cell>
          <cell r="K25">
            <v>3570.4</v>
          </cell>
          <cell r="L25">
            <v>3241.2</v>
          </cell>
          <cell r="M25">
            <v>1980.5</v>
          </cell>
          <cell r="N25">
            <v>2420</v>
          </cell>
          <cell r="O25">
            <v>1931.4</v>
          </cell>
        </row>
        <row r="26">
          <cell r="A26" t="str">
            <v xml:space="preserve">  + Property, Plant &amp; Equip, Net</v>
          </cell>
          <cell r="C26">
            <v>945.8</v>
          </cell>
          <cell r="D26">
            <v>882.8</v>
          </cell>
          <cell r="E26">
            <v>819.9</v>
          </cell>
          <cell r="F26">
            <v>817</v>
          </cell>
          <cell r="G26">
            <v>861.1</v>
          </cell>
          <cell r="H26">
            <v>899.7</v>
          </cell>
          <cell r="I26">
            <v>178.2</v>
          </cell>
          <cell r="J26">
            <v>169</v>
          </cell>
          <cell r="K26">
            <v>135.4</v>
          </cell>
          <cell r="L26">
            <v>135.30000000000001</v>
          </cell>
          <cell r="M26">
            <v>136.69999999999999</v>
          </cell>
          <cell r="N26">
            <v>100.4</v>
          </cell>
          <cell r="O26">
            <v>107.8</v>
          </cell>
        </row>
        <row r="27">
          <cell r="A27" t="str">
            <v xml:space="preserve">    + Property, Plant &amp; Equip</v>
          </cell>
          <cell r="C27" t="str">
            <v>—</v>
          </cell>
          <cell r="D27">
            <v>1797.8</v>
          </cell>
          <cell r="E27">
            <v>1661.5</v>
          </cell>
          <cell r="F27">
            <v>1533.8</v>
          </cell>
          <cell r="G27">
            <v>1402.1</v>
          </cell>
          <cell r="H27">
            <v>1297.4000000000001</v>
          </cell>
          <cell r="I27">
            <v>450.1</v>
          </cell>
          <cell r="J27">
            <v>407.4</v>
          </cell>
          <cell r="K27">
            <v>356.7</v>
          </cell>
          <cell r="L27">
            <v>336.2</v>
          </cell>
          <cell r="M27">
            <v>301.10000000000002</v>
          </cell>
          <cell r="N27">
            <v>249.2</v>
          </cell>
          <cell r="O27">
            <v>251.2</v>
          </cell>
        </row>
        <row r="28">
          <cell r="A28" t="str">
            <v xml:space="preserve">    - Accumulated Depreciation</v>
          </cell>
          <cell r="C28" t="str">
            <v>—</v>
          </cell>
          <cell r="D28">
            <v>915</v>
          </cell>
          <cell r="E28">
            <v>841.6</v>
          </cell>
          <cell r="F28">
            <v>716.8</v>
          </cell>
          <cell r="G28">
            <v>541</v>
          </cell>
          <cell r="H28">
            <v>397.7</v>
          </cell>
          <cell r="I28">
            <v>271.89999999999998</v>
          </cell>
          <cell r="J28">
            <v>238.4</v>
          </cell>
          <cell r="K28">
            <v>221.3</v>
          </cell>
          <cell r="L28">
            <v>200.8</v>
          </cell>
          <cell r="M28">
            <v>164.4</v>
          </cell>
          <cell r="N28">
            <v>148.80000000000001</v>
          </cell>
          <cell r="O28">
            <v>143.4</v>
          </cell>
        </row>
        <row r="29">
          <cell r="A29" t="str">
            <v xml:space="preserve">  + LT Investments &amp; Receivables</v>
          </cell>
          <cell r="C29">
            <v>0</v>
          </cell>
          <cell r="D29">
            <v>0</v>
          </cell>
          <cell r="E29">
            <v>0</v>
          </cell>
          <cell r="F29">
            <v>0</v>
          </cell>
          <cell r="G29">
            <v>0</v>
          </cell>
          <cell r="H29">
            <v>0</v>
          </cell>
          <cell r="I29">
            <v>167.2</v>
          </cell>
          <cell r="J29">
            <v>158.30000000000001</v>
          </cell>
          <cell r="K29">
            <v>170.9</v>
          </cell>
          <cell r="L29">
            <v>123.9</v>
          </cell>
          <cell r="M29">
            <v>64.900000000000006</v>
          </cell>
          <cell r="N29">
            <v>20.8</v>
          </cell>
          <cell r="O29">
            <v>15.3</v>
          </cell>
        </row>
        <row r="30">
          <cell r="A30" t="str">
            <v xml:space="preserve">    + LT Investments</v>
          </cell>
          <cell r="C30" t="str">
            <v>—</v>
          </cell>
          <cell r="D30" t="str">
            <v>—</v>
          </cell>
          <cell r="E30" t="str">
            <v>—</v>
          </cell>
          <cell r="F30" t="str">
            <v>—</v>
          </cell>
          <cell r="G30" t="str">
            <v>—</v>
          </cell>
          <cell r="H30" t="str">
            <v>—</v>
          </cell>
          <cell r="I30">
            <v>166.3</v>
          </cell>
          <cell r="J30">
            <v>158.30000000000001</v>
          </cell>
          <cell r="K30">
            <v>154.69999999999999</v>
          </cell>
          <cell r="L30">
            <v>108.7</v>
          </cell>
          <cell r="M30">
            <v>50.4</v>
          </cell>
          <cell r="N30">
            <v>9.5</v>
          </cell>
          <cell r="O30">
            <v>3</v>
          </cell>
        </row>
        <row r="31">
          <cell r="A31" t="str">
            <v xml:space="preserve">    + LT Receivables</v>
          </cell>
          <cell r="C31" t="str">
            <v>—</v>
          </cell>
          <cell r="D31" t="str">
            <v>—</v>
          </cell>
          <cell r="E31" t="str">
            <v>—</v>
          </cell>
          <cell r="F31" t="str">
            <v>—</v>
          </cell>
          <cell r="G31" t="str">
            <v>—</v>
          </cell>
          <cell r="H31" t="str">
            <v>—</v>
          </cell>
          <cell r="I31">
            <v>0.9</v>
          </cell>
          <cell r="J31" t="str">
            <v>—</v>
          </cell>
          <cell r="K31">
            <v>16.2</v>
          </cell>
          <cell r="L31">
            <v>15.2</v>
          </cell>
          <cell r="M31">
            <v>14.5</v>
          </cell>
          <cell r="N31">
            <v>11.3</v>
          </cell>
          <cell r="O31">
            <v>12.2</v>
          </cell>
        </row>
        <row r="32">
          <cell r="A32" t="str">
            <v xml:space="preserve">  + Other LT Assets</v>
          </cell>
          <cell r="C32">
            <v>8032.5</v>
          </cell>
          <cell r="D32">
            <v>7959.5</v>
          </cell>
          <cell r="E32">
            <v>8596.9</v>
          </cell>
          <cell r="F32">
            <v>8682.7000000000007</v>
          </cell>
          <cell r="G32">
            <v>8342.7999999999993</v>
          </cell>
          <cell r="H32">
            <v>9303.9</v>
          </cell>
          <cell r="I32">
            <v>3426.8</v>
          </cell>
          <cell r="J32">
            <v>3103.1</v>
          </cell>
          <cell r="K32">
            <v>3066.3</v>
          </cell>
          <cell r="L32">
            <v>2811.1</v>
          </cell>
          <cell r="M32">
            <v>2780.3</v>
          </cell>
          <cell r="N32">
            <v>1646.6</v>
          </cell>
          <cell r="O32">
            <v>1557.9</v>
          </cell>
        </row>
        <row r="33">
          <cell r="A33" t="str">
            <v xml:space="preserve">    + Total Intangible Assets</v>
          </cell>
          <cell r="C33">
            <v>7687.1</v>
          </cell>
          <cell r="D33">
            <v>7647.1</v>
          </cell>
          <cell r="E33">
            <v>8273.5</v>
          </cell>
          <cell r="F33">
            <v>8175.2</v>
          </cell>
          <cell r="G33">
            <v>7937.3</v>
          </cell>
          <cell r="H33">
            <v>8917</v>
          </cell>
          <cell r="I33">
            <v>3262.3</v>
          </cell>
          <cell r="J33">
            <v>2990.2</v>
          </cell>
          <cell r="K33">
            <v>2926.5</v>
          </cell>
          <cell r="L33">
            <v>2687.1</v>
          </cell>
          <cell r="M33">
            <v>2689.3</v>
          </cell>
          <cell r="N33">
            <v>1531.7</v>
          </cell>
          <cell r="O33">
            <v>1459.5</v>
          </cell>
        </row>
        <row r="34">
          <cell r="A34" t="str">
            <v xml:space="preserve">    + Goodwill</v>
          </cell>
          <cell r="C34" t="str">
            <v>—</v>
          </cell>
          <cell r="D34">
            <v>4805</v>
          </cell>
          <cell r="E34">
            <v>4971.1000000000004</v>
          </cell>
          <cell r="F34">
            <v>4712.6000000000004</v>
          </cell>
          <cell r="G34">
            <v>4390.5</v>
          </cell>
          <cell r="H34">
            <v>4730.8999999999996</v>
          </cell>
          <cell r="I34">
            <v>2124.5</v>
          </cell>
          <cell r="J34">
            <v>1923.7</v>
          </cell>
          <cell r="K34">
            <v>1847.4</v>
          </cell>
          <cell r="L34">
            <v>1662.3</v>
          </cell>
          <cell r="M34">
            <v>1563.3</v>
          </cell>
          <cell r="N34">
            <v>873</v>
          </cell>
          <cell r="O34">
            <v>788.4</v>
          </cell>
        </row>
        <row r="35">
          <cell r="A35" t="str">
            <v xml:space="preserve">    + Other Intangible Assets</v>
          </cell>
          <cell r="C35">
            <v>7687.1</v>
          </cell>
          <cell r="D35">
            <v>2842.1</v>
          </cell>
          <cell r="E35">
            <v>3302.4</v>
          </cell>
          <cell r="F35">
            <v>3462.6</v>
          </cell>
          <cell r="G35">
            <v>3546.8</v>
          </cell>
          <cell r="H35">
            <v>4186.1000000000004</v>
          </cell>
          <cell r="I35">
            <v>1137.8</v>
          </cell>
          <cell r="J35">
            <v>1066.4000000000001</v>
          </cell>
          <cell r="K35">
            <v>1079.0999999999999</v>
          </cell>
          <cell r="L35">
            <v>1024.8</v>
          </cell>
          <cell r="M35">
            <v>1126</v>
          </cell>
          <cell r="N35">
            <v>658.8</v>
          </cell>
          <cell r="O35">
            <v>671.1</v>
          </cell>
        </row>
        <row r="36">
          <cell r="A36" t="str">
            <v xml:space="preserve">    + Deferred Tax Assets</v>
          </cell>
          <cell r="C36" t="str">
            <v>—</v>
          </cell>
          <cell r="D36">
            <v>80.2</v>
          </cell>
          <cell r="E36">
            <v>94.4</v>
          </cell>
          <cell r="F36">
            <v>198.3</v>
          </cell>
          <cell r="G36">
            <v>153.1</v>
          </cell>
          <cell r="H36">
            <v>137.4</v>
          </cell>
          <cell r="I36">
            <v>164.2</v>
          </cell>
          <cell r="J36">
            <v>108.9</v>
          </cell>
          <cell r="K36">
            <v>135.9</v>
          </cell>
          <cell r="L36">
            <v>115.3</v>
          </cell>
          <cell r="M36">
            <v>86.3</v>
          </cell>
          <cell r="N36">
            <v>87.5</v>
          </cell>
          <cell r="O36">
            <v>78.900000000000006</v>
          </cell>
        </row>
        <row r="37">
          <cell r="A37" t="str">
            <v xml:space="preserve">    + Derivative &amp; Hedging Assets</v>
          </cell>
          <cell r="C37" t="str">
            <v>—</v>
          </cell>
          <cell r="D37">
            <v>0</v>
          </cell>
          <cell r="E37">
            <v>0</v>
          </cell>
          <cell r="F37">
            <v>0</v>
          </cell>
          <cell r="G37">
            <v>0</v>
          </cell>
          <cell r="H37">
            <v>0</v>
          </cell>
          <cell r="I37">
            <v>0.3</v>
          </cell>
          <cell r="J37">
            <v>4</v>
          </cell>
          <cell r="K37">
            <v>3.9</v>
          </cell>
          <cell r="L37">
            <v>8.6</v>
          </cell>
          <cell r="M37">
            <v>4.7</v>
          </cell>
          <cell r="N37">
            <v>9.6999999999999993</v>
          </cell>
          <cell r="O37">
            <v>0.4</v>
          </cell>
        </row>
        <row r="38">
          <cell r="A38" t="str">
            <v xml:space="preserve">    + Investments in Affiliates</v>
          </cell>
          <cell r="C38" t="str">
            <v>—</v>
          </cell>
          <cell r="D38">
            <v>49.6</v>
          </cell>
          <cell r="E38">
            <v>71.2</v>
          </cell>
          <cell r="F38">
            <v>61.2</v>
          </cell>
          <cell r="G38">
            <v>28.7</v>
          </cell>
          <cell r="H38">
            <v>54.8</v>
          </cell>
          <cell r="I38">
            <v>0</v>
          </cell>
          <cell r="J38">
            <v>0</v>
          </cell>
          <cell r="K38">
            <v>0</v>
          </cell>
          <cell r="L38">
            <v>0</v>
          </cell>
          <cell r="M38">
            <v>0</v>
          </cell>
          <cell r="N38">
            <v>0</v>
          </cell>
          <cell r="O38">
            <v>0</v>
          </cell>
        </row>
        <row r="39">
          <cell r="A39" t="str">
            <v xml:space="preserve">    + Misc LT Assets</v>
          </cell>
          <cell r="C39">
            <v>345.4</v>
          </cell>
          <cell r="D39">
            <v>182.6</v>
          </cell>
          <cell r="E39">
            <v>157.80000000000001</v>
          </cell>
          <cell r="F39">
            <v>248</v>
          </cell>
          <cell r="G39">
            <v>223.7</v>
          </cell>
          <cell r="H39">
            <v>194.7</v>
          </cell>
          <cell r="I39">
            <v>0</v>
          </cell>
          <cell r="J39">
            <v>0</v>
          </cell>
          <cell r="K39">
            <v>0</v>
          </cell>
          <cell r="L39">
            <v>0</v>
          </cell>
          <cell r="M39">
            <v>0</v>
          </cell>
          <cell r="N39">
            <v>17.8</v>
          </cell>
          <cell r="O39">
            <v>19.100000000000001</v>
          </cell>
        </row>
        <row r="40">
          <cell r="A40" t="str">
            <v>Total Noncurrent Assets</v>
          </cell>
          <cell r="C40">
            <v>8978.2999999999993</v>
          </cell>
          <cell r="D40">
            <v>8842.2999999999993</v>
          </cell>
          <cell r="E40">
            <v>9416.7999999999993</v>
          </cell>
          <cell r="F40">
            <v>9499.7000000000007</v>
          </cell>
          <cell r="G40">
            <v>9203.9</v>
          </cell>
          <cell r="H40">
            <v>10203.6</v>
          </cell>
          <cell r="I40">
            <v>3772.2</v>
          </cell>
          <cell r="J40">
            <v>3430.3</v>
          </cell>
          <cell r="K40">
            <v>3372.6</v>
          </cell>
          <cell r="L40">
            <v>3070.3</v>
          </cell>
          <cell r="M40">
            <v>2981.9</v>
          </cell>
          <cell r="N40">
            <v>1767.9</v>
          </cell>
          <cell r="O40">
            <v>1681</v>
          </cell>
        </row>
        <row r="41">
          <cell r="A41" t="str">
            <v>Total Assets</v>
          </cell>
          <cell r="C41">
            <v>15545.9</v>
          </cell>
          <cell r="D41">
            <v>14622.4</v>
          </cell>
          <cell r="E41">
            <v>14261.1</v>
          </cell>
          <cell r="F41">
            <v>14218.7</v>
          </cell>
          <cell r="G41">
            <v>12964.2</v>
          </cell>
          <cell r="H41">
            <v>13872.6</v>
          </cell>
          <cell r="I41">
            <v>7974</v>
          </cell>
          <cell r="J41">
            <v>7029.8</v>
          </cell>
          <cell r="K41">
            <v>6943.1</v>
          </cell>
          <cell r="L41">
            <v>6311.4</v>
          </cell>
          <cell r="M41">
            <v>4962.3999999999996</v>
          </cell>
          <cell r="N41">
            <v>4187.8999999999996</v>
          </cell>
          <cell r="O41">
            <v>3612.4</v>
          </cell>
        </row>
        <row r="42">
          <cell r="A42"/>
          <cell r="C42" t="str">
            <v> </v>
          </cell>
          <cell r="D42" t="str">
            <v> </v>
          </cell>
          <cell r="E42" t="str">
            <v> </v>
          </cell>
          <cell r="F42" t="str">
            <v> </v>
          </cell>
          <cell r="G42" t="str">
            <v> </v>
          </cell>
          <cell r="H42" t="str">
            <v> </v>
          </cell>
          <cell r="I42" t="str">
            <v> </v>
          </cell>
          <cell r="J42" t="str">
            <v> </v>
          </cell>
          <cell r="K42" t="str">
            <v> </v>
          </cell>
          <cell r="L42" t="str">
            <v> </v>
          </cell>
          <cell r="M42" t="str">
            <v> </v>
          </cell>
          <cell r="N42" t="str">
            <v> </v>
          </cell>
          <cell r="O42" t="str">
            <v> </v>
          </cell>
        </row>
        <row r="43">
          <cell r="A43" t="str">
            <v>Liabilities &amp; Shareholders' Equity</v>
          </cell>
          <cell r="C43" t="str">
            <v> </v>
          </cell>
          <cell r="D43" t="str">
            <v> </v>
          </cell>
          <cell r="E43" t="str">
            <v> </v>
          </cell>
          <cell r="F43" t="str">
            <v> </v>
          </cell>
          <cell r="G43" t="str">
            <v> </v>
          </cell>
          <cell r="H43" t="str">
            <v> </v>
          </cell>
          <cell r="I43" t="str">
            <v> </v>
          </cell>
          <cell r="J43" t="str">
            <v> </v>
          </cell>
          <cell r="K43" t="str">
            <v> </v>
          </cell>
          <cell r="L43" t="str">
            <v> </v>
          </cell>
          <cell r="M43" t="str">
            <v> </v>
          </cell>
          <cell r="N43" t="str">
            <v> </v>
          </cell>
          <cell r="O43" t="str">
            <v> </v>
          </cell>
        </row>
        <row r="44">
          <cell r="A44" t="str">
            <v xml:space="preserve">  + Payables &amp; Accruals</v>
          </cell>
          <cell r="C44">
            <v>259.89999999999998</v>
          </cell>
          <cell r="D44">
            <v>1023.5</v>
          </cell>
          <cell r="E44">
            <v>963.1</v>
          </cell>
          <cell r="F44">
            <v>896.5</v>
          </cell>
          <cell r="G44">
            <v>782.5</v>
          </cell>
          <cell r="H44">
            <v>923.5</v>
          </cell>
          <cell r="I44">
            <v>718.9</v>
          </cell>
          <cell r="J44">
            <v>590.29999999999995</v>
          </cell>
          <cell r="K44">
            <v>576.29999999999995</v>
          </cell>
          <cell r="L44">
            <v>517.70000000000005</v>
          </cell>
          <cell r="M44">
            <v>456.7</v>
          </cell>
          <cell r="N44">
            <v>365.9</v>
          </cell>
          <cell r="O44">
            <v>399.3</v>
          </cell>
        </row>
        <row r="45">
          <cell r="A45" t="str">
            <v xml:space="preserve">    + Accounts Payable</v>
          </cell>
          <cell r="C45">
            <v>259.89999999999998</v>
          </cell>
          <cell r="D45">
            <v>230.5</v>
          </cell>
          <cell r="E45">
            <v>216.3</v>
          </cell>
          <cell r="F45">
            <v>192.4</v>
          </cell>
          <cell r="G45">
            <v>171.7</v>
          </cell>
          <cell r="H45">
            <v>220</v>
          </cell>
          <cell r="I45">
            <v>161.69999999999999</v>
          </cell>
          <cell r="J45">
            <v>149.30000000000001</v>
          </cell>
          <cell r="K45">
            <v>144.9</v>
          </cell>
          <cell r="L45">
            <v>119.8</v>
          </cell>
          <cell r="M45">
            <v>130.30000000000001</v>
          </cell>
          <cell r="N45">
            <v>85</v>
          </cell>
          <cell r="O45">
            <v>90.8</v>
          </cell>
        </row>
        <row r="46">
          <cell r="A46" t="str">
            <v xml:space="preserve">    + Accrued Taxes</v>
          </cell>
          <cell r="C46" t="str">
            <v>—</v>
          </cell>
          <cell r="D46">
            <v>157.9</v>
          </cell>
          <cell r="E46">
            <v>153.30000000000001</v>
          </cell>
          <cell r="F46">
            <v>116.4</v>
          </cell>
          <cell r="G46">
            <v>114.7</v>
          </cell>
          <cell r="H46">
            <v>206.2</v>
          </cell>
          <cell r="I46">
            <v>157.30000000000001</v>
          </cell>
          <cell r="J46">
            <v>115.2</v>
          </cell>
          <cell r="K46">
            <v>115.7</v>
          </cell>
          <cell r="L46">
            <v>122.9</v>
          </cell>
          <cell r="M46">
            <v>79.8</v>
          </cell>
          <cell r="N46">
            <v>69.8</v>
          </cell>
          <cell r="O46">
            <v>96.6</v>
          </cell>
        </row>
        <row r="47">
          <cell r="A47" t="str">
            <v xml:space="preserve">    + Other Payables &amp; Accruals</v>
          </cell>
          <cell r="C47" t="str">
            <v>—</v>
          </cell>
          <cell r="D47">
            <v>635.1</v>
          </cell>
          <cell r="E47">
            <v>593.5</v>
          </cell>
          <cell r="F47">
            <v>587.70000000000005</v>
          </cell>
          <cell r="G47">
            <v>496.1</v>
          </cell>
          <cell r="H47">
            <v>497.3</v>
          </cell>
          <cell r="I47">
            <v>399.9</v>
          </cell>
          <cell r="J47">
            <v>325.7</v>
          </cell>
          <cell r="K47">
            <v>315.8</v>
          </cell>
          <cell r="L47">
            <v>274.89999999999998</v>
          </cell>
          <cell r="M47">
            <v>246.6</v>
          </cell>
          <cell r="N47">
            <v>211.1</v>
          </cell>
          <cell r="O47">
            <v>211.9</v>
          </cell>
        </row>
        <row r="48">
          <cell r="A48" t="str">
            <v xml:space="preserve">  + ST Debt</v>
          </cell>
          <cell r="C48">
            <v>450.8</v>
          </cell>
          <cell r="D48">
            <v>1016.6</v>
          </cell>
          <cell r="E48">
            <v>341.7</v>
          </cell>
          <cell r="F48">
            <v>986.7</v>
          </cell>
          <cell r="G48">
            <v>94.8</v>
          </cell>
          <cell r="H48">
            <v>87.4</v>
          </cell>
          <cell r="I48">
            <v>350</v>
          </cell>
          <cell r="J48">
            <v>0</v>
          </cell>
          <cell r="K48">
            <v>0</v>
          </cell>
          <cell r="L48">
            <v>0</v>
          </cell>
          <cell r="M48">
            <v>10</v>
          </cell>
          <cell r="N48">
            <v>20</v>
          </cell>
          <cell r="O48">
            <v>25.5</v>
          </cell>
        </row>
        <row r="49">
          <cell r="A49" t="str">
            <v xml:space="preserve">    + ST Borrowings</v>
          </cell>
          <cell r="C49">
            <v>450.8</v>
          </cell>
          <cell r="D49">
            <v>949.9</v>
          </cell>
          <cell r="E49">
            <v>251.1</v>
          </cell>
          <cell r="F49">
            <v>901.9</v>
          </cell>
          <cell r="G49">
            <v>2.2999999999999998</v>
          </cell>
          <cell r="H49">
            <v>4.4000000000000004</v>
          </cell>
          <cell r="I49">
            <v>350</v>
          </cell>
          <cell r="J49">
            <v>0</v>
          </cell>
          <cell r="K49">
            <v>0</v>
          </cell>
          <cell r="L49">
            <v>0</v>
          </cell>
          <cell r="M49">
            <v>10</v>
          </cell>
          <cell r="N49">
            <v>20</v>
          </cell>
          <cell r="O49">
            <v>25.5</v>
          </cell>
        </row>
        <row r="50">
          <cell r="A50" t="str">
            <v xml:space="preserve">    + ST Lease Liabilities</v>
          </cell>
          <cell r="C50">
            <v>0</v>
          </cell>
          <cell r="D50">
            <v>66.5</v>
          </cell>
          <cell r="E50">
            <v>83.1</v>
          </cell>
          <cell r="F50">
            <v>83.5</v>
          </cell>
          <cell r="G50">
            <v>78.8</v>
          </cell>
          <cell r="H50">
            <v>83</v>
          </cell>
          <cell r="I50">
            <v>0</v>
          </cell>
          <cell r="J50">
            <v>0</v>
          </cell>
          <cell r="K50">
            <v>0</v>
          </cell>
          <cell r="L50">
            <v>0</v>
          </cell>
          <cell r="M50">
            <v>0</v>
          </cell>
          <cell r="N50">
            <v>0</v>
          </cell>
          <cell r="O50">
            <v>0</v>
          </cell>
        </row>
        <row r="51">
          <cell r="A51" t="str">
            <v xml:space="preserve">      + ST Finance Leases</v>
          </cell>
          <cell r="C51" t="str">
            <v>—</v>
          </cell>
          <cell r="D51" t="str">
            <v>—</v>
          </cell>
          <cell r="E51" t="str">
            <v>—</v>
          </cell>
          <cell r="F51" t="str">
            <v>—</v>
          </cell>
          <cell r="G51" t="str">
            <v>—</v>
          </cell>
          <cell r="H51" t="str">
            <v>—</v>
          </cell>
          <cell r="I51">
            <v>0</v>
          </cell>
          <cell r="J51">
            <v>0</v>
          </cell>
          <cell r="K51">
            <v>0</v>
          </cell>
          <cell r="L51">
            <v>0</v>
          </cell>
          <cell r="M51">
            <v>0</v>
          </cell>
          <cell r="N51">
            <v>0</v>
          </cell>
          <cell r="O51">
            <v>0</v>
          </cell>
        </row>
        <row r="52">
          <cell r="A52" t="str">
            <v xml:space="preserve">    + Current Portion of LT Debt</v>
          </cell>
          <cell r="C52">
            <v>0</v>
          </cell>
          <cell r="D52">
            <v>0.2</v>
          </cell>
          <cell r="E52">
            <v>7.5</v>
          </cell>
          <cell r="F52">
            <v>1.3</v>
          </cell>
          <cell r="G52">
            <v>13.7</v>
          </cell>
          <cell r="H52">
            <v>0</v>
          </cell>
          <cell r="I52">
            <v>0</v>
          </cell>
          <cell r="J52">
            <v>0</v>
          </cell>
          <cell r="K52">
            <v>0</v>
          </cell>
          <cell r="L52">
            <v>0</v>
          </cell>
          <cell r="M52">
            <v>0</v>
          </cell>
          <cell r="N52">
            <v>0</v>
          </cell>
          <cell r="O52">
            <v>0</v>
          </cell>
        </row>
        <row r="53">
          <cell r="A53" t="str">
            <v xml:space="preserve">  + Other ST Liabilities</v>
          </cell>
          <cell r="C53">
            <v>2810.8</v>
          </cell>
          <cell r="D53">
            <v>1520.9</v>
          </cell>
          <cell r="E53">
            <v>1576.2</v>
          </cell>
          <cell r="F53">
            <v>1587.1</v>
          </cell>
          <cell r="G53">
            <v>1209.5999999999999</v>
          </cell>
          <cell r="H53">
            <v>1122.9000000000001</v>
          </cell>
          <cell r="I53">
            <v>953.8</v>
          </cell>
          <cell r="J53">
            <v>937.2</v>
          </cell>
          <cell r="K53">
            <v>889.3</v>
          </cell>
          <cell r="L53">
            <v>794.2</v>
          </cell>
          <cell r="M53">
            <v>668.2</v>
          </cell>
          <cell r="N53">
            <v>502.3</v>
          </cell>
          <cell r="O53">
            <v>503.7</v>
          </cell>
        </row>
        <row r="54">
          <cell r="A54" t="str">
            <v xml:space="preserve">    + Deferred Revenue</v>
          </cell>
          <cell r="C54">
            <v>1663.4</v>
          </cell>
          <cell r="D54">
            <v>1479.3</v>
          </cell>
          <cell r="E54">
            <v>1536.6</v>
          </cell>
          <cell r="F54">
            <v>1304.4000000000001</v>
          </cell>
          <cell r="G54">
            <v>1169.0999999999999</v>
          </cell>
          <cell r="H54">
            <v>1093.5</v>
          </cell>
          <cell r="I54">
            <v>907.5</v>
          </cell>
          <cell r="J54">
            <v>876.4</v>
          </cell>
          <cell r="K54">
            <v>853.1</v>
          </cell>
          <cell r="L54">
            <v>778</v>
          </cell>
          <cell r="M54">
            <v>636.79999999999995</v>
          </cell>
          <cell r="N54">
            <v>489</v>
          </cell>
          <cell r="O54">
            <v>484.7</v>
          </cell>
        </row>
        <row r="55">
          <cell r="A55" t="str">
            <v xml:space="preserve">    + Derivatives &amp; Hedging</v>
          </cell>
          <cell r="C55" t="str">
            <v>—</v>
          </cell>
          <cell r="D55">
            <v>0</v>
          </cell>
          <cell r="E55">
            <v>0</v>
          </cell>
          <cell r="F55">
            <v>0</v>
          </cell>
          <cell r="G55">
            <v>2.1</v>
          </cell>
          <cell r="H55">
            <v>4.2</v>
          </cell>
          <cell r="I55">
            <v>7.3</v>
          </cell>
          <cell r="J55">
            <v>1.1000000000000001</v>
          </cell>
          <cell r="K55">
            <v>0.5</v>
          </cell>
          <cell r="L55">
            <v>1.1000000000000001</v>
          </cell>
          <cell r="M55">
            <v>0.3</v>
          </cell>
          <cell r="N55">
            <v>0</v>
          </cell>
          <cell r="O55">
            <v>0</v>
          </cell>
        </row>
        <row r="56">
          <cell r="A56" t="str">
            <v xml:space="preserve">    + Misc ST Liabilities</v>
          </cell>
          <cell r="C56">
            <v>1147.4000000000001</v>
          </cell>
          <cell r="D56">
            <v>41.6</v>
          </cell>
          <cell r="E56">
            <v>39.6</v>
          </cell>
          <cell r="F56">
            <v>282.7</v>
          </cell>
          <cell r="G56">
            <v>38.4</v>
          </cell>
          <cell r="H56">
            <v>25.2</v>
          </cell>
          <cell r="I56">
            <v>39</v>
          </cell>
          <cell r="J56">
            <v>59.7</v>
          </cell>
          <cell r="K56">
            <v>35.700000000000003</v>
          </cell>
          <cell r="L56">
            <v>15</v>
          </cell>
          <cell r="M56">
            <v>31.1</v>
          </cell>
          <cell r="N56">
            <v>13.3</v>
          </cell>
          <cell r="O56">
            <v>19</v>
          </cell>
        </row>
        <row r="57">
          <cell r="A57" t="str">
            <v>Total Current Liabilities</v>
          </cell>
          <cell r="C57">
            <v>3521.5</v>
          </cell>
          <cell r="D57">
            <v>3561</v>
          </cell>
          <cell r="E57">
            <v>2881</v>
          </cell>
          <cell r="F57">
            <v>3470.3</v>
          </cell>
          <cell r="G57">
            <v>2086.9</v>
          </cell>
          <cell r="H57">
            <v>2133.8000000000002</v>
          </cell>
          <cell r="I57">
            <v>2022.7</v>
          </cell>
          <cell r="J57">
            <v>1527.5</v>
          </cell>
          <cell r="K57">
            <v>1465.6</v>
          </cell>
          <cell r="L57">
            <v>1311.9</v>
          </cell>
          <cell r="M57">
            <v>1134.9000000000001</v>
          </cell>
          <cell r="N57">
            <v>888.2</v>
          </cell>
          <cell r="O57">
            <v>928.5</v>
          </cell>
        </row>
        <row r="58">
          <cell r="A58" t="str">
            <v xml:space="preserve">  + LT Debt</v>
          </cell>
          <cell r="C58">
            <v>2042.8</v>
          </cell>
          <cell r="D58">
            <v>2584.3000000000002</v>
          </cell>
          <cell r="E58">
            <v>3235</v>
          </cell>
          <cell r="F58">
            <v>3484</v>
          </cell>
          <cell r="G58">
            <v>4738.8</v>
          </cell>
          <cell r="H58">
            <v>5209.6000000000004</v>
          </cell>
          <cell r="I58">
            <v>650</v>
          </cell>
          <cell r="J58">
            <v>1000</v>
          </cell>
          <cell r="K58">
            <v>1000</v>
          </cell>
          <cell r="L58">
            <v>1000</v>
          </cell>
          <cell r="M58">
            <v>350</v>
          </cell>
          <cell r="N58">
            <v>360</v>
          </cell>
          <cell r="O58">
            <v>38.299999999999997</v>
          </cell>
        </row>
        <row r="59">
          <cell r="A59" t="str">
            <v xml:space="preserve">    + LT Borrowings</v>
          </cell>
          <cell r="C59">
            <v>2042.8</v>
          </cell>
          <cell r="D59">
            <v>2040.6</v>
          </cell>
          <cell r="E59">
            <v>2737.4</v>
          </cell>
          <cell r="F59">
            <v>2966.4</v>
          </cell>
          <cell r="G59">
            <v>4174.3</v>
          </cell>
          <cell r="H59">
            <v>4596.8</v>
          </cell>
          <cell r="I59">
            <v>650</v>
          </cell>
          <cell r="J59">
            <v>1000</v>
          </cell>
          <cell r="K59">
            <v>1000</v>
          </cell>
          <cell r="L59">
            <v>1000</v>
          </cell>
          <cell r="M59">
            <v>350</v>
          </cell>
          <cell r="N59">
            <v>360</v>
          </cell>
          <cell r="O59">
            <v>38.299999999999997</v>
          </cell>
        </row>
        <row r="60">
          <cell r="A60" t="str">
            <v xml:space="preserve">    + LT Lease Liabilities</v>
          </cell>
          <cell r="C60">
            <v>0</v>
          </cell>
          <cell r="D60">
            <v>543.70000000000005</v>
          </cell>
          <cell r="E60">
            <v>497.6</v>
          </cell>
          <cell r="F60">
            <v>517.6</v>
          </cell>
          <cell r="G60">
            <v>564.5</v>
          </cell>
          <cell r="H60">
            <v>612.79999999999995</v>
          </cell>
          <cell r="I60">
            <v>0</v>
          </cell>
          <cell r="J60">
            <v>0</v>
          </cell>
          <cell r="K60">
            <v>0</v>
          </cell>
          <cell r="L60">
            <v>0</v>
          </cell>
          <cell r="M60">
            <v>0</v>
          </cell>
          <cell r="N60">
            <v>0</v>
          </cell>
          <cell r="O60">
            <v>0</v>
          </cell>
        </row>
        <row r="61">
          <cell r="A61" t="str">
            <v xml:space="preserve">      + LT Finance Leases</v>
          </cell>
          <cell r="C61" t="str">
            <v>—</v>
          </cell>
          <cell r="D61" t="str">
            <v>—</v>
          </cell>
          <cell r="E61" t="str">
            <v>—</v>
          </cell>
          <cell r="F61" t="str">
            <v>—</v>
          </cell>
          <cell r="G61" t="str">
            <v>—</v>
          </cell>
          <cell r="H61" t="str">
            <v>—</v>
          </cell>
          <cell r="I61">
            <v>0</v>
          </cell>
          <cell r="J61">
            <v>0</v>
          </cell>
          <cell r="K61">
            <v>0</v>
          </cell>
          <cell r="L61">
            <v>0</v>
          </cell>
          <cell r="M61">
            <v>0</v>
          </cell>
          <cell r="N61">
            <v>0</v>
          </cell>
          <cell r="O61">
            <v>0</v>
          </cell>
        </row>
        <row r="62">
          <cell r="A62" t="str">
            <v xml:space="preserve">  + Other LT Liabilities</v>
          </cell>
          <cell r="C62">
            <v>900.9</v>
          </cell>
          <cell r="D62">
            <v>631.1</v>
          </cell>
          <cell r="E62">
            <v>820.2</v>
          </cell>
          <cell r="F62">
            <v>1053.4000000000001</v>
          </cell>
          <cell r="G62">
            <v>1032.4000000000001</v>
          </cell>
          <cell r="H62">
            <v>1266.7</v>
          </cell>
          <cell r="I62">
            <v>675.4</v>
          </cell>
          <cell r="J62">
            <v>506.3</v>
          </cell>
          <cell r="K62">
            <v>594.6</v>
          </cell>
          <cell r="L62">
            <v>511.9</v>
          </cell>
          <cell r="M62">
            <v>518</v>
          </cell>
          <cell r="N62">
            <v>315.5</v>
          </cell>
          <cell r="O62">
            <v>292.5</v>
          </cell>
        </row>
        <row r="63">
          <cell r="A63" t="str">
            <v xml:space="preserve">    + Accrued Liabilities</v>
          </cell>
          <cell r="C63" t="str">
            <v>—</v>
          </cell>
          <cell r="D63">
            <v>0</v>
          </cell>
          <cell r="E63">
            <v>0</v>
          </cell>
          <cell r="F63">
            <v>0</v>
          </cell>
          <cell r="G63">
            <v>0</v>
          </cell>
          <cell r="H63">
            <v>0</v>
          </cell>
          <cell r="I63">
            <v>0</v>
          </cell>
          <cell r="J63">
            <v>0</v>
          </cell>
          <cell r="K63">
            <v>0</v>
          </cell>
          <cell r="L63">
            <v>0</v>
          </cell>
          <cell r="M63">
            <v>0</v>
          </cell>
          <cell r="N63">
            <v>0</v>
          </cell>
          <cell r="O63">
            <v>0</v>
          </cell>
        </row>
        <row r="64">
          <cell r="A64" t="str">
            <v xml:space="preserve">    + Pension Liabilities</v>
          </cell>
          <cell r="C64" t="str">
            <v>—</v>
          </cell>
          <cell r="D64">
            <v>143.5</v>
          </cell>
          <cell r="E64">
            <v>131.9</v>
          </cell>
          <cell r="F64">
            <v>173.3</v>
          </cell>
          <cell r="G64">
            <v>197.5</v>
          </cell>
          <cell r="H64">
            <v>204.6</v>
          </cell>
          <cell r="I64">
            <v>171.7</v>
          </cell>
          <cell r="J64">
            <v>166.7</v>
          </cell>
          <cell r="K64">
            <v>168.7</v>
          </cell>
          <cell r="L64">
            <v>144.30000000000001</v>
          </cell>
          <cell r="M64">
            <v>140.69999999999999</v>
          </cell>
          <cell r="N64">
            <v>102</v>
          </cell>
          <cell r="O64">
            <v>111</v>
          </cell>
        </row>
        <row r="65">
          <cell r="A65" t="str">
            <v xml:space="preserve">    + Deferred Revenue</v>
          </cell>
          <cell r="C65" t="str">
            <v>—</v>
          </cell>
          <cell r="D65">
            <v>0</v>
          </cell>
          <cell r="E65">
            <v>0</v>
          </cell>
          <cell r="F65">
            <v>0</v>
          </cell>
          <cell r="G65">
            <v>0</v>
          </cell>
          <cell r="H65">
            <v>0</v>
          </cell>
          <cell r="I65">
            <v>0</v>
          </cell>
          <cell r="J65">
            <v>0</v>
          </cell>
          <cell r="K65">
            <v>0</v>
          </cell>
          <cell r="L65">
            <v>0</v>
          </cell>
          <cell r="M65">
            <v>0</v>
          </cell>
          <cell r="N65">
            <v>0</v>
          </cell>
          <cell r="O65">
            <v>0</v>
          </cell>
        </row>
        <row r="66">
          <cell r="A66" t="str">
            <v xml:space="preserve">    + Deferred Tax Liabilities</v>
          </cell>
          <cell r="C66" t="str">
            <v>—</v>
          </cell>
          <cell r="D66">
            <v>100.1</v>
          </cell>
          <cell r="E66">
            <v>328.5</v>
          </cell>
          <cell r="F66">
            <v>571.1</v>
          </cell>
          <cell r="G66">
            <v>625.29999999999995</v>
          </cell>
          <cell r="H66">
            <v>830.2</v>
          </cell>
          <cell r="I66">
            <v>262.8</v>
          </cell>
          <cell r="J66">
            <v>186.6</v>
          </cell>
          <cell r="K66">
            <v>258.7</v>
          </cell>
          <cell r="L66">
            <v>213.9</v>
          </cell>
          <cell r="M66">
            <v>222.4</v>
          </cell>
          <cell r="N66">
            <v>102.7</v>
          </cell>
          <cell r="O66">
            <v>76.900000000000006</v>
          </cell>
        </row>
        <row r="67">
          <cell r="A67" t="str">
            <v xml:space="preserve">    + Derivatives &amp; Hedging</v>
          </cell>
          <cell r="C67" t="str">
            <v>—</v>
          </cell>
          <cell r="D67">
            <v>0</v>
          </cell>
          <cell r="E67">
            <v>0</v>
          </cell>
          <cell r="F67">
            <v>0</v>
          </cell>
          <cell r="G67">
            <v>0.3</v>
          </cell>
          <cell r="H67">
            <v>0.3</v>
          </cell>
          <cell r="I67">
            <v>6.7</v>
          </cell>
          <cell r="J67">
            <v>12</v>
          </cell>
          <cell r="K67">
            <v>24.1</v>
          </cell>
          <cell r="L67">
            <v>13.8</v>
          </cell>
          <cell r="M67">
            <v>12.2</v>
          </cell>
          <cell r="N67">
            <v>0</v>
          </cell>
          <cell r="O67">
            <v>0</v>
          </cell>
        </row>
        <row r="68">
          <cell r="A68" t="str">
            <v xml:space="preserve">    + Misc LT Liabilities</v>
          </cell>
          <cell r="C68">
            <v>900.9</v>
          </cell>
          <cell r="D68">
            <v>387.5</v>
          </cell>
          <cell r="E68">
            <v>359.8</v>
          </cell>
          <cell r="F68">
            <v>309</v>
          </cell>
          <cell r="G68">
            <v>209.3</v>
          </cell>
          <cell r="H68">
            <v>231.6</v>
          </cell>
          <cell r="I68">
            <v>234.2</v>
          </cell>
          <cell r="J68">
            <v>141.1</v>
          </cell>
          <cell r="K68">
            <v>143.1</v>
          </cell>
          <cell r="L68">
            <v>139.9</v>
          </cell>
          <cell r="M68">
            <v>142.80000000000001</v>
          </cell>
          <cell r="N68">
            <v>110.8</v>
          </cell>
          <cell r="O68">
            <v>104.6</v>
          </cell>
        </row>
        <row r="69">
          <cell r="A69" t="str">
            <v>Total Noncurrent Liabilities</v>
          </cell>
          <cell r="C69">
            <v>2943.7</v>
          </cell>
          <cell r="D69">
            <v>3215.4</v>
          </cell>
          <cell r="E69">
            <v>4055.2</v>
          </cell>
          <cell r="F69">
            <v>4537.3999999999996</v>
          </cell>
          <cell r="G69">
            <v>5771.2</v>
          </cell>
          <cell r="H69">
            <v>6476.3</v>
          </cell>
          <cell r="I69">
            <v>1325.4</v>
          </cell>
          <cell r="J69">
            <v>1506.3</v>
          </cell>
          <cell r="K69">
            <v>1594.6</v>
          </cell>
          <cell r="L69">
            <v>1511.9</v>
          </cell>
          <cell r="M69">
            <v>868</v>
          </cell>
          <cell r="N69">
            <v>675.5</v>
          </cell>
          <cell r="O69">
            <v>330.8</v>
          </cell>
        </row>
        <row r="70">
          <cell r="A70" t="str">
            <v>Total Liabilities</v>
          </cell>
          <cell r="C70">
            <v>6465.2</v>
          </cell>
          <cell r="D70">
            <v>6776.4</v>
          </cell>
          <cell r="E70">
            <v>6936.2</v>
          </cell>
          <cell r="F70">
            <v>8007.7</v>
          </cell>
          <cell r="G70">
            <v>7858.1</v>
          </cell>
          <cell r="H70">
            <v>8610.1</v>
          </cell>
          <cell r="I70">
            <v>3348.1</v>
          </cell>
          <cell r="J70">
            <v>3033.8</v>
          </cell>
          <cell r="K70">
            <v>3060.2</v>
          </cell>
          <cell r="L70">
            <v>2823.7</v>
          </cell>
          <cell r="M70">
            <v>2002.9</v>
          </cell>
          <cell r="N70">
            <v>1563.7</v>
          </cell>
          <cell r="O70">
            <v>1259.3</v>
          </cell>
        </row>
        <row r="71">
          <cell r="A71" t="str">
            <v xml:space="preserve">  + Preferred Equity and Hybrid Capital</v>
          </cell>
          <cell r="C71">
            <v>0</v>
          </cell>
          <cell r="D71">
            <v>0</v>
          </cell>
          <cell r="E71">
            <v>0</v>
          </cell>
          <cell r="F71">
            <v>0</v>
          </cell>
          <cell r="G71">
            <v>0</v>
          </cell>
          <cell r="H71">
            <v>0</v>
          </cell>
          <cell r="I71">
            <v>0</v>
          </cell>
          <cell r="J71">
            <v>0</v>
          </cell>
          <cell r="K71">
            <v>0</v>
          </cell>
          <cell r="L71">
            <v>0</v>
          </cell>
          <cell r="M71">
            <v>0</v>
          </cell>
          <cell r="N71">
            <v>0</v>
          </cell>
          <cell r="O71">
            <v>0</v>
          </cell>
        </row>
        <row r="72">
          <cell r="A72" t="str">
            <v xml:space="preserve">  + Share Capital &amp; APIC</v>
          </cell>
          <cell r="C72" t="str">
            <v>—</v>
          </cell>
          <cell r="D72">
            <v>1307</v>
          </cell>
          <cell r="E72">
            <v>1261.8</v>
          </cell>
          <cell r="F72">
            <v>1241.3</v>
          </cell>
          <cell r="G72">
            <v>1086.5999999999999</v>
          </cell>
          <cell r="H72">
            <v>995.3</v>
          </cell>
          <cell r="I72">
            <v>897.7</v>
          </cell>
          <cell r="J72">
            <v>776.3</v>
          </cell>
          <cell r="K72">
            <v>629.1</v>
          </cell>
          <cell r="L72">
            <v>582.79999999999995</v>
          </cell>
          <cell r="M72">
            <v>612.4</v>
          </cell>
          <cell r="N72">
            <v>552.9</v>
          </cell>
          <cell r="O72">
            <v>439.5</v>
          </cell>
        </row>
        <row r="73">
          <cell r="A73" t="str">
            <v xml:space="preserve">    + Common Stock</v>
          </cell>
          <cell r="C73" t="str">
            <v>—</v>
          </cell>
          <cell r="D73">
            <v>133.80000000000001</v>
          </cell>
          <cell r="E73">
            <v>133.5</v>
          </cell>
          <cell r="F73">
            <v>133.30000000000001</v>
          </cell>
          <cell r="G73">
            <v>132.6</v>
          </cell>
          <cell r="H73">
            <v>132</v>
          </cell>
          <cell r="I73">
            <v>131.4</v>
          </cell>
          <cell r="J73">
            <v>130.5</v>
          </cell>
          <cell r="K73">
            <v>129</v>
          </cell>
          <cell r="L73">
            <v>128.4</v>
          </cell>
          <cell r="M73">
            <v>128.19999999999999</v>
          </cell>
          <cell r="N73">
            <v>126.9</v>
          </cell>
          <cell r="O73">
            <v>125.1</v>
          </cell>
        </row>
        <row r="74">
          <cell r="A74" t="str">
            <v xml:space="preserve">    + Additional Paid in Capital</v>
          </cell>
          <cell r="C74" t="str">
            <v>—</v>
          </cell>
          <cell r="D74">
            <v>1173.2</v>
          </cell>
          <cell r="E74">
            <v>1128.3</v>
          </cell>
          <cell r="F74">
            <v>1108</v>
          </cell>
          <cell r="G74">
            <v>954</v>
          </cell>
          <cell r="H74">
            <v>863.3</v>
          </cell>
          <cell r="I74">
            <v>766.3</v>
          </cell>
          <cell r="J74">
            <v>645.79999999999995</v>
          </cell>
          <cell r="K74">
            <v>500.1</v>
          </cell>
          <cell r="L74">
            <v>454.4</v>
          </cell>
          <cell r="M74">
            <v>484.2</v>
          </cell>
          <cell r="N74">
            <v>426</v>
          </cell>
          <cell r="O74">
            <v>314.39999999999998</v>
          </cell>
        </row>
        <row r="75">
          <cell r="A75" t="str">
            <v xml:space="preserve">  - Treasury Stock</v>
          </cell>
          <cell r="C75" t="str">
            <v>—</v>
          </cell>
          <cell r="D75">
            <v>756.8</v>
          </cell>
          <cell r="E75">
            <v>703.7</v>
          </cell>
          <cell r="F75">
            <v>730.5</v>
          </cell>
          <cell r="G75">
            <v>442.1</v>
          </cell>
          <cell r="H75">
            <v>450.2</v>
          </cell>
          <cell r="I75">
            <v>353.8</v>
          </cell>
          <cell r="J75">
            <v>312.3</v>
          </cell>
          <cell r="K75">
            <v>222.9</v>
          </cell>
          <cell r="L75">
            <v>108.9</v>
          </cell>
          <cell r="M75">
            <v>187.1</v>
          </cell>
          <cell r="N75">
            <v>105.7</v>
          </cell>
          <cell r="O75">
            <v>57.4</v>
          </cell>
        </row>
        <row r="76">
          <cell r="A76" t="str">
            <v xml:space="preserve">  + Retained Earnings</v>
          </cell>
          <cell r="C76" t="str">
            <v>—</v>
          </cell>
          <cell r="D76">
            <v>7170.1</v>
          </cell>
          <cell r="E76">
            <v>6307.8</v>
          </cell>
          <cell r="F76">
            <v>5712.6</v>
          </cell>
          <cell r="G76">
            <v>5043.7</v>
          </cell>
          <cell r="H76">
            <v>4653.2</v>
          </cell>
          <cell r="I76">
            <v>4003.5</v>
          </cell>
          <cell r="J76">
            <v>3579</v>
          </cell>
          <cell r="K76">
            <v>3173.6</v>
          </cell>
          <cell r="L76">
            <v>2797.6</v>
          </cell>
          <cell r="M76">
            <v>2489.6999999999998</v>
          </cell>
          <cell r="N76">
            <v>2316.3000000000002</v>
          </cell>
          <cell r="O76">
            <v>2029.3</v>
          </cell>
        </row>
        <row r="77">
          <cell r="A77" t="str">
            <v xml:space="preserve">  + Other Equity</v>
          </cell>
          <cell r="C77">
            <v>9066.6</v>
          </cell>
          <cell r="D77">
            <v>113.8</v>
          </cell>
          <cell r="E77">
            <v>444.8</v>
          </cell>
          <cell r="F77">
            <v>-26.1</v>
          </cell>
          <cell r="G77">
            <v>-626.9</v>
          </cell>
          <cell r="H77">
            <v>10.3</v>
          </cell>
          <cell r="I77">
            <v>14.6</v>
          </cell>
          <cell r="J77">
            <v>-48.7</v>
          </cell>
          <cell r="K77">
            <v>280.39999999999998</v>
          </cell>
          <cell r="L77">
            <v>197.1</v>
          </cell>
          <cell r="M77">
            <v>28.5</v>
          </cell>
          <cell r="N77">
            <v>-152.9</v>
          </cell>
          <cell r="O77">
            <v>-74.5</v>
          </cell>
        </row>
        <row r="78">
          <cell r="A78" t="str">
            <v>Equity Before Minority Interest</v>
          </cell>
          <cell r="C78">
            <v>9066.6</v>
          </cell>
          <cell r="D78">
            <v>7834.1</v>
          </cell>
          <cell r="E78">
            <v>7310.7</v>
          </cell>
          <cell r="F78">
            <v>6197.3</v>
          </cell>
          <cell r="G78">
            <v>5061.3</v>
          </cell>
          <cell r="H78">
            <v>5208.6000000000004</v>
          </cell>
          <cell r="I78">
            <v>4562</v>
          </cell>
          <cell r="J78">
            <v>3994.2</v>
          </cell>
          <cell r="K78">
            <v>3860.2</v>
          </cell>
          <cell r="L78">
            <v>3468.5</v>
          </cell>
          <cell r="M78">
            <v>2943.5</v>
          </cell>
          <cell r="N78">
            <v>2610.5</v>
          </cell>
          <cell r="O78">
            <v>2336.9</v>
          </cell>
        </row>
        <row r="79">
          <cell r="A79" t="str">
            <v xml:space="preserve">  + Minority/Non Controlling Interest</v>
          </cell>
          <cell r="C79">
            <v>14.1</v>
          </cell>
          <cell r="D79">
            <v>11.9</v>
          </cell>
          <cell r="E79">
            <v>14.2</v>
          </cell>
          <cell r="F79">
            <v>13.7</v>
          </cell>
          <cell r="G79">
            <v>44.8</v>
          </cell>
          <cell r="H79">
            <v>53.9</v>
          </cell>
          <cell r="I79">
            <v>63.9</v>
          </cell>
          <cell r="J79">
            <v>1.9</v>
          </cell>
          <cell r="K79">
            <v>22.6</v>
          </cell>
          <cell r="L79">
            <v>19.2</v>
          </cell>
          <cell r="M79">
            <v>16</v>
          </cell>
          <cell r="N79">
            <v>13.6</v>
          </cell>
          <cell r="O79">
            <v>16.2</v>
          </cell>
        </row>
        <row r="80">
          <cell r="A80" t="str">
            <v>Total Equity</v>
          </cell>
          <cell r="C80">
            <v>9080.7000000000007</v>
          </cell>
          <cell r="D80">
            <v>7846</v>
          </cell>
          <cell r="E80">
            <v>7324.9</v>
          </cell>
          <cell r="F80">
            <v>6211</v>
          </cell>
          <cell r="G80">
            <v>5106.1000000000004</v>
          </cell>
          <cell r="H80">
            <v>5262.5</v>
          </cell>
          <cell r="I80">
            <v>4625.8999999999996</v>
          </cell>
          <cell r="J80">
            <v>3996</v>
          </cell>
          <cell r="K80">
            <v>3882.8</v>
          </cell>
          <cell r="L80">
            <v>3487.7</v>
          </cell>
          <cell r="M80">
            <v>2959.5</v>
          </cell>
          <cell r="N80">
            <v>2624.2</v>
          </cell>
          <cell r="O80">
            <v>2353.1999999999998</v>
          </cell>
        </row>
        <row r="81">
          <cell r="A81" t="str">
            <v>Total Liabilities &amp; Equity</v>
          </cell>
          <cell r="C81">
            <v>15545.9</v>
          </cell>
          <cell r="D81">
            <v>14622.4</v>
          </cell>
          <cell r="E81">
            <v>14261.1</v>
          </cell>
          <cell r="F81">
            <v>14218.7</v>
          </cell>
          <cell r="G81">
            <v>12964.2</v>
          </cell>
          <cell r="H81">
            <v>13872.6</v>
          </cell>
          <cell r="I81">
            <v>7974</v>
          </cell>
          <cell r="J81">
            <v>7029.8</v>
          </cell>
          <cell r="K81">
            <v>6943.1</v>
          </cell>
          <cell r="L81">
            <v>6311.4</v>
          </cell>
          <cell r="M81">
            <v>4962.3999999999996</v>
          </cell>
          <cell r="N81">
            <v>4187.8999999999996</v>
          </cell>
          <cell r="O81">
            <v>3612.4</v>
          </cell>
        </row>
        <row r="82">
          <cell r="A82"/>
          <cell r="C82" t="str">
            <v> </v>
          </cell>
          <cell r="D82" t="str">
            <v> </v>
          </cell>
          <cell r="E82" t="str">
            <v> </v>
          </cell>
          <cell r="F82" t="str">
            <v> </v>
          </cell>
          <cell r="G82" t="str">
            <v> </v>
          </cell>
          <cell r="H82" t="str">
            <v> </v>
          </cell>
          <cell r="I82" t="str">
            <v> </v>
          </cell>
          <cell r="J82" t="str">
            <v> </v>
          </cell>
          <cell r="K82" t="str">
            <v> </v>
          </cell>
          <cell r="L82" t="str">
            <v> </v>
          </cell>
          <cell r="M82" t="str">
            <v> </v>
          </cell>
          <cell r="N82" t="str">
            <v> </v>
          </cell>
          <cell r="O82" t="str">
            <v> </v>
          </cell>
        </row>
        <row r="83">
          <cell r="A83" t="str">
            <v>Reference Items</v>
          </cell>
          <cell r="C83" t="str">
            <v> </v>
          </cell>
          <cell r="D83" t="str">
            <v> </v>
          </cell>
          <cell r="E83" t="str">
            <v> </v>
          </cell>
          <cell r="F83" t="str">
            <v> </v>
          </cell>
          <cell r="G83" t="str">
            <v> </v>
          </cell>
          <cell r="H83" t="str">
            <v> </v>
          </cell>
          <cell r="I83" t="str">
            <v> </v>
          </cell>
          <cell r="J83" t="str">
            <v> </v>
          </cell>
          <cell r="K83" t="str">
            <v> </v>
          </cell>
          <cell r="L83" t="str">
            <v> </v>
          </cell>
          <cell r="M83" t="str">
            <v> </v>
          </cell>
          <cell r="N83" t="str">
            <v> </v>
          </cell>
          <cell r="O83" t="str">
            <v> </v>
          </cell>
        </row>
        <row r="84">
          <cell r="A84" t="str">
            <v>Accounting Standard</v>
          </cell>
          <cell r="C84" t="str">
            <v>IAS/IFRS</v>
          </cell>
          <cell r="D84" t="str">
            <v>IAS/IFRS</v>
          </cell>
          <cell r="E84" t="str">
            <v>IAS/IFRS</v>
          </cell>
          <cell r="F84" t="str">
            <v>IAS/IFRS</v>
          </cell>
          <cell r="G84" t="str">
            <v>IAS/IFRS</v>
          </cell>
          <cell r="H84" t="str">
            <v>IAS/IFRS</v>
          </cell>
          <cell r="I84" t="str">
            <v>IAS/IFRS</v>
          </cell>
          <cell r="J84" t="str">
            <v>IAS/IFRS</v>
          </cell>
          <cell r="K84" t="str">
            <v>IAS/IFRS</v>
          </cell>
          <cell r="L84" t="str">
            <v>IAS/IFRS</v>
          </cell>
          <cell r="M84" t="str">
            <v>IAS/IFRS</v>
          </cell>
          <cell r="N84" t="str">
            <v>IAS/IFRS</v>
          </cell>
          <cell r="O84" t="str">
            <v>IAS/IFRS</v>
          </cell>
        </row>
        <row r="85">
          <cell r="A85" t="str">
            <v>Shares Outstanding</v>
          </cell>
          <cell r="C85">
            <v>1339.7</v>
          </cell>
          <cell r="D85">
            <v>1314.8</v>
          </cell>
          <cell r="E85">
            <v>1313.9</v>
          </cell>
          <cell r="F85">
            <v>1310.2</v>
          </cell>
          <cell r="G85">
            <v>1305.4000000000001</v>
          </cell>
          <cell r="H85">
            <v>1297.3</v>
          </cell>
          <cell r="I85">
            <v>1293</v>
          </cell>
          <cell r="J85">
            <v>1280.0999999999999</v>
          </cell>
          <cell r="K85">
            <v>1268.0999999999999</v>
          </cell>
          <cell r="L85">
            <v>1269.3</v>
          </cell>
          <cell r="M85">
            <v>1258</v>
          </cell>
          <cell r="N85">
            <v>1269.3</v>
          </cell>
          <cell r="O85">
            <v>1251</v>
          </cell>
        </row>
        <row r="86">
          <cell r="A86" t="str">
            <v>Number of Treasury Shares</v>
          </cell>
          <cell r="C86" t="str">
            <v>—</v>
          </cell>
          <cell r="D86">
            <v>23.1</v>
          </cell>
          <cell r="E86">
            <v>21.1</v>
          </cell>
          <cell r="F86">
            <v>22.6</v>
          </cell>
          <cell r="G86">
            <v>20.3</v>
          </cell>
          <cell r="H86">
            <v>22.9</v>
          </cell>
          <cell r="I86">
            <v>20.6</v>
          </cell>
          <cell r="J86">
            <v>24.5</v>
          </cell>
          <cell r="K86">
            <v>21.9</v>
          </cell>
          <cell r="L86">
            <v>14.3</v>
          </cell>
          <cell r="M86">
            <v>23.9</v>
          </cell>
          <cell r="N86">
            <v>11</v>
          </cell>
          <cell r="O86">
            <v>9</v>
          </cell>
        </row>
        <row r="87">
          <cell r="A87" t="str">
            <v>Pension Obligations</v>
          </cell>
          <cell r="C87" t="str">
            <v>—</v>
          </cell>
          <cell r="D87">
            <v>143.5</v>
          </cell>
          <cell r="E87">
            <v>131.9</v>
          </cell>
          <cell r="F87">
            <v>173.3</v>
          </cell>
          <cell r="G87">
            <v>197.5</v>
          </cell>
          <cell r="H87">
            <v>204.6</v>
          </cell>
          <cell r="I87">
            <v>171.7</v>
          </cell>
          <cell r="J87">
            <v>166.7</v>
          </cell>
          <cell r="K87">
            <v>168.7</v>
          </cell>
          <cell r="L87">
            <v>144.30000000000001</v>
          </cell>
          <cell r="M87">
            <v>140.69999999999999</v>
          </cell>
          <cell r="N87">
            <v>102</v>
          </cell>
          <cell r="O87">
            <v>111</v>
          </cell>
        </row>
        <row r="88">
          <cell r="A88" t="str">
            <v>Future Minimum Operating Lease Obligations</v>
          </cell>
          <cell r="C88" t="str">
            <v>—</v>
          </cell>
          <cell r="D88">
            <v>89.1</v>
          </cell>
          <cell r="E88">
            <v>123.5</v>
          </cell>
          <cell r="F88">
            <v>418.7</v>
          </cell>
          <cell r="G88" t="str">
            <v>—</v>
          </cell>
          <cell r="H88" t="str">
            <v>—</v>
          </cell>
          <cell r="I88">
            <v>469</v>
          </cell>
          <cell r="J88">
            <v>502.7</v>
          </cell>
          <cell r="K88">
            <v>536.20000000000005</v>
          </cell>
          <cell r="L88">
            <v>544.9</v>
          </cell>
          <cell r="M88">
            <v>539.1</v>
          </cell>
          <cell r="N88">
            <v>496.8</v>
          </cell>
          <cell r="O88">
            <v>357.7</v>
          </cell>
        </row>
        <row r="89">
          <cell r="A89" t="str">
            <v>Capital Leases - Total</v>
          </cell>
          <cell r="C89" t="str">
            <v>—</v>
          </cell>
          <cell r="D89" t="str">
            <v>—</v>
          </cell>
          <cell r="E89" t="str">
            <v>—</v>
          </cell>
          <cell r="F89" t="str">
            <v>—</v>
          </cell>
          <cell r="G89" t="str">
            <v>—</v>
          </cell>
          <cell r="H89" t="str">
            <v>—</v>
          </cell>
          <cell r="I89">
            <v>0</v>
          </cell>
          <cell r="J89">
            <v>0</v>
          </cell>
          <cell r="K89">
            <v>0</v>
          </cell>
          <cell r="L89">
            <v>0</v>
          </cell>
          <cell r="M89">
            <v>0</v>
          </cell>
          <cell r="N89">
            <v>0</v>
          </cell>
          <cell r="O89">
            <v>0</v>
          </cell>
        </row>
        <row r="90">
          <cell r="A90" t="str">
            <v>Options Granted During Period</v>
          </cell>
          <cell r="C90" t="str">
            <v>—</v>
          </cell>
          <cell r="D90">
            <v>2.1</v>
          </cell>
          <cell r="E90">
            <v>2</v>
          </cell>
          <cell r="F90">
            <v>2.2999999999999998</v>
          </cell>
          <cell r="G90">
            <v>11</v>
          </cell>
          <cell r="H90">
            <v>8.1999999999999993</v>
          </cell>
          <cell r="I90">
            <v>9.9</v>
          </cell>
          <cell r="J90">
            <v>10.3</v>
          </cell>
          <cell r="K90">
            <v>9.6999999999999993</v>
          </cell>
          <cell r="L90">
            <v>9.8000000000000007</v>
          </cell>
          <cell r="M90">
            <v>3.1</v>
          </cell>
          <cell r="N90">
            <v>0</v>
          </cell>
          <cell r="O90">
            <v>0</v>
          </cell>
        </row>
        <row r="91">
          <cell r="A91" t="str">
            <v>Options Outstanding at Period End</v>
          </cell>
          <cell r="C91" t="str">
            <v>—</v>
          </cell>
          <cell r="D91">
            <v>24.8</v>
          </cell>
          <cell r="E91">
            <v>25.8</v>
          </cell>
          <cell r="F91">
            <v>27</v>
          </cell>
          <cell r="G91">
            <v>33</v>
          </cell>
          <cell r="H91">
            <v>28.5</v>
          </cell>
          <cell r="I91">
            <v>28.4</v>
          </cell>
          <cell r="J91">
            <v>28.5</v>
          </cell>
          <cell r="K91">
            <v>29.8</v>
          </cell>
          <cell r="L91">
            <v>26.6</v>
          </cell>
          <cell r="M91">
            <v>26.4</v>
          </cell>
          <cell r="N91">
            <v>35.5</v>
          </cell>
          <cell r="O91">
            <v>46.9</v>
          </cell>
        </row>
        <row r="92">
          <cell r="A92" t="str">
            <v>Net Debt</v>
          </cell>
          <cell r="C92">
            <v>-1459</v>
          </cell>
          <cell r="D92">
            <v>32.6</v>
          </cell>
          <cell r="E92">
            <v>807.7</v>
          </cell>
          <cell r="F92">
            <v>1491.2</v>
          </cell>
          <cell r="G92">
            <v>2684.8</v>
          </cell>
          <cell r="H92">
            <v>3352.1</v>
          </cell>
          <cell r="I92">
            <v>-1809.9</v>
          </cell>
          <cell r="J92">
            <v>-1460.7</v>
          </cell>
          <cell r="K92">
            <v>-1492.8</v>
          </cell>
          <cell r="L92">
            <v>-1351.3</v>
          </cell>
          <cell r="M92">
            <v>-815.5</v>
          </cell>
          <cell r="N92">
            <v>-1423.6</v>
          </cell>
          <cell r="O92">
            <v>-1255.3</v>
          </cell>
        </row>
        <row r="93">
          <cell r="A93" t="str">
            <v>Net Debt to Equity</v>
          </cell>
          <cell r="C93">
            <v>-16.07</v>
          </cell>
          <cell r="D93">
            <v>0.42</v>
          </cell>
          <cell r="E93">
            <v>11.03</v>
          </cell>
          <cell r="F93">
            <v>24.01</v>
          </cell>
          <cell r="G93">
            <v>52.58</v>
          </cell>
          <cell r="H93">
            <v>63.7</v>
          </cell>
          <cell r="I93">
            <v>-39.130000000000003</v>
          </cell>
          <cell r="J93">
            <v>-36.549999999999997</v>
          </cell>
          <cell r="K93">
            <v>-38.450000000000003</v>
          </cell>
          <cell r="L93">
            <v>-38.74</v>
          </cell>
          <cell r="M93">
            <v>-27.56</v>
          </cell>
          <cell r="N93">
            <v>-54.25</v>
          </cell>
          <cell r="O93">
            <v>-53.34</v>
          </cell>
        </row>
        <row r="94">
          <cell r="A94" t="str">
            <v>Tangible Common Equity Ratio</v>
          </cell>
          <cell r="C94">
            <v>17.55</v>
          </cell>
          <cell r="D94">
            <v>2.68</v>
          </cell>
          <cell r="E94">
            <v>-16.079999999999998</v>
          </cell>
          <cell r="F94">
            <v>-32.729999999999997</v>
          </cell>
          <cell r="G94">
            <v>-57.21</v>
          </cell>
          <cell r="H94">
            <v>-74.83</v>
          </cell>
          <cell r="I94">
            <v>27.58</v>
          </cell>
          <cell r="J94">
            <v>24.85</v>
          </cell>
          <cell r="K94">
            <v>23.25</v>
          </cell>
          <cell r="L94">
            <v>21.56</v>
          </cell>
          <cell r="M94">
            <v>11.18</v>
          </cell>
          <cell r="N94">
            <v>40.61</v>
          </cell>
          <cell r="O94">
            <v>40.75</v>
          </cell>
        </row>
        <row r="95">
          <cell r="A95" t="str">
            <v>Current Ratio</v>
          </cell>
          <cell r="C95">
            <v>1.87</v>
          </cell>
          <cell r="D95">
            <v>1.62</v>
          </cell>
          <cell r="E95">
            <v>1.68</v>
          </cell>
          <cell r="F95">
            <v>1.36</v>
          </cell>
          <cell r="G95">
            <v>1.8</v>
          </cell>
          <cell r="H95">
            <v>1.72</v>
          </cell>
          <cell r="I95">
            <v>2.08</v>
          </cell>
          <cell r="J95">
            <v>2.36</v>
          </cell>
          <cell r="K95">
            <v>2.44</v>
          </cell>
          <cell r="L95">
            <v>2.4700000000000002</v>
          </cell>
          <cell r="M95">
            <v>1.75</v>
          </cell>
          <cell r="N95">
            <v>2.72</v>
          </cell>
          <cell r="O95">
            <v>2.08</v>
          </cell>
        </row>
        <row r="96">
          <cell r="A96" t="str">
            <v>Number of Employees</v>
          </cell>
          <cell r="C96">
            <v>26026</v>
          </cell>
          <cell r="D96">
            <v>23811</v>
          </cell>
          <cell r="E96">
            <v>22523</v>
          </cell>
          <cell r="F96">
            <v>20496</v>
          </cell>
          <cell r="G96">
            <v>19789</v>
          </cell>
          <cell r="H96">
            <v>19361</v>
          </cell>
          <cell r="I96">
            <v>16055</v>
          </cell>
          <cell r="J96">
            <v>16140</v>
          </cell>
          <cell r="K96">
            <v>15133</v>
          </cell>
          <cell r="L96">
            <v>13974</v>
          </cell>
          <cell r="M96">
            <v>13312</v>
          </cell>
          <cell r="N96">
            <v>10654</v>
          </cell>
          <cell r="O96">
            <v>10122</v>
          </cell>
        </row>
        <row r="97">
          <cell r="A97" t="str">
            <v>Source: Bloomberg</v>
          </cell>
          <cell r="C97"/>
          <cell r="D97"/>
          <cell r="E97"/>
          <cell r="F97"/>
          <cell r="G97"/>
          <cell r="H97"/>
          <cell r="I97"/>
          <cell r="J97"/>
          <cell r="K97"/>
          <cell r="L97"/>
          <cell r="M97"/>
          <cell r="N97"/>
          <cell r="O97"/>
        </row>
      </sheetData>
      <sheetData sheetId="3">
        <row r="1">
          <cell r="A1"/>
          <cell r="C1"/>
          <cell r="D1"/>
          <cell r="E1"/>
          <cell r="F1"/>
          <cell r="G1"/>
          <cell r="H1"/>
          <cell r="I1"/>
          <cell r="J1"/>
          <cell r="K1"/>
          <cell r="L1"/>
          <cell r="M1"/>
          <cell r="N1"/>
          <cell r="O1"/>
        </row>
        <row r="2">
          <cell r="A2" t="str">
            <v>Dassault Systemes SE (DSY FP) - Standardized</v>
          </cell>
          <cell r="C2"/>
          <cell r="D2"/>
          <cell r="E2"/>
          <cell r="F2"/>
          <cell r="G2"/>
          <cell r="H2"/>
          <cell r="I2"/>
          <cell r="J2"/>
          <cell r="K2"/>
          <cell r="L2"/>
          <cell r="M2"/>
          <cell r="N2"/>
          <cell r="O2"/>
        </row>
        <row r="3">
          <cell r="A3"/>
          <cell r="C3"/>
          <cell r="D3"/>
          <cell r="E3"/>
          <cell r="F3"/>
          <cell r="G3"/>
          <cell r="H3"/>
          <cell r="I3"/>
          <cell r="J3"/>
          <cell r="K3"/>
          <cell r="L3"/>
          <cell r="M3"/>
          <cell r="N3"/>
          <cell r="O3"/>
        </row>
        <row r="4">
          <cell r="A4" t="str">
            <v>In Millions of EUR except Per Share</v>
          </cell>
          <cell r="C4" t="str">
            <v>FY 2024</v>
          </cell>
          <cell r="D4" t="str">
            <v>FY 2023</v>
          </cell>
          <cell r="E4" t="str">
            <v>FY 2022</v>
          </cell>
          <cell r="F4" t="str">
            <v>FY 2021</v>
          </cell>
          <cell r="G4" t="str">
            <v>FY 2020</v>
          </cell>
          <cell r="H4" t="str">
            <v>FY 2019</v>
          </cell>
          <cell r="I4" t="str">
            <v>FY 2018</v>
          </cell>
          <cell r="J4" t="str">
            <v>FY 2017</v>
          </cell>
          <cell r="K4" t="str">
            <v>FY 2016</v>
          </cell>
          <cell r="L4" t="str">
            <v>FY 2015</v>
          </cell>
          <cell r="M4" t="str">
            <v>FY 2014</v>
          </cell>
          <cell r="N4" t="str">
            <v>FY 2013</v>
          </cell>
          <cell r="O4" t="str">
            <v>FY 2012</v>
          </cell>
        </row>
        <row r="5">
          <cell r="A5" t="str">
            <v>12 Months Ending</v>
          </cell>
          <cell r="C5" t="str">
            <v>12/31/2024</v>
          </cell>
          <cell r="D5" t="str">
            <v>12/31/2023</v>
          </cell>
          <cell r="E5" t="str">
            <v>12/31/2022</v>
          </cell>
          <cell r="F5" t="str">
            <v>12/31/2021</v>
          </cell>
          <cell r="G5" t="str">
            <v>12/31/2020</v>
          </cell>
          <cell r="H5" t="str">
            <v>12/31/2019</v>
          </cell>
          <cell r="I5" t="str">
            <v>12/31/2018</v>
          </cell>
          <cell r="J5" t="str">
            <v>12/31/2017</v>
          </cell>
          <cell r="K5" t="str">
            <v>12/31/2016</v>
          </cell>
          <cell r="L5" t="str">
            <v>12/31/2015</v>
          </cell>
          <cell r="M5" t="str">
            <v>12/31/2014</v>
          </cell>
          <cell r="N5" t="str">
            <v>12/31/2013</v>
          </cell>
          <cell r="O5" t="str">
            <v>12/31/2012</v>
          </cell>
        </row>
        <row r="6">
          <cell r="A6" t="str">
            <v>Cash from Operating Activities</v>
          </cell>
          <cell r="C6" t="str">
            <v> </v>
          </cell>
          <cell r="D6" t="str">
            <v> </v>
          </cell>
          <cell r="E6" t="str">
            <v> </v>
          </cell>
          <cell r="F6" t="str">
            <v> </v>
          </cell>
          <cell r="G6" t="str">
            <v> </v>
          </cell>
          <cell r="H6" t="str">
            <v> </v>
          </cell>
          <cell r="I6" t="str">
            <v> </v>
          </cell>
          <cell r="J6" t="str">
            <v> </v>
          </cell>
          <cell r="K6" t="str">
            <v> </v>
          </cell>
          <cell r="L6" t="str">
            <v> </v>
          </cell>
          <cell r="M6" t="str">
            <v> </v>
          </cell>
          <cell r="N6" t="str">
            <v> </v>
          </cell>
          <cell r="O6" t="str">
            <v> </v>
          </cell>
        </row>
        <row r="7">
          <cell r="A7" t="str">
            <v xml:space="preserve">  + Net Income</v>
          </cell>
          <cell r="C7">
            <v>1200.2</v>
          </cell>
          <cell r="D7">
            <v>1050.9000000000001</v>
          </cell>
          <cell r="E7">
            <v>931.5</v>
          </cell>
          <cell r="F7">
            <v>773.7</v>
          </cell>
          <cell r="G7">
            <v>491</v>
          </cell>
          <cell r="H7">
            <v>615.29999999999995</v>
          </cell>
          <cell r="I7">
            <v>569.4</v>
          </cell>
          <cell r="J7">
            <v>519.4</v>
          </cell>
          <cell r="K7">
            <v>447.2</v>
          </cell>
          <cell r="L7">
            <v>402.2</v>
          </cell>
          <cell r="M7">
            <v>291.2</v>
          </cell>
          <cell r="N7">
            <v>352.3</v>
          </cell>
          <cell r="O7">
            <v>334.8</v>
          </cell>
        </row>
        <row r="8">
          <cell r="A8" t="str">
            <v xml:space="preserve">  + Depreciation &amp; Amortization</v>
          </cell>
          <cell r="C8">
            <v>561</v>
          </cell>
          <cell r="D8">
            <v>569.5</v>
          </cell>
          <cell r="E8">
            <v>596.79999999999995</v>
          </cell>
          <cell r="F8">
            <v>574.6</v>
          </cell>
          <cell r="G8">
            <v>604.5</v>
          </cell>
          <cell r="H8">
            <v>396</v>
          </cell>
          <cell r="I8">
            <v>237.7</v>
          </cell>
          <cell r="J8">
            <v>217.7</v>
          </cell>
          <cell r="K8">
            <v>206.4</v>
          </cell>
          <cell r="L8">
            <v>211.4</v>
          </cell>
          <cell r="M8">
            <v>176.3</v>
          </cell>
          <cell r="N8">
            <v>141.30000000000001</v>
          </cell>
          <cell r="O8">
            <v>132.1</v>
          </cell>
        </row>
        <row r="9">
          <cell r="A9" t="str">
            <v xml:space="preserve">  + Non-Cash Items</v>
          </cell>
          <cell r="C9">
            <v>35.700000000000003</v>
          </cell>
          <cell r="D9">
            <v>73.900000000000006</v>
          </cell>
          <cell r="E9">
            <v>79.5</v>
          </cell>
          <cell r="F9">
            <v>130.5</v>
          </cell>
          <cell r="G9">
            <v>132.5</v>
          </cell>
          <cell r="H9">
            <v>57.8</v>
          </cell>
          <cell r="I9">
            <v>146.80000000000001</v>
          </cell>
          <cell r="J9">
            <v>-2.5</v>
          </cell>
          <cell r="K9">
            <v>44.3</v>
          </cell>
          <cell r="L9">
            <v>-4.0999999999999996</v>
          </cell>
          <cell r="M9">
            <v>12.6</v>
          </cell>
          <cell r="N9">
            <v>13.9</v>
          </cell>
          <cell r="O9">
            <v>38.1</v>
          </cell>
        </row>
        <row r="10">
          <cell r="A10" t="str">
            <v xml:space="preserve">    + Stock-Based Compensation</v>
          </cell>
          <cell r="C10">
            <v>0</v>
          </cell>
          <cell r="D10">
            <v>184.2</v>
          </cell>
          <cell r="E10">
            <v>166.7</v>
          </cell>
          <cell r="F10">
            <v>171.6</v>
          </cell>
          <cell r="G10">
            <v>178.3</v>
          </cell>
          <cell r="H10">
            <v>116.5</v>
          </cell>
          <cell r="I10">
            <v>83.4</v>
          </cell>
          <cell r="J10">
            <v>92.5</v>
          </cell>
          <cell r="K10">
            <v>71.8</v>
          </cell>
          <cell r="L10">
            <v>40.200000000000003</v>
          </cell>
          <cell r="M10">
            <v>30</v>
          </cell>
          <cell r="N10">
            <v>34</v>
          </cell>
          <cell r="O10">
            <v>25</v>
          </cell>
        </row>
        <row r="11">
          <cell r="A11" t="str">
            <v xml:space="preserve">    + Deferred Income Taxes</v>
          </cell>
          <cell r="C11">
            <v>0</v>
          </cell>
          <cell r="D11">
            <v>0</v>
          </cell>
          <cell r="E11">
            <v>0</v>
          </cell>
          <cell r="F11">
            <v>0</v>
          </cell>
          <cell r="G11">
            <v>-95.7</v>
          </cell>
          <cell r="H11">
            <v>-88.7</v>
          </cell>
          <cell r="I11">
            <v>-16.600000000000001</v>
          </cell>
          <cell r="J11">
            <v>0</v>
          </cell>
          <cell r="K11">
            <v>-43.2</v>
          </cell>
          <cell r="L11">
            <v>-42.5</v>
          </cell>
          <cell r="M11">
            <v>-39.9</v>
          </cell>
          <cell r="N11">
            <v>0</v>
          </cell>
          <cell r="O11">
            <v>0</v>
          </cell>
        </row>
        <row r="12">
          <cell r="A12" t="str">
            <v xml:space="preserve">    + Other Non-Cash Adj</v>
          </cell>
          <cell r="C12">
            <v>35.700000000000003</v>
          </cell>
          <cell r="D12">
            <v>-110.3</v>
          </cell>
          <cell r="E12">
            <v>-87.2</v>
          </cell>
          <cell r="F12">
            <v>-41.1</v>
          </cell>
          <cell r="G12">
            <v>49.9</v>
          </cell>
          <cell r="H12">
            <v>30</v>
          </cell>
          <cell r="I12">
            <v>80</v>
          </cell>
          <cell r="J12">
            <v>-95.1</v>
          </cell>
          <cell r="K12">
            <v>15.7</v>
          </cell>
          <cell r="L12">
            <v>-1.8</v>
          </cell>
          <cell r="M12">
            <v>22.6</v>
          </cell>
          <cell r="N12">
            <v>-20.2</v>
          </cell>
          <cell r="O12">
            <v>13.1</v>
          </cell>
        </row>
        <row r="13">
          <cell r="A13" t="str">
            <v xml:space="preserve">  + Chg in Non-Cash Work Cap</v>
          </cell>
          <cell r="C13">
            <v>-137</v>
          </cell>
          <cell r="D13">
            <v>-129.19999999999999</v>
          </cell>
          <cell r="E13">
            <v>-82.6</v>
          </cell>
          <cell r="F13">
            <v>134.30000000000001</v>
          </cell>
          <cell r="G13">
            <v>13.3</v>
          </cell>
          <cell r="H13">
            <v>117</v>
          </cell>
          <cell r="I13">
            <v>-55.3</v>
          </cell>
          <cell r="J13">
            <v>10.5</v>
          </cell>
          <cell r="K13">
            <v>-76.2</v>
          </cell>
          <cell r="L13">
            <v>23.8</v>
          </cell>
          <cell r="M13">
            <v>19.3</v>
          </cell>
          <cell r="N13">
            <v>-0.6</v>
          </cell>
          <cell r="O13">
            <v>61.2</v>
          </cell>
        </row>
        <row r="14">
          <cell r="A14" t="str">
            <v xml:space="preserve">    + (Inc) Dec in Accts Receiv</v>
          </cell>
          <cell r="C14">
            <v>0</v>
          </cell>
          <cell r="D14">
            <v>-97.7</v>
          </cell>
          <cell r="E14">
            <v>-263.8</v>
          </cell>
          <cell r="F14">
            <v>-47.2</v>
          </cell>
          <cell r="G14">
            <v>16.5</v>
          </cell>
          <cell r="H14">
            <v>-41.9</v>
          </cell>
          <cell r="I14">
            <v>-142.1</v>
          </cell>
          <cell r="J14">
            <v>-111.2</v>
          </cell>
          <cell r="K14">
            <v>-61.3</v>
          </cell>
          <cell r="L14">
            <v>-71.599999999999994</v>
          </cell>
          <cell r="M14">
            <v>-56.2</v>
          </cell>
          <cell r="N14">
            <v>-24.9</v>
          </cell>
          <cell r="O14">
            <v>34.799999999999997</v>
          </cell>
        </row>
        <row r="15">
          <cell r="A15" t="str">
            <v xml:space="preserve">    + Inc (Dec) in Accts Payable</v>
          </cell>
          <cell r="C15">
            <v>0</v>
          </cell>
          <cell r="D15">
            <v>15</v>
          </cell>
          <cell r="E15">
            <v>18.3</v>
          </cell>
          <cell r="F15">
            <v>12.4</v>
          </cell>
          <cell r="G15">
            <v>-36.4</v>
          </cell>
          <cell r="H15">
            <v>26</v>
          </cell>
          <cell r="I15">
            <v>6.5</v>
          </cell>
          <cell r="J15">
            <v>-1</v>
          </cell>
          <cell r="K15">
            <v>17.899999999999999</v>
          </cell>
          <cell r="L15">
            <v>-16.899999999999999</v>
          </cell>
          <cell r="M15">
            <v>23.5</v>
          </cell>
          <cell r="N15">
            <v>-4.5</v>
          </cell>
          <cell r="O15">
            <v>4.0999999999999996</v>
          </cell>
        </row>
        <row r="16">
          <cell r="A16" t="str">
            <v xml:space="preserve">    + Inc (Dec) in Other</v>
          </cell>
          <cell r="C16">
            <v>-137</v>
          </cell>
          <cell r="D16">
            <v>-46.5</v>
          </cell>
          <cell r="E16">
            <v>162.9</v>
          </cell>
          <cell r="F16">
            <v>169.1</v>
          </cell>
          <cell r="G16">
            <v>33.200000000000003</v>
          </cell>
          <cell r="H16">
            <v>132.9</v>
          </cell>
          <cell r="I16">
            <v>80.3</v>
          </cell>
          <cell r="J16">
            <v>122.7</v>
          </cell>
          <cell r="K16">
            <v>-32.799999999999997</v>
          </cell>
          <cell r="L16">
            <v>112.3</v>
          </cell>
          <cell r="M16">
            <v>51.9</v>
          </cell>
          <cell r="N16">
            <v>28.8</v>
          </cell>
          <cell r="O16">
            <v>22.3</v>
          </cell>
        </row>
        <row r="17">
          <cell r="A17" t="str">
            <v xml:space="preserve">  + Net Cash From Disc Ops</v>
          </cell>
          <cell r="C17">
            <v>0</v>
          </cell>
          <cell r="D17">
            <v>0</v>
          </cell>
          <cell r="E17">
            <v>0</v>
          </cell>
          <cell r="F17">
            <v>0</v>
          </cell>
          <cell r="G17">
            <v>0</v>
          </cell>
          <cell r="H17">
            <v>0</v>
          </cell>
          <cell r="I17">
            <v>0</v>
          </cell>
          <cell r="J17">
            <v>0</v>
          </cell>
          <cell r="K17">
            <v>0</v>
          </cell>
          <cell r="L17">
            <v>0</v>
          </cell>
          <cell r="M17">
            <v>0</v>
          </cell>
          <cell r="N17">
            <v>0</v>
          </cell>
          <cell r="O17">
            <v>0</v>
          </cell>
        </row>
        <row r="18">
          <cell r="A18" t="str">
            <v>Cash from Operating Activities</v>
          </cell>
          <cell r="C18">
            <v>1659.9</v>
          </cell>
          <cell r="D18">
            <v>1565.1</v>
          </cell>
          <cell r="E18">
            <v>1525.2</v>
          </cell>
          <cell r="F18">
            <v>1613.1</v>
          </cell>
          <cell r="G18">
            <v>1241.3</v>
          </cell>
          <cell r="H18">
            <v>1186.0999999999999</v>
          </cell>
          <cell r="I18">
            <v>898.6</v>
          </cell>
          <cell r="J18">
            <v>745</v>
          </cell>
          <cell r="K18">
            <v>621.70000000000005</v>
          </cell>
          <cell r="L18">
            <v>633.29999999999995</v>
          </cell>
          <cell r="M18">
            <v>499.5</v>
          </cell>
          <cell r="N18">
            <v>506.8</v>
          </cell>
          <cell r="O18">
            <v>566.29999999999995</v>
          </cell>
        </row>
        <row r="19">
          <cell r="A19"/>
          <cell r="C19" t="str">
            <v> </v>
          </cell>
          <cell r="D19" t="str">
            <v> </v>
          </cell>
          <cell r="E19" t="str">
            <v> </v>
          </cell>
          <cell r="F19" t="str">
            <v> </v>
          </cell>
          <cell r="G19" t="str">
            <v> </v>
          </cell>
          <cell r="H19" t="str">
            <v> </v>
          </cell>
          <cell r="I19" t="str">
            <v> </v>
          </cell>
          <cell r="J19" t="str">
            <v> </v>
          </cell>
          <cell r="K19" t="str">
            <v> </v>
          </cell>
          <cell r="L19" t="str">
            <v> </v>
          </cell>
          <cell r="M19" t="str">
            <v> </v>
          </cell>
          <cell r="N19" t="str">
            <v> </v>
          </cell>
          <cell r="O19" t="str">
            <v> </v>
          </cell>
        </row>
        <row r="20">
          <cell r="A20" t="str">
            <v>Cash from Investing Activities</v>
          </cell>
          <cell r="C20" t="str">
            <v> </v>
          </cell>
          <cell r="D20" t="str">
            <v> </v>
          </cell>
          <cell r="E20" t="str">
            <v> </v>
          </cell>
          <cell r="F20" t="str">
            <v> </v>
          </cell>
          <cell r="G20" t="str">
            <v> </v>
          </cell>
          <cell r="H20" t="str">
            <v> </v>
          </cell>
          <cell r="I20" t="str">
            <v> </v>
          </cell>
          <cell r="J20" t="str">
            <v> </v>
          </cell>
          <cell r="K20" t="str">
            <v> </v>
          </cell>
          <cell r="L20" t="str">
            <v> </v>
          </cell>
          <cell r="M20" t="str">
            <v> </v>
          </cell>
          <cell r="N20" t="str">
            <v> </v>
          </cell>
          <cell r="O20" t="str">
            <v> </v>
          </cell>
        </row>
        <row r="21">
          <cell r="A21" t="str">
            <v xml:space="preserve">  + Change in Fixed &amp; Intang</v>
          </cell>
          <cell r="C21">
            <v>-193.4</v>
          </cell>
          <cell r="D21">
            <v>-145.30000000000001</v>
          </cell>
          <cell r="E21">
            <v>-132.30000000000001</v>
          </cell>
          <cell r="F21">
            <v>-103.7</v>
          </cell>
          <cell r="G21">
            <v>-127</v>
          </cell>
          <cell r="H21">
            <v>-98.3</v>
          </cell>
          <cell r="I21">
            <v>-72.400000000000006</v>
          </cell>
          <cell r="J21">
            <v>-84.5</v>
          </cell>
          <cell r="K21">
            <v>-56.7</v>
          </cell>
          <cell r="L21">
            <v>-43.6</v>
          </cell>
          <cell r="M21">
            <v>-45.4</v>
          </cell>
          <cell r="N21">
            <v>-42.4</v>
          </cell>
          <cell r="O21">
            <v>-40.6</v>
          </cell>
        </row>
        <row r="22">
          <cell r="A22" t="str">
            <v xml:space="preserve">    + Disp in Fixed &amp; Intang</v>
          </cell>
          <cell r="C22">
            <v>0</v>
          </cell>
          <cell r="D22">
            <v>0</v>
          </cell>
          <cell r="E22">
            <v>0</v>
          </cell>
          <cell r="F22">
            <v>0</v>
          </cell>
          <cell r="G22">
            <v>0</v>
          </cell>
          <cell r="H22">
            <v>0</v>
          </cell>
          <cell r="I22">
            <v>0</v>
          </cell>
          <cell r="J22">
            <v>0</v>
          </cell>
          <cell r="K22">
            <v>0</v>
          </cell>
          <cell r="L22">
            <v>0</v>
          </cell>
          <cell r="M22">
            <v>0</v>
          </cell>
          <cell r="N22">
            <v>0</v>
          </cell>
          <cell r="O22">
            <v>0</v>
          </cell>
        </row>
        <row r="23">
          <cell r="A23" t="str">
            <v xml:space="preserve">    + Disp of Fixed Prod Assets</v>
          </cell>
          <cell r="C23">
            <v>0</v>
          </cell>
          <cell r="D23">
            <v>0</v>
          </cell>
          <cell r="E23">
            <v>0</v>
          </cell>
          <cell r="F23">
            <v>0</v>
          </cell>
          <cell r="G23">
            <v>0</v>
          </cell>
          <cell r="H23">
            <v>0</v>
          </cell>
          <cell r="I23">
            <v>0</v>
          </cell>
          <cell r="J23">
            <v>0</v>
          </cell>
          <cell r="K23">
            <v>0</v>
          </cell>
          <cell r="L23">
            <v>0</v>
          </cell>
          <cell r="M23">
            <v>0</v>
          </cell>
          <cell r="N23">
            <v>0</v>
          </cell>
          <cell r="O23">
            <v>0</v>
          </cell>
        </row>
        <row r="24">
          <cell r="A24" t="str">
            <v xml:space="preserve">    + Disp of Intangible Assets</v>
          </cell>
          <cell r="C24">
            <v>0</v>
          </cell>
          <cell r="D24">
            <v>0</v>
          </cell>
          <cell r="E24">
            <v>0</v>
          </cell>
          <cell r="F24">
            <v>0</v>
          </cell>
          <cell r="G24">
            <v>0</v>
          </cell>
          <cell r="H24">
            <v>0</v>
          </cell>
          <cell r="I24">
            <v>0</v>
          </cell>
          <cell r="J24">
            <v>0</v>
          </cell>
          <cell r="K24">
            <v>0</v>
          </cell>
          <cell r="L24">
            <v>0</v>
          </cell>
          <cell r="M24">
            <v>0</v>
          </cell>
          <cell r="N24">
            <v>0</v>
          </cell>
          <cell r="O24">
            <v>0</v>
          </cell>
        </row>
        <row r="25">
          <cell r="A25" t="str">
            <v xml:space="preserve">    + Acq of Fixed &amp; Intang</v>
          </cell>
          <cell r="C25">
            <v>-193.4</v>
          </cell>
          <cell r="D25">
            <v>-145.30000000000001</v>
          </cell>
          <cell r="E25">
            <v>-132.30000000000001</v>
          </cell>
          <cell r="F25">
            <v>-103.7</v>
          </cell>
          <cell r="G25">
            <v>-127</v>
          </cell>
          <cell r="H25">
            <v>-98.3</v>
          </cell>
          <cell r="I25">
            <v>-72.400000000000006</v>
          </cell>
          <cell r="J25">
            <v>-84.5</v>
          </cell>
          <cell r="K25">
            <v>-56.7</v>
          </cell>
          <cell r="L25">
            <v>-43.6</v>
          </cell>
          <cell r="M25">
            <v>-45.4</v>
          </cell>
          <cell r="N25">
            <v>-42.4</v>
          </cell>
          <cell r="O25">
            <v>-40.6</v>
          </cell>
        </row>
        <row r="26">
          <cell r="A26" t="str">
            <v xml:space="preserve">  + Net Change in LT Investment</v>
          </cell>
          <cell r="C26">
            <v>0</v>
          </cell>
          <cell r="D26">
            <v>0</v>
          </cell>
          <cell r="E26">
            <v>0</v>
          </cell>
          <cell r="F26">
            <v>0</v>
          </cell>
          <cell r="G26">
            <v>0</v>
          </cell>
          <cell r="H26">
            <v>0</v>
          </cell>
          <cell r="I26">
            <v>0</v>
          </cell>
          <cell r="J26">
            <v>0</v>
          </cell>
          <cell r="K26">
            <v>0</v>
          </cell>
          <cell r="L26">
            <v>0</v>
          </cell>
          <cell r="M26">
            <v>0</v>
          </cell>
          <cell r="N26">
            <v>0</v>
          </cell>
          <cell r="O26">
            <v>0</v>
          </cell>
        </row>
        <row r="27">
          <cell r="A27" t="str">
            <v xml:space="preserve">    + Dec in LT Investment</v>
          </cell>
          <cell r="C27">
            <v>0</v>
          </cell>
          <cell r="D27">
            <v>0</v>
          </cell>
          <cell r="E27">
            <v>0</v>
          </cell>
          <cell r="F27">
            <v>0</v>
          </cell>
          <cell r="G27">
            <v>0</v>
          </cell>
          <cell r="H27">
            <v>0</v>
          </cell>
          <cell r="I27">
            <v>0</v>
          </cell>
          <cell r="J27">
            <v>0</v>
          </cell>
          <cell r="K27">
            <v>0</v>
          </cell>
          <cell r="L27">
            <v>0</v>
          </cell>
          <cell r="M27">
            <v>0</v>
          </cell>
          <cell r="N27">
            <v>0</v>
          </cell>
          <cell r="O27">
            <v>0</v>
          </cell>
        </row>
        <row r="28">
          <cell r="A28" t="str">
            <v xml:space="preserve">    + Inc in LT Investment</v>
          </cell>
          <cell r="C28">
            <v>0</v>
          </cell>
          <cell r="D28">
            <v>0</v>
          </cell>
          <cell r="E28">
            <v>0</v>
          </cell>
          <cell r="F28">
            <v>0</v>
          </cell>
          <cell r="G28">
            <v>0</v>
          </cell>
          <cell r="H28">
            <v>0</v>
          </cell>
          <cell r="I28">
            <v>0</v>
          </cell>
          <cell r="J28">
            <v>0</v>
          </cell>
          <cell r="K28">
            <v>0</v>
          </cell>
          <cell r="L28">
            <v>0</v>
          </cell>
          <cell r="M28">
            <v>0</v>
          </cell>
          <cell r="N28">
            <v>0</v>
          </cell>
          <cell r="O28">
            <v>0</v>
          </cell>
        </row>
        <row r="29">
          <cell r="A29" t="str">
            <v xml:space="preserve">  + Net Cash From Acq &amp; Div</v>
          </cell>
          <cell r="C29">
            <v>-22.5</v>
          </cell>
          <cell r="D29">
            <v>-16.100000000000001</v>
          </cell>
          <cell r="E29">
            <v>-46.4</v>
          </cell>
          <cell r="F29">
            <v>-21.4</v>
          </cell>
          <cell r="G29">
            <v>-89.5</v>
          </cell>
          <cell r="H29">
            <v>-5211.7</v>
          </cell>
          <cell r="I29">
            <v>-251.6</v>
          </cell>
          <cell r="J29">
            <v>-338.2</v>
          </cell>
          <cell r="K29">
            <v>-262.7</v>
          </cell>
          <cell r="L29">
            <v>-20.2</v>
          </cell>
          <cell r="M29">
            <v>-952.9</v>
          </cell>
          <cell r="N29">
            <v>-213.4</v>
          </cell>
          <cell r="O29">
            <v>-281.5</v>
          </cell>
        </row>
        <row r="30">
          <cell r="A30" t="str">
            <v xml:space="preserve">    + Cash from Divestitures</v>
          </cell>
          <cell r="C30">
            <v>0</v>
          </cell>
          <cell r="D30">
            <v>0</v>
          </cell>
          <cell r="E30">
            <v>0</v>
          </cell>
          <cell r="F30">
            <v>0</v>
          </cell>
          <cell r="G30">
            <v>0</v>
          </cell>
          <cell r="H30">
            <v>0</v>
          </cell>
          <cell r="I30">
            <v>0</v>
          </cell>
          <cell r="J30">
            <v>0</v>
          </cell>
          <cell r="K30">
            <v>0</v>
          </cell>
          <cell r="L30">
            <v>0</v>
          </cell>
          <cell r="M30">
            <v>0</v>
          </cell>
          <cell r="N30">
            <v>0</v>
          </cell>
          <cell r="O30">
            <v>0</v>
          </cell>
        </row>
        <row r="31">
          <cell r="A31" t="str">
            <v xml:space="preserve">    + Cash for Acq of Subs</v>
          </cell>
          <cell r="C31">
            <v>-22.5</v>
          </cell>
          <cell r="D31">
            <v>-16.100000000000001</v>
          </cell>
          <cell r="E31">
            <v>-46.4</v>
          </cell>
          <cell r="F31">
            <v>-21.4</v>
          </cell>
          <cell r="G31">
            <v>-89.5</v>
          </cell>
          <cell r="H31">
            <v>-5211.7</v>
          </cell>
          <cell r="I31">
            <v>-251.6</v>
          </cell>
          <cell r="J31">
            <v>-338.2</v>
          </cell>
          <cell r="K31">
            <v>-262.7</v>
          </cell>
          <cell r="L31">
            <v>-20.2</v>
          </cell>
          <cell r="M31">
            <v>-952.9</v>
          </cell>
          <cell r="N31">
            <v>-213.4</v>
          </cell>
          <cell r="O31">
            <v>-281.5</v>
          </cell>
        </row>
        <row r="32">
          <cell r="A32" t="str">
            <v xml:space="preserve">    + Cash for JVs</v>
          </cell>
          <cell r="C32">
            <v>0</v>
          </cell>
          <cell r="D32">
            <v>0</v>
          </cell>
          <cell r="E32">
            <v>0</v>
          </cell>
          <cell r="F32">
            <v>0</v>
          </cell>
          <cell r="G32">
            <v>0</v>
          </cell>
          <cell r="H32">
            <v>0</v>
          </cell>
          <cell r="I32">
            <v>0</v>
          </cell>
          <cell r="J32">
            <v>0</v>
          </cell>
          <cell r="K32">
            <v>0</v>
          </cell>
          <cell r="L32">
            <v>0</v>
          </cell>
          <cell r="M32">
            <v>0</v>
          </cell>
          <cell r="N32">
            <v>0</v>
          </cell>
          <cell r="O32">
            <v>0</v>
          </cell>
        </row>
        <row r="33">
          <cell r="A33" t="str">
            <v xml:space="preserve">  + Other Investing Activities</v>
          </cell>
          <cell r="C33">
            <v>24.1</v>
          </cell>
          <cell r="D33">
            <v>-0.3</v>
          </cell>
          <cell r="E33">
            <v>-35.200000000000003</v>
          </cell>
          <cell r="F33">
            <v>-35.299999999999997</v>
          </cell>
          <cell r="G33">
            <v>8.5</v>
          </cell>
          <cell r="H33">
            <v>-24.8</v>
          </cell>
          <cell r="I33">
            <v>0.8</v>
          </cell>
          <cell r="J33">
            <v>55.3</v>
          </cell>
          <cell r="K33">
            <v>20.399999999999999</v>
          </cell>
          <cell r="L33">
            <v>3.3</v>
          </cell>
          <cell r="M33">
            <v>-2.6</v>
          </cell>
          <cell r="N33">
            <v>87.2</v>
          </cell>
          <cell r="O33">
            <v>103.3</v>
          </cell>
        </row>
        <row r="34">
          <cell r="A34" t="str">
            <v xml:space="preserve">  + Net Cash From Disc Ops</v>
          </cell>
          <cell r="C34">
            <v>0</v>
          </cell>
          <cell r="D34">
            <v>0</v>
          </cell>
          <cell r="E34">
            <v>0</v>
          </cell>
          <cell r="F34">
            <v>0</v>
          </cell>
          <cell r="G34">
            <v>0</v>
          </cell>
          <cell r="H34">
            <v>0</v>
          </cell>
          <cell r="I34">
            <v>0</v>
          </cell>
          <cell r="J34">
            <v>0</v>
          </cell>
          <cell r="K34">
            <v>0</v>
          </cell>
          <cell r="L34">
            <v>0</v>
          </cell>
          <cell r="M34">
            <v>0</v>
          </cell>
          <cell r="N34">
            <v>0</v>
          </cell>
          <cell r="O34">
            <v>0</v>
          </cell>
        </row>
        <row r="35">
          <cell r="A35" t="str">
            <v>Cash from Investing Activities</v>
          </cell>
          <cell r="C35">
            <v>-191.8</v>
          </cell>
          <cell r="D35">
            <v>-161.69999999999999</v>
          </cell>
          <cell r="E35">
            <v>-213.9</v>
          </cell>
          <cell r="F35">
            <v>-160.4</v>
          </cell>
          <cell r="G35">
            <v>-208</v>
          </cell>
          <cell r="H35">
            <v>-5334.8</v>
          </cell>
          <cell r="I35">
            <v>-323.2</v>
          </cell>
          <cell r="J35">
            <v>-367.4</v>
          </cell>
          <cell r="K35">
            <v>-298.89999999999998</v>
          </cell>
          <cell r="L35">
            <v>-60.5</v>
          </cell>
          <cell r="M35">
            <v>-1000.9</v>
          </cell>
          <cell r="N35">
            <v>-168.6</v>
          </cell>
          <cell r="O35">
            <v>-218.8</v>
          </cell>
        </row>
        <row r="36">
          <cell r="A36"/>
          <cell r="C36" t="str">
            <v> </v>
          </cell>
          <cell r="D36" t="str">
            <v> </v>
          </cell>
          <cell r="E36" t="str">
            <v> </v>
          </cell>
          <cell r="F36" t="str">
            <v> </v>
          </cell>
          <cell r="G36" t="str">
            <v> </v>
          </cell>
          <cell r="H36" t="str">
            <v> </v>
          </cell>
          <cell r="I36" t="str">
            <v> </v>
          </cell>
          <cell r="J36" t="str">
            <v> </v>
          </cell>
          <cell r="K36" t="str">
            <v> </v>
          </cell>
          <cell r="L36" t="str">
            <v> </v>
          </cell>
          <cell r="M36" t="str">
            <v> </v>
          </cell>
          <cell r="N36" t="str">
            <v> </v>
          </cell>
          <cell r="O36" t="str">
            <v> </v>
          </cell>
        </row>
        <row r="37">
          <cell r="A37" t="str">
            <v>Cash from Financing Activities</v>
          </cell>
          <cell r="C37" t="str">
            <v> </v>
          </cell>
          <cell r="D37" t="str">
            <v> </v>
          </cell>
          <cell r="E37" t="str">
            <v> </v>
          </cell>
          <cell r="F37" t="str">
            <v> </v>
          </cell>
          <cell r="G37" t="str">
            <v> </v>
          </cell>
          <cell r="H37" t="str">
            <v> </v>
          </cell>
          <cell r="I37" t="str">
            <v> </v>
          </cell>
          <cell r="J37" t="str">
            <v> </v>
          </cell>
          <cell r="K37" t="str">
            <v> </v>
          </cell>
          <cell r="L37" t="str">
            <v> </v>
          </cell>
          <cell r="M37" t="str">
            <v> </v>
          </cell>
          <cell r="N37" t="str">
            <v> </v>
          </cell>
          <cell r="O37" t="str">
            <v> </v>
          </cell>
        </row>
        <row r="38">
          <cell r="A38" t="str">
            <v xml:space="preserve">  + Dividends Paid</v>
          </cell>
          <cell r="C38">
            <v>-302.7</v>
          </cell>
          <cell r="D38">
            <v>-276.2</v>
          </cell>
          <cell r="E38">
            <v>-223.5</v>
          </cell>
          <cell r="F38">
            <v>-147.1</v>
          </cell>
          <cell r="G38">
            <v>-182.5</v>
          </cell>
          <cell r="H38">
            <v>-168.8</v>
          </cell>
          <cell r="I38">
            <v>-38</v>
          </cell>
          <cell r="J38">
            <v>-51.3</v>
          </cell>
          <cell r="K38">
            <v>-101.9</v>
          </cell>
          <cell r="L38">
            <v>-98.4</v>
          </cell>
          <cell r="M38">
            <v>-35.799999999999997</v>
          </cell>
          <cell r="N38">
            <v>-34.799999999999997</v>
          </cell>
          <cell r="O38">
            <v>-87.8</v>
          </cell>
        </row>
        <row r="39">
          <cell r="A39" t="str">
            <v xml:space="preserve">  + Cash From (Repayment) Debt</v>
          </cell>
          <cell r="C39">
            <v>-580.4</v>
          </cell>
          <cell r="D39">
            <v>-97.2</v>
          </cell>
          <cell r="E39">
            <v>-988.1</v>
          </cell>
          <cell r="F39">
            <v>-437.5</v>
          </cell>
          <cell r="G39">
            <v>-475.7</v>
          </cell>
          <cell r="H39">
            <v>3459.6</v>
          </cell>
          <cell r="I39">
            <v>-14.9</v>
          </cell>
          <cell r="J39">
            <v>0</v>
          </cell>
          <cell r="K39">
            <v>0</v>
          </cell>
          <cell r="L39">
            <v>639.20000000000005</v>
          </cell>
          <cell r="M39">
            <v>-20.7</v>
          </cell>
          <cell r="N39">
            <v>327.8</v>
          </cell>
          <cell r="O39">
            <v>-264.7</v>
          </cell>
        </row>
        <row r="40">
          <cell r="A40" t="str">
            <v xml:space="preserve">    + Cash From (Repay) ST Debt</v>
          </cell>
          <cell r="C40" t="str">
            <v>—</v>
          </cell>
          <cell r="D40" t="str">
            <v>—</v>
          </cell>
          <cell r="E40" t="str">
            <v>—</v>
          </cell>
          <cell r="F40" t="str">
            <v>—</v>
          </cell>
          <cell r="G40" t="str">
            <v>—</v>
          </cell>
          <cell r="H40" t="str">
            <v>—</v>
          </cell>
          <cell r="I40" t="str">
            <v>—</v>
          </cell>
          <cell r="J40">
            <v>0</v>
          </cell>
          <cell r="K40">
            <v>0</v>
          </cell>
          <cell r="L40" t="str">
            <v>—</v>
          </cell>
          <cell r="M40" t="str">
            <v>—</v>
          </cell>
          <cell r="N40" t="str">
            <v>—</v>
          </cell>
          <cell r="O40" t="str">
            <v>—</v>
          </cell>
        </row>
        <row r="41">
          <cell r="A41" t="str">
            <v xml:space="preserve">    + Cash From LT Debt</v>
          </cell>
          <cell r="C41" t="str">
            <v>—</v>
          </cell>
          <cell r="D41" t="str">
            <v>—</v>
          </cell>
          <cell r="E41" t="str">
            <v>—</v>
          </cell>
          <cell r="F41" t="str">
            <v>—</v>
          </cell>
          <cell r="G41" t="str">
            <v>—</v>
          </cell>
          <cell r="H41" t="str">
            <v>—</v>
          </cell>
          <cell r="I41" t="str">
            <v>—</v>
          </cell>
          <cell r="J41">
            <v>0</v>
          </cell>
          <cell r="K41">
            <v>0</v>
          </cell>
          <cell r="L41" t="str">
            <v>—</v>
          </cell>
          <cell r="M41" t="str">
            <v>—</v>
          </cell>
          <cell r="N41" t="str">
            <v>—</v>
          </cell>
          <cell r="O41" t="str">
            <v>—</v>
          </cell>
        </row>
        <row r="42">
          <cell r="A42" t="str">
            <v xml:space="preserve">    + Repayments of LT Debt</v>
          </cell>
          <cell r="C42" t="str">
            <v>—</v>
          </cell>
          <cell r="D42" t="str">
            <v>—</v>
          </cell>
          <cell r="E42" t="str">
            <v>—</v>
          </cell>
          <cell r="F42" t="str">
            <v>—</v>
          </cell>
          <cell r="G42" t="str">
            <v>—</v>
          </cell>
          <cell r="H42" t="str">
            <v>—</v>
          </cell>
          <cell r="I42" t="str">
            <v>—</v>
          </cell>
          <cell r="J42">
            <v>0</v>
          </cell>
          <cell r="K42">
            <v>0</v>
          </cell>
          <cell r="L42" t="str">
            <v>—</v>
          </cell>
          <cell r="M42" t="str">
            <v>—</v>
          </cell>
          <cell r="N42" t="str">
            <v>—</v>
          </cell>
          <cell r="O42" t="str">
            <v>—</v>
          </cell>
        </row>
        <row r="43">
          <cell r="A43" t="str">
            <v xml:space="preserve">  + Cash (Repurchase) of Equity</v>
          </cell>
          <cell r="C43">
            <v>-325.60000000000002</v>
          </cell>
          <cell r="D43">
            <v>-162.30000000000001</v>
          </cell>
          <cell r="E43">
            <v>-379</v>
          </cell>
          <cell r="F43">
            <v>-127.2</v>
          </cell>
          <cell r="G43">
            <v>-78.5</v>
          </cell>
          <cell r="H43">
            <v>-43.4</v>
          </cell>
          <cell r="I43">
            <v>-136.4</v>
          </cell>
          <cell r="J43">
            <v>-70.599999999999994</v>
          </cell>
          <cell r="K43">
            <v>-100.4</v>
          </cell>
          <cell r="L43">
            <v>7.6</v>
          </cell>
          <cell r="M43">
            <v>-113.8</v>
          </cell>
          <cell r="N43">
            <v>-16.7</v>
          </cell>
          <cell r="O43">
            <v>23.6</v>
          </cell>
        </row>
        <row r="44">
          <cell r="A44" t="str">
            <v xml:space="preserve">    + Increase in Capital Stock</v>
          </cell>
          <cell r="C44">
            <v>48.4</v>
          </cell>
          <cell r="D44">
            <v>213.1</v>
          </cell>
          <cell r="E44">
            <v>260.60000000000002</v>
          </cell>
          <cell r="F44">
            <v>156</v>
          </cell>
          <cell r="G44">
            <v>87.7</v>
          </cell>
          <cell r="H44">
            <v>90.4</v>
          </cell>
          <cell r="I44">
            <v>69.900000000000006</v>
          </cell>
          <cell r="J44">
            <v>62.4</v>
          </cell>
          <cell r="K44">
            <v>26.8</v>
          </cell>
          <cell r="L44">
            <v>35.9</v>
          </cell>
          <cell r="M44">
            <v>57.9</v>
          </cell>
          <cell r="N44">
            <v>40.200000000000003</v>
          </cell>
          <cell r="O44">
            <v>98.7</v>
          </cell>
        </row>
        <row r="45">
          <cell r="A45" t="str">
            <v xml:space="preserve">    + Decrease in Capital Stock</v>
          </cell>
          <cell r="C45">
            <v>-374</v>
          </cell>
          <cell r="D45">
            <v>-375.4</v>
          </cell>
          <cell r="E45">
            <v>-639.6</v>
          </cell>
          <cell r="F45">
            <v>-283.2</v>
          </cell>
          <cell r="G45">
            <v>-166.2</v>
          </cell>
          <cell r="H45">
            <v>-133.80000000000001</v>
          </cell>
          <cell r="I45">
            <v>-206.3</v>
          </cell>
          <cell r="J45">
            <v>-133</v>
          </cell>
          <cell r="K45">
            <v>-127.3</v>
          </cell>
          <cell r="L45">
            <v>-28.3</v>
          </cell>
          <cell r="M45">
            <v>-171.7</v>
          </cell>
          <cell r="N45">
            <v>-56.9</v>
          </cell>
          <cell r="O45">
            <v>-75.099999999999994</v>
          </cell>
        </row>
        <row r="46">
          <cell r="A46" t="str">
            <v xml:space="preserve">  + Other Financing Activities</v>
          </cell>
          <cell r="C46">
            <v>-3.3</v>
          </cell>
          <cell r="D46">
            <v>-0.9</v>
          </cell>
          <cell r="E46">
            <v>-1.8</v>
          </cell>
          <cell r="F46">
            <v>-0.1</v>
          </cell>
          <cell r="G46">
            <v>-5.2</v>
          </cell>
          <cell r="H46">
            <v>0</v>
          </cell>
          <cell r="I46">
            <v>-101.5</v>
          </cell>
          <cell r="J46">
            <v>-37.5</v>
          </cell>
          <cell r="K46">
            <v>0</v>
          </cell>
          <cell r="L46">
            <v>0</v>
          </cell>
          <cell r="M46">
            <v>0</v>
          </cell>
          <cell r="N46">
            <v>0</v>
          </cell>
          <cell r="O46">
            <v>0</v>
          </cell>
        </row>
        <row r="47">
          <cell r="A47" t="str">
            <v xml:space="preserve">  + Net Cash From Disc Ops</v>
          </cell>
          <cell r="C47">
            <v>0</v>
          </cell>
          <cell r="D47">
            <v>0</v>
          </cell>
          <cell r="E47">
            <v>0</v>
          </cell>
          <cell r="F47">
            <v>0</v>
          </cell>
          <cell r="G47">
            <v>0</v>
          </cell>
          <cell r="H47">
            <v>0</v>
          </cell>
          <cell r="I47">
            <v>0</v>
          </cell>
          <cell r="J47">
            <v>0</v>
          </cell>
          <cell r="K47">
            <v>0</v>
          </cell>
          <cell r="L47">
            <v>0</v>
          </cell>
          <cell r="M47">
            <v>0</v>
          </cell>
          <cell r="N47">
            <v>0</v>
          </cell>
          <cell r="O47">
            <v>0</v>
          </cell>
        </row>
        <row r="48">
          <cell r="A48" t="str">
            <v>Cash from Financing Activities</v>
          </cell>
          <cell r="C48">
            <v>-1212</v>
          </cell>
          <cell r="D48">
            <v>-536.6</v>
          </cell>
          <cell r="E48">
            <v>-1592.4</v>
          </cell>
          <cell r="F48">
            <v>-711.9</v>
          </cell>
          <cell r="G48">
            <v>-741.9</v>
          </cell>
          <cell r="H48">
            <v>3247.4</v>
          </cell>
          <cell r="I48">
            <v>-290.8</v>
          </cell>
          <cell r="J48">
            <v>-159.4</v>
          </cell>
          <cell r="K48">
            <v>-202.4</v>
          </cell>
          <cell r="L48">
            <v>548.4</v>
          </cell>
          <cell r="M48">
            <v>-170.2</v>
          </cell>
          <cell r="N48">
            <v>276.2</v>
          </cell>
          <cell r="O48">
            <v>-328.9</v>
          </cell>
        </row>
        <row r="49">
          <cell r="A49"/>
          <cell r="C49" t="str">
            <v> </v>
          </cell>
          <cell r="D49" t="str">
            <v> </v>
          </cell>
          <cell r="E49" t="str">
            <v> </v>
          </cell>
          <cell r="F49" t="str">
            <v> </v>
          </cell>
          <cell r="G49" t="str">
            <v> </v>
          </cell>
          <cell r="H49" t="str">
            <v> </v>
          </cell>
          <cell r="I49" t="str">
            <v> </v>
          </cell>
          <cell r="J49" t="str">
            <v> </v>
          </cell>
          <cell r="K49" t="str">
            <v> </v>
          </cell>
          <cell r="L49" t="str">
            <v> </v>
          </cell>
          <cell r="M49" t="str">
            <v> </v>
          </cell>
          <cell r="N49" t="str">
            <v> </v>
          </cell>
          <cell r="O49" t="str">
            <v> </v>
          </cell>
        </row>
        <row r="50">
          <cell r="A50" t="str">
            <v xml:space="preserve">  Effect of Foreign Exchange Rates</v>
          </cell>
          <cell r="C50">
            <v>128.19999999999999</v>
          </cell>
          <cell r="D50">
            <v>-67.5</v>
          </cell>
          <cell r="E50">
            <v>70.599999999999994</v>
          </cell>
          <cell r="F50">
            <v>89.8</v>
          </cell>
          <cell r="G50">
            <v>-87.4</v>
          </cell>
          <cell r="H50">
            <v>36.9</v>
          </cell>
          <cell r="I50">
            <v>65.3</v>
          </cell>
          <cell r="J50">
            <v>-195.4</v>
          </cell>
          <cell r="K50">
            <v>35.700000000000003</v>
          </cell>
          <cell r="L50">
            <v>55.2</v>
          </cell>
          <cell r="M50">
            <v>38</v>
          </cell>
          <cell r="N50">
            <v>-35.9</v>
          </cell>
          <cell r="O50">
            <v>-13.5</v>
          </cell>
        </row>
        <row r="51">
          <cell r="A51"/>
          <cell r="C51" t="str">
            <v> </v>
          </cell>
          <cell r="D51" t="str">
            <v> </v>
          </cell>
          <cell r="E51" t="str">
            <v> </v>
          </cell>
          <cell r="F51" t="str">
            <v> </v>
          </cell>
          <cell r="G51" t="str">
            <v> </v>
          </cell>
          <cell r="H51" t="str">
            <v> </v>
          </cell>
          <cell r="I51" t="str">
            <v> </v>
          </cell>
          <cell r="J51" t="str">
            <v> </v>
          </cell>
          <cell r="K51" t="str">
            <v> </v>
          </cell>
          <cell r="L51" t="str">
            <v> </v>
          </cell>
          <cell r="M51" t="str">
            <v> </v>
          </cell>
          <cell r="N51" t="str">
            <v> </v>
          </cell>
          <cell r="O51" t="str">
            <v> </v>
          </cell>
        </row>
        <row r="52">
          <cell r="A52" t="str">
            <v>Net Changes in Cash</v>
          </cell>
          <cell r="C52">
            <v>384.3</v>
          </cell>
          <cell r="D52">
            <v>799.3</v>
          </cell>
          <cell r="E52">
            <v>-210.5</v>
          </cell>
          <cell r="F52">
            <v>830.6</v>
          </cell>
          <cell r="G52">
            <v>204</v>
          </cell>
          <cell r="H52">
            <v>-864.4</v>
          </cell>
          <cell r="I52">
            <v>349.9</v>
          </cell>
          <cell r="J52">
            <v>22.7</v>
          </cell>
          <cell r="K52">
            <v>156.19999999999999</v>
          </cell>
          <cell r="L52">
            <v>1176.3</v>
          </cell>
          <cell r="M52">
            <v>-633.70000000000005</v>
          </cell>
          <cell r="N52">
            <v>578.6</v>
          </cell>
          <cell r="O52">
            <v>5</v>
          </cell>
        </row>
        <row r="53">
          <cell r="A53"/>
          <cell r="C53" t="str">
            <v> </v>
          </cell>
          <cell r="D53" t="str">
            <v> </v>
          </cell>
          <cell r="E53" t="str">
            <v> </v>
          </cell>
          <cell r="F53" t="str">
            <v> </v>
          </cell>
          <cell r="G53" t="str">
            <v> </v>
          </cell>
          <cell r="H53" t="str">
            <v> </v>
          </cell>
          <cell r="I53" t="str">
            <v> </v>
          </cell>
          <cell r="J53" t="str">
            <v> </v>
          </cell>
          <cell r="K53" t="str">
            <v> </v>
          </cell>
          <cell r="L53" t="str">
            <v> </v>
          </cell>
          <cell r="M53" t="str">
            <v> </v>
          </cell>
          <cell r="N53" t="str">
            <v> </v>
          </cell>
          <cell r="O53" t="str">
            <v> </v>
          </cell>
        </row>
        <row r="54">
          <cell r="A54" t="str">
            <v>Cash Paid for Taxes</v>
          </cell>
          <cell r="C54" t="str">
            <v>—</v>
          </cell>
          <cell r="D54">
            <v>415.3</v>
          </cell>
          <cell r="E54">
            <v>317.39999999999998</v>
          </cell>
          <cell r="F54">
            <v>141.4</v>
          </cell>
          <cell r="G54">
            <v>250.4</v>
          </cell>
          <cell r="H54">
            <v>134.6</v>
          </cell>
          <cell r="I54">
            <v>170.6</v>
          </cell>
          <cell r="J54">
            <v>210.1</v>
          </cell>
          <cell r="K54">
            <v>309.5</v>
          </cell>
          <cell r="L54">
            <v>209.3</v>
          </cell>
          <cell r="M54">
            <v>189.4</v>
          </cell>
          <cell r="N54">
            <v>143.19999999999999</v>
          </cell>
          <cell r="O54">
            <v>105.4</v>
          </cell>
        </row>
        <row r="55">
          <cell r="A55" t="str">
            <v>Cash Paid for Interest</v>
          </cell>
          <cell r="C55" t="str">
            <v>—</v>
          </cell>
          <cell r="D55">
            <v>35.700000000000003</v>
          </cell>
          <cell r="E55">
            <v>22.4</v>
          </cell>
          <cell r="F55">
            <v>23.4</v>
          </cell>
          <cell r="G55">
            <v>33.6</v>
          </cell>
          <cell r="H55">
            <v>28.5</v>
          </cell>
          <cell r="I55">
            <v>13</v>
          </cell>
          <cell r="J55">
            <v>12</v>
          </cell>
          <cell r="K55">
            <v>11.3</v>
          </cell>
          <cell r="L55">
            <v>6.4</v>
          </cell>
          <cell r="M55">
            <v>5.2</v>
          </cell>
          <cell r="N55">
            <v>5.4</v>
          </cell>
          <cell r="O55">
            <v>6.4</v>
          </cell>
        </row>
        <row r="56">
          <cell r="A56"/>
          <cell r="C56" t="str">
            <v> </v>
          </cell>
          <cell r="D56" t="str">
            <v> </v>
          </cell>
          <cell r="E56" t="str">
            <v> </v>
          </cell>
          <cell r="F56" t="str">
            <v> </v>
          </cell>
          <cell r="G56" t="str">
            <v> </v>
          </cell>
          <cell r="H56" t="str">
            <v> </v>
          </cell>
          <cell r="I56" t="str">
            <v> </v>
          </cell>
          <cell r="J56" t="str">
            <v> </v>
          </cell>
          <cell r="K56" t="str">
            <v> </v>
          </cell>
          <cell r="L56" t="str">
            <v> </v>
          </cell>
          <cell r="M56" t="str">
            <v> </v>
          </cell>
          <cell r="N56" t="str">
            <v> </v>
          </cell>
          <cell r="O56" t="str">
            <v> </v>
          </cell>
        </row>
        <row r="57">
          <cell r="A57" t="str">
            <v>Reference Items</v>
          </cell>
          <cell r="C57" t="str">
            <v> </v>
          </cell>
          <cell r="D57" t="str">
            <v> </v>
          </cell>
          <cell r="E57" t="str">
            <v> </v>
          </cell>
          <cell r="F57" t="str">
            <v> </v>
          </cell>
          <cell r="G57" t="str">
            <v> </v>
          </cell>
          <cell r="H57" t="str">
            <v> </v>
          </cell>
          <cell r="I57" t="str">
            <v> </v>
          </cell>
          <cell r="J57" t="str">
            <v> </v>
          </cell>
          <cell r="K57" t="str">
            <v> </v>
          </cell>
          <cell r="L57" t="str">
            <v> </v>
          </cell>
          <cell r="M57" t="str">
            <v> </v>
          </cell>
          <cell r="N57" t="str">
            <v> </v>
          </cell>
          <cell r="O57" t="str">
            <v> </v>
          </cell>
        </row>
        <row r="58">
          <cell r="A58" t="str">
            <v>EBITDA</v>
          </cell>
          <cell r="C58">
            <v>1920.6</v>
          </cell>
          <cell r="D58">
            <v>1811.4</v>
          </cell>
          <cell r="E58">
            <v>1899.7</v>
          </cell>
          <cell r="F58">
            <v>1594</v>
          </cell>
          <cell r="G58">
            <v>1274.2</v>
          </cell>
          <cell r="H58">
            <v>1208.8</v>
          </cell>
          <cell r="I58">
            <v>1005.9</v>
          </cell>
          <cell r="J58">
            <v>946.7</v>
          </cell>
          <cell r="K58">
            <v>878.5</v>
          </cell>
          <cell r="L58">
            <v>844.6</v>
          </cell>
          <cell r="M58">
            <v>607.20000000000005</v>
          </cell>
          <cell r="N58">
            <v>644.4</v>
          </cell>
          <cell r="O58">
            <v>633.1</v>
          </cell>
        </row>
        <row r="59">
          <cell r="A59" t="str">
            <v>Trailing 12M EBITDA Margin</v>
          </cell>
          <cell r="C59">
            <v>30.91</v>
          </cell>
          <cell r="D59">
            <v>30.44</v>
          </cell>
          <cell r="E59">
            <v>33.53</v>
          </cell>
          <cell r="F59">
            <v>32.799999999999997</v>
          </cell>
          <cell r="G59">
            <v>28.62</v>
          </cell>
          <cell r="H59">
            <v>30.08</v>
          </cell>
          <cell r="I59">
            <v>28.93</v>
          </cell>
          <cell r="J59">
            <v>29.33</v>
          </cell>
          <cell r="K59">
            <v>28.75</v>
          </cell>
          <cell r="L59">
            <v>29.75</v>
          </cell>
          <cell r="M59">
            <v>26.46</v>
          </cell>
          <cell r="N59">
            <v>31.19</v>
          </cell>
          <cell r="O59">
            <v>31.21</v>
          </cell>
        </row>
        <row r="60">
          <cell r="A60" t="str">
            <v>Net Cash Paid for Acquisitions</v>
          </cell>
          <cell r="C60">
            <v>22.5</v>
          </cell>
          <cell r="D60">
            <v>16.100000000000001</v>
          </cell>
          <cell r="E60">
            <v>46.4</v>
          </cell>
          <cell r="F60">
            <v>21.4</v>
          </cell>
          <cell r="G60">
            <v>89.5</v>
          </cell>
          <cell r="H60">
            <v>5211.7</v>
          </cell>
          <cell r="I60">
            <v>251.6</v>
          </cell>
          <cell r="J60">
            <v>338.2</v>
          </cell>
          <cell r="K60">
            <v>262.7</v>
          </cell>
          <cell r="L60">
            <v>20.2</v>
          </cell>
          <cell r="M60">
            <v>952.9</v>
          </cell>
          <cell r="N60">
            <v>213.4</v>
          </cell>
          <cell r="O60">
            <v>281.5</v>
          </cell>
        </row>
        <row r="61">
          <cell r="A61" t="str">
            <v>Free Cash Flow</v>
          </cell>
          <cell r="C61">
            <v>1466.5</v>
          </cell>
          <cell r="D61">
            <v>1419.8</v>
          </cell>
          <cell r="E61">
            <v>1392.9</v>
          </cell>
          <cell r="F61">
            <v>1509.4</v>
          </cell>
          <cell r="G61">
            <v>1114.3</v>
          </cell>
          <cell r="H61">
            <v>1087.8</v>
          </cell>
          <cell r="I61">
            <v>826.2</v>
          </cell>
          <cell r="J61">
            <v>660.5</v>
          </cell>
          <cell r="K61">
            <v>565.1</v>
          </cell>
          <cell r="L61">
            <v>589.70000000000005</v>
          </cell>
          <cell r="M61">
            <v>454.1</v>
          </cell>
          <cell r="N61">
            <v>464.5</v>
          </cell>
          <cell r="O61">
            <v>525.70000000000005</v>
          </cell>
        </row>
        <row r="62">
          <cell r="A62" t="str">
            <v>Free Cash Flow to Firm</v>
          </cell>
          <cell r="C62">
            <v>1466.5</v>
          </cell>
          <cell r="D62">
            <v>1452.2</v>
          </cell>
          <cell r="E62">
            <v>1411.4</v>
          </cell>
          <cell r="F62">
            <v>1531.1</v>
          </cell>
          <cell r="G62">
            <v>1142.2</v>
          </cell>
          <cell r="H62">
            <v>1106.5</v>
          </cell>
          <cell r="I62">
            <v>837.3</v>
          </cell>
          <cell r="J62">
            <v>669.1</v>
          </cell>
          <cell r="K62">
            <v>582.4</v>
          </cell>
          <cell r="L62">
            <v>594.4</v>
          </cell>
          <cell r="M62">
            <v>457.8</v>
          </cell>
          <cell r="N62">
            <v>466.5</v>
          </cell>
          <cell r="O62">
            <v>530.70000000000005</v>
          </cell>
        </row>
        <row r="63">
          <cell r="A63" t="str">
            <v>Free Cash Flow to Equity</v>
          </cell>
          <cell r="C63">
            <v>886.1</v>
          </cell>
          <cell r="D63">
            <v>1322.6</v>
          </cell>
          <cell r="E63">
            <v>404.8</v>
          </cell>
          <cell r="F63">
            <v>1071.9000000000001</v>
          </cell>
          <cell r="G63">
            <v>638.6</v>
          </cell>
          <cell r="H63">
            <v>4547.3999999999996</v>
          </cell>
          <cell r="I63">
            <v>811.3</v>
          </cell>
          <cell r="J63">
            <v>660.5</v>
          </cell>
          <cell r="K63">
            <v>565.1</v>
          </cell>
          <cell r="L63">
            <v>1228.9000000000001</v>
          </cell>
          <cell r="M63">
            <v>433.4</v>
          </cell>
          <cell r="N63">
            <v>792.2</v>
          </cell>
          <cell r="O63">
            <v>261</v>
          </cell>
        </row>
        <row r="64">
          <cell r="A64" t="str">
            <v>Free Cash Flow per Basic Share</v>
          </cell>
          <cell r="C64">
            <v>1.1200000000000001</v>
          </cell>
          <cell r="D64">
            <v>1.08</v>
          </cell>
          <cell r="E64">
            <v>1.06</v>
          </cell>
          <cell r="F64">
            <v>1.1499999999999999</v>
          </cell>
          <cell r="G64">
            <v>0.86</v>
          </cell>
          <cell r="H64">
            <v>0.84</v>
          </cell>
          <cell r="I64">
            <v>0.64</v>
          </cell>
          <cell r="J64">
            <v>0.52</v>
          </cell>
          <cell r="K64">
            <v>0.45</v>
          </cell>
          <cell r="L64">
            <v>0.47</v>
          </cell>
          <cell r="M64">
            <v>0.36</v>
          </cell>
          <cell r="N64">
            <v>0.37</v>
          </cell>
          <cell r="O64">
            <v>0.43</v>
          </cell>
        </row>
        <row r="65">
          <cell r="A65" t="str">
            <v>Price to Free Cash Flow</v>
          </cell>
          <cell r="C65">
            <v>30</v>
          </cell>
          <cell r="D65">
            <v>40.97</v>
          </cell>
          <cell r="E65">
            <v>31.56</v>
          </cell>
          <cell r="F65">
            <v>45.39</v>
          </cell>
          <cell r="G65">
            <v>38.83</v>
          </cell>
          <cell r="H65">
            <v>34.950000000000003</v>
          </cell>
          <cell r="I65">
            <v>32.43</v>
          </cell>
          <cell r="J65">
            <v>34.19</v>
          </cell>
          <cell r="K65">
            <v>32.53</v>
          </cell>
          <cell r="L65">
            <v>31.59</v>
          </cell>
          <cell r="M65">
            <v>27.92</v>
          </cell>
          <cell r="N65">
            <v>24.26</v>
          </cell>
          <cell r="O65">
            <v>19.75</v>
          </cell>
        </row>
        <row r="66">
          <cell r="A66" t="str">
            <v>Cash Flow to Net Income</v>
          </cell>
          <cell r="C66">
            <v>1.38</v>
          </cell>
          <cell r="D66">
            <v>1.49</v>
          </cell>
          <cell r="E66">
            <v>1.64</v>
          </cell>
          <cell r="F66">
            <v>2.08</v>
          </cell>
          <cell r="G66">
            <v>2.5299999999999998</v>
          </cell>
          <cell r="H66">
            <v>1.93</v>
          </cell>
          <cell r="I66">
            <v>1.58</v>
          </cell>
          <cell r="J66">
            <v>1.43</v>
          </cell>
          <cell r="K66">
            <v>1.39</v>
          </cell>
          <cell r="L66">
            <v>1.57</v>
          </cell>
          <cell r="M66">
            <v>1.71</v>
          </cell>
          <cell r="N66">
            <v>1.44</v>
          </cell>
          <cell r="O66">
            <v>1.69</v>
          </cell>
        </row>
        <row r="67">
          <cell r="A67" t="str">
            <v>Source: Bloomberg</v>
          </cell>
          <cell r="C67"/>
          <cell r="D67"/>
          <cell r="E67"/>
          <cell r="F67"/>
          <cell r="G67"/>
          <cell r="H67"/>
          <cell r="I67"/>
          <cell r="J67"/>
          <cell r="K67"/>
          <cell r="L67"/>
          <cell r="M67"/>
          <cell r="N67"/>
          <cell r="O67"/>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JOÃO RAFAEL PEREIRA ARAÚJO" id="{5490C1B1-9053-42D1-B573-580E3E195815}" userId="S::l62922@aln.iseg.ulisboa.pt::dc39391c-bf64-4cca-963d-ec7581b9490c" providerId="AD"/>
  <person displayName="Maria Ana Serra Gama Rocha" id="{CF7EF81C-7C55-44DB-BDD8-B4EC1E5BD8B1}" userId="S::maria.ana.rocha@aln.iseg.ulisboa.pt::371905ad-038a-4d51-a4ef-2d983aa6b196"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5">
  <a r="1">
    <v t="i">0</v>
  </a>
  <a r="1">
    <v>174.96</v>
  </a>
  <a r="1">
    <v>44.234999999999999</v>
  </a>
  <a r="1">
    <v>169.92</v>
  </a>
  <a r="1">
    <v>243.48</v>
  </a>
</arrayData>
</file>

<file path=xl/richData/rdrichvalue.xml><?xml version="1.0" encoding="utf-8"?>
<rvData xmlns="http://schemas.microsoft.com/office/spreadsheetml/2017/richdata" count="19">
  <rv s="0">
    <v>https://www.bing.com/financeapi/forcetrigger?t=ae8e9c&amp;q=XPAR%3aDSY&amp;form=skydnc</v>
    <v>Learn more on Bing</v>
  </rv>
  <rv s="1">
    <v>en-US</v>
    <v>ae8e9c</v>
    <v>268435456</v>
    <v>1</v>
    <v>Powered by Refinitiv</v>
    <v>0</v>
    <v>Dassault Systemes SE (XPAR:DSY)</v>
    <v>2</v>
    <v>3</v>
    <v>Finance</v>
    <v>4</v>
    <v>41.17</v>
    <v>25.01</v>
    <v>0.68200000000000005</v>
    <v>-0.52</v>
    <v>-1.984E-2</v>
    <v>EUR</v>
    <v>Dassault Systemes SE is a France-based software company, which provides different kind of three-dimensional (3D) solutions. Its product, 3DEXPERIENCE, is a business experience platform structured in four quadrants encompassing twelve brands: Social and Collaborative applications (including ENOVIA, 3DEXCITE, CENTRIC PLM), 3D Modeling applications (including SOLIDWORKS, CATIA, GEOVIA, BIOVIA); Simulation applications (including 3DVIA, DELMIA, SIMULIA) and Information Intelligence applications (including NETVIBES, EXALEAD,MEDIADATA). The Company's structure is divided into three sectors: Manufacturing Industries (Transportation &amp; Mobility; Aerospace &amp; Defense; Marine &amp; Offshore; Industrial Equipment; High-Tech; Home &amp; Lifestyle; Consumer Packaged Goods &amp; Retail) Life Sciences &amp; Healthcare (Life Sciences) - (Life Sciences) Infrastructure &amp; Cities (Energy &amp; Materials; Construction, Cities and Territories; Business Services).</v>
    <v>26070</v>
    <v>Euronext Paris</v>
    <v>XPAR</v>
    <v>XPAR</v>
    <v>10, rue Marcel Dassault, Paris Campus, VELIZY VILLACOUBLAY, ILE-DE-FRANCE, 78140 FR</v>
    <v>26.43</v>
    <v>Software &amp; IT Services</v>
    <v>Stock</v>
    <v>45954.666666666664</v>
    <v>0</v>
    <v>25.54</v>
    <v>40404660000</v>
    <v>Dassault Systemes SE</v>
    <v>Dassault Systemes SE</v>
    <v>26.3</v>
    <v>30.116099999999999</v>
    <v>26.21</v>
    <v>25.69</v>
    <v>1341456000</v>
    <v>DSY</v>
    <v>Dassault Systemes SE (XPAR:DSY)</v>
    <v>3353364</v>
    <v>1548090</v>
    <v>1981</v>
  </rv>
  <rv s="2">
    <v>1</v>
  </rv>
  <rv s="0">
    <v>https://www.bing.com/financeapi/forcetrigger?t=af8e5r&amp;q=XFRA%3aDSY&amp;form=skydnc</v>
    <v>Learn more on Bing</v>
  </rv>
  <rv s="1">
    <v>en-US</v>
    <v>af8e5r</v>
    <v>268435456</v>
    <v>1</v>
    <v>Powered by Refinitiv</v>
    <v>0</v>
    <v>Dassault Systemes SE (XFRA:DSY)</v>
    <v>2</v>
    <v>5</v>
    <v>Finance</v>
    <v>4</v>
    <v>222</v>
    <v>24</v>
    <v>0.99390000000000001</v>
    <v>-0.2</v>
    <v>-7.7520000000000002E-3</v>
    <v>EUR</v>
    <v>Dassault Systemes SE is a France-based software company, which provides different kind of three-dimensional (3D) solutions. Its product, 3DEXPERIENCE, is a business experience platform structured in four quadrants encompassing twelve brands: Social and Collaborative applications (including ENOVIA, 3DEXCITE, CENTRIC PLM), 3D Modeling applications (including SOLIDWORKS, CATIA, GEOVIA, BIOVIA); Simulation applications (including 3DVIA, DELMIA, SIMULIA) and Information Intelligence applications (including NETVIBES, EXALEAD,MEDIADATA). The Company's structure is divided into three sectors: Manufacturing Industries (Transportation &amp; Mobility; Aerospace &amp; Defense; Marine &amp; Offshore; Industrial Equipment; High-Tech; Home &amp; Lifestyle; Consumer Packaged Goods &amp; Retail) Life Sciences &amp; Healthcare (Life Sciences) - (Life Sciences) Infrastructure &amp; Cities (Energy &amp; Materials; Construction, Cities and Territories; Business Services).</v>
    <v>26070</v>
    <v>Deutsche Boerse AG</v>
    <v>XFRA</v>
    <v>XFRA</v>
    <v>10, rue Marcel Dassault, Paris Campus, VELIZY VILLACOUBLAY, ILE-DE-FRANCE, 78140 FR</v>
    <v>26</v>
    <v>Software &amp; IT Services</v>
    <v>Stock</v>
    <v>45954.836805555555</v>
    <v>3</v>
    <v>25.6</v>
    <v>47094560000</v>
    <v>Dassault Systemes SE</v>
    <v>Dassault Systemes SE</v>
    <v>26</v>
    <v>35.200000000000003</v>
    <v>25.8</v>
    <v>25.6</v>
    <v>1341456000</v>
    <v>DSY</v>
    <v>Dassault Systemes SE (XFRA:DSY)</v>
    <v>60</v>
    <v>330200</v>
    <v>1981</v>
  </rv>
  <rv s="2">
    <v>4</v>
  </rv>
  <rv s="0">
    <v>https://www.bing.com/financeapi/forcetrigger?t=a21d7w&amp;q=XNAS%3aPTC&amp;form=skydnc</v>
    <v>Learn more on Bing</v>
  </rv>
  <rv s="3">
    <v>en-US</v>
    <v>a21d7w</v>
    <v>268435456</v>
    <v>1</v>
    <v>Powered by Refinitiv</v>
    <v>6</v>
    <v>PTC INC. (XNAS:PTC)</v>
    <v>2</v>
    <v>7</v>
    <v>Finance</v>
    <v>8</v>
    <v>219.69</v>
    <v>133.38</v>
    <v>1.1591</v>
    <v>0.14000000000000001</v>
    <v>4.7360000000000006E-3</v>
    <v>6.8400000000000004E-4</v>
    <v>0.97</v>
    <v>USD</v>
    <v>PTC Inc. is a global software company that enables industrial and manufacturing companies to digitally transform how they engineer, manufacture, and service the physical products. Its computer-aided design (CAD) portfolio solutions enable companies to author product data. Its product lifecycle management (PLM) portfolio solutions enable companies to manage product data and orchestrate processes. Its software can be delivered on premises, in the cloud or in a hybrid model. Its PLM products and services include Windchill PLM, ThingWorx, ServiceMax, Arena, Codebeamer, Servigistics, FlexPLM and Kepware. Its CAD products and services include Creo 3D, Onshape, Vuforia and Arbortext. Its Windchill PLM application suite manages all aspects of the product development lifecycle-from concept through service and retirement-by enabling a digital thread of product parts, materials and configuration information. Its ThingWorx platform is flexible and purpose-built for industrial Internet of things.</v>
    <v>7501</v>
    <v>Nasdaq Stock Market</v>
    <v>XNAS</v>
    <v>XNAS</v>
    <v>121 Seaport Blvd., BOSTON, MA, 02210 US</v>
    <v>206.565</v>
    <v>Software &amp; IT Services</v>
    <v>Stock</v>
    <v>45954.99483876094</v>
    <v>6</v>
    <v>204.60499999999999</v>
    <v>24503600000</v>
    <v>PTC INC.</v>
    <v>PTC INC.</v>
    <v>206.15</v>
    <v>48.283700000000003</v>
    <v>204.67</v>
    <v>204.81</v>
    <v>205.78</v>
    <v>119792700</v>
    <v>PTC</v>
    <v>PTC INC. (XNAS:PTC)</v>
    <v>534074</v>
    <v>717347</v>
    <v>1985</v>
  </rv>
  <rv s="2">
    <v>7</v>
  </rv>
  <rv s="0">
    <v>https://www.bing.com/financeapi/forcetrigger?t=afkr7w&amp;q=XFRA%3aSIE&amp;form=skydnc</v>
    <v>Learn more on Bing</v>
  </rv>
  <rv s="1">
    <v>en-US</v>
    <v>afkr7w</v>
    <v>268435456</v>
    <v>1</v>
    <v>Powered by Refinitiv</v>
    <v>0</v>
    <v>Siemens AG (XFRA:SIE)</v>
    <v>2</v>
    <v>3</v>
    <v>Finance</v>
    <v>4</v>
    <v>250</v>
    <v>58.95</v>
    <v>1.2168000000000001</v>
    <v>3.85</v>
    <v>1.6085000000000002E-2</v>
    <v>EUR</v>
    <v>Siemens AG is a Germany-based technology company, which is focused on the areas of automation and digitalization in the process and manufacturing industries, intelligent infrastructure for buildings and distributed energy systems, smart mobility solutions for rail transport, and medical technology and digital healthcare services. The Company operates through the segments: Digital Industries, which offers products and system solutions for automation used in discrete and process industries; Smart Infrastructure, which supplies and connects energy systems and building technologies; Mobility, which combines all businesses in the area of rail passenger and rail freight transportation; Siemens Healthineers, which provides healthcare products, solutions and services; and Siemens Financial Services (SFS), which offers leasing solutions and equipment, project and structured financing in the form of debt and equity investments.</v>
    <v>229000</v>
    <v>Deutsche Boerse AG</v>
    <v>XFRA</v>
    <v>XFRA</v>
    <v>Werner-von-Siemens-Strasse 1, MUENCHEN, BAYERN, 80333 DE</v>
    <v>243.2</v>
    <v>Machinery, Equipment &amp; Components</v>
    <v>Stock</v>
    <v>45954.836805555555</v>
    <v>9</v>
    <v>240</v>
    <v>193520000000</v>
    <v>Siemens AG</v>
    <v>Siemens AG</v>
    <v>240</v>
    <v>23.49</v>
    <v>239.35</v>
    <v>243.2</v>
    <v>800000000</v>
    <v>SIE</v>
    <v>Siemens AG (XFRA:SIE)</v>
    <v>594</v>
    <v>823370</v>
    <v>1996</v>
  </rv>
  <rv s="2">
    <v>10</v>
  </rv>
  <rv s="0">
    <v>https://www.bing.com/financeapi/forcetrigger?t=a1mwoc&amp;q=XNAS%3aADSK&amp;form=skydnc</v>
    <v>Learn more on Bing</v>
  </rv>
  <rv s="3">
    <v>en-US</v>
    <v>a1mwoc</v>
    <v>268435456</v>
    <v>1</v>
    <v>Powered by Refinitiv</v>
    <v>6</v>
    <v>AUTODESK, INC. (XNAS:ADSK)</v>
    <v>2</v>
    <v>7</v>
    <v>Finance</v>
    <v>8</v>
    <v>329.09</v>
    <v>232.67</v>
    <v>1.5165999999999999</v>
    <v>3.04</v>
    <v>0</v>
    <v>9.8119999999999995E-3</v>
    <v>0</v>
    <v>USD</v>
    <v>Autodesk, Inc. is engaged in three-dimensional (3D) design, engineering and entertainment technology solutions, spanning architecture, engineering, construction, product design, manufacturing, media and entertainment. Its architecture, engineering, construction and operations products improve the way building, infrastructure, and industrial projects are designed, built, and operated. Its product development and manufacturing software provides manufacturers in the automotive, transportation, industrial machinery, consumer products, and building product industries with comprehensive digital design, engineering, manufacturing, and production solutions. Its product offerings include AutoCAD Civil 3D, Autodesk Build, BIM Collaborate Pro, Revit, Tandem, AutoCAD, AutoCAD LT, Inventor, Vault, Maya, and 3ds Max. AutoCAD Civil 3D solution offers a surveying, design, analysis, and documentation solution for civil engineering, including land development, transportation, and environmental projects.</v>
    <v>14100</v>
    <v>Nasdaq Stock Market</v>
    <v>XNAS</v>
    <v>XNAS</v>
    <v>One Market, Ste. 400., SAN FRANCISCO, CA, 94105 US</v>
    <v>314.51</v>
    <v>Software &amp; IT Services</v>
    <v>Stock</v>
    <v>45954.993400022657</v>
    <v>12</v>
    <v>311.14999999999998</v>
    <v>65635950000</v>
    <v>AUTODESK, INC.</v>
    <v>AUTODESK, INC.</v>
    <v>313.01</v>
    <v>64.240799999999993</v>
    <v>309.83999999999997</v>
    <v>312.88</v>
    <v>312.88</v>
    <v>213000000</v>
    <v>ADSK</v>
    <v>AUTODESK, INC. (XNAS:ADSK)</v>
    <v>953311</v>
    <v>1355993</v>
    <v>1994</v>
  </rv>
  <rv s="2">
    <v>13</v>
  </rv>
  <rv s="4">
    <v>9</v>
    <v>PTC</v>
    <v>Daily</v>
    <v>45289</v>
    <v>45289</v>
    <v>0</v>
    <v>1</v>
    <v>638394048000000000,638765536153399104,0</v>
    <v>0</v>
    <v>a21d7w</v>
    <v>XNAS:PTC</v>
    <v>1</v>
  </rv>
  <rv s="4">
    <v>10</v>
    <v>DSY</v>
    <v>Daily</v>
    <v>45289</v>
    <v>45289</v>
    <v>0</v>
    <v>1</v>
    <v>638394048000000000,638762017195256898,0</v>
    <v>0</v>
    <v>ae8e9c</v>
    <v>XPAR:DSY</v>
    <v>2</v>
  </rv>
  <rv s="4">
    <v>10</v>
    <v>SIE</v>
    <v>Daily</v>
    <v>45289</v>
    <v>45289</v>
    <v>0</v>
    <v>1</v>
    <v>638394048000000000,638764689692814383,0</v>
    <v>0</v>
    <v>aftpzr</v>
    <v>XETR:SIE</v>
    <v>3</v>
  </rv>
  <rv s="4">
    <v>9</v>
    <v>ADSK</v>
    <v>Daily</v>
    <v>45289</v>
    <v>45289</v>
    <v>0</v>
    <v>1</v>
    <v>638394048000000000,638765536159782600,0</v>
    <v>0</v>
    <v>a1mwoc</v>
    <v>XNAS:ADSK</v>
    <v>4</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1">
    <spb s="0">
      <v>0</v>
      <v>Name</v>
      <v>LearnMoreOnLink</v>
    </spb>
    <spb s="1">
      <v>0</v>
      <v>0</v>
      <v>0</v>
    </spb>
    <spb s="2">
      <v>1</v>
      <v>1</v>
      <v>1</v>
      <v>1</v>
    </spb>
    <spb s="3">
      <v>1</v>
      <v>2</v>
      <v>2</v>
      <v>1</v>
      <v>3</v>
      <v>1</v>
      <v>1</v>
      <v>1</v>
      <v>4</v>
      <v>4</v>
      <v>5</v>
      <v>6</v>
      <v>1</v>
      <v>1</v>
      <v>1</v>
      <v>4</v>
      <v>7</v>
      <v>8</v>
      <v>9</v>
      <v>4</v>
    </spb>
    <spb s="4">
      <v>Delayed 15 minutes</v>
      <v>from previous close</v>
      <v>from previous close</v>
      <v>GMT</v>
    </spb>
    <spb s="3">
      <v>1</v>
      <v>2</v>
      <v>2</v>
      <v>1</v>
      <v>3</v>
      <v>1</v>
      <v>1</v>
      <v>1</v>
      <v>4</v>
      <v>4</v>
      <v>5</v>
      <v>10</v>
      <v>1</v>
      <v>1</v>
      <v>1</v>
      <v>4</v>
      <v>7</v>
      <v>8</v>
      <v>9</v>
      <v>4</v>
    </spb>
    <spb s="0">
      <v>1</v>
      <v>Name</v>
      <v>LearnMoreOnLink</v>
    </spb>
    <spb s="5">
      <v>11</v>
      <v>2</v>
      <v>2</v>
      <v>11</v>
      <v>3</v>
      <v>11</v>
      <v>11</v>
      <v>11</v>
      <v>4</v>
      <v>4</v>
      <v>5</v>
      <v>10</v>
      <v>11</v>
      <v>11</v>
      <v>11</v>
      <v>4</v>
      <v>7</v>
      <v>8</v>
      <v>9</v>
      <v>4</v>
      <v>11</v>
      <v>11</v>
      <v>5</v>
    </spb>
    <spb s="6">
      <v>at close</v>
      <v>from previous close</v>
      <v>from previous close</v>
      <v>Source: Nasdaq</v>
      <v>GMT</v>
      <v>Delayed 15 minutes</v>
      <v>from close</v>
      <v>from close</v>
    </spb>
    <spb s="7">
      <v>12</v>
      <v>11</v>
    </spb>
    <spb s="7">
      <v>12</v>
      <v>1</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dd/mm/yyyy\ hh:mm"/>
    </x:dxf>
    <x:dxf>
      <x:numFmt numFmtId="1" formatCode="0"/>
    </x:dxf>
    <x:dxf>
      <x:numFmt numFmtId="2" formatCode="0.00"/>
    </x:dxf>
    <x:dxf>
      <x:numFmt numFmtId="19" formatCode="dd/mm/yyyy"/>
    </x:dxf>
  </dxfs>
  <richProperties>
    <rPr n="NumberFormat" t="s"/>
    <rPr n="IsTitleField" t="b"/>
  </richProperties>
  <richStyles>
    <rSty dxfid="0">
      <rpv i="0">_([$€-x-euro2] * #,##0.00_);_([$€-x-euro2] * (#,##0.00);_([$€-x-euro2] * "-"??_);_(@_)</rpv>
    </rSty>
    <rSty dxfid="1">
      <rpv i="0">#,##0.00</rpv>
    </rSty>
    <rSty>
      <rpv i="1">1</rpv>
    </rSty>
    <rSty dxfid="2">
      <rpv i="0">#,##0</rpv>
    </rSty>
    <rSty dxfid="3"/>
    <rSty dxfid="0">
      <rpv i="0">_([$€-x-euro2] * #,##0_);_([$€-x-euro2] * (#,##0);_([$€-x-euro2] * "-"_);_(@_)</rpv>
    </rSty>
    <rSty dxfid="4"/>
    <rSty dxfid="5">
      <rpv i="0">0</rpv>
    </rSty>
    <rSty dxfid="6">
      <rpv i="0">0.00</rpv>
    </rSty>
    <rSty dxfid="0">
      <rpv i="0">_([$$-en-US]* #,##0_);_([$$-en-US]* (#,##0);_([$$-en-US]* "-"_);_(@_)</rpv>
    </rSty>
    <rSty dxfid="0">
      <rpv i="0">_([$$-en-US]* #,##0.00_);_([$$-en-US]* (#,##0.00);_([$$-en-US]* "-"??_);_(@_)</rpv>
    </rSty>
    <rSty dxfid="7"/>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32" dT="2025-02-26T11:44:18.22" personId="{5490C1B1-9053-42D1-B573-580E3E195815}" id="{E176ACA6-287A-49F3-8181-CD3B8909D741}">
    <tex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02-25T14:21:16.10" personId="{5490C1B1-9053-42D1-B573-580E3E195815}" id="{D2501883-7C6B-479D-B827-02B1A3911423}">
    <text>Mudar para 24 e 23</text>
  </threadedComment>
  <threadedComment ref="B17" dT="2025-02-21T14:16:13.13" personId="{5490C1B1-9053-42D1-B573-580E3E195815}" id="{67325B86-0323-45F0-8D9F-14E7F5C9A51B}">
    <text>Includes CATIA, ENOVIA, SIMULIA, DELMIA, GEOVIA, NETVIBES, and 3DEXCITE brands</text>
  </threadedComment>
  <threadedComment ref="B18" dT="2025-02-21T14:15:50.60" personId="{5490C1B1-9053-42D1-B573-580E3E195815}" id="{4AEA6477-A2F4-4D39-B215-6BCA8FD0AB13}">
    <text>Includes MEDIDATA and BIOVIA brands;</text>
  </threadedComment>
  <threadedComment ref="B19" dT="2025-02-21T14:16:31.80" personId="{5490C1B1-9053-42D1-B573-580E3E195815}" id="{C8E8CD6B-5880-4B2F-977E-FBBAD54F5346}">
    <text>Includes its CENTRIC PLM and 3DVIA brands, as well as its 3DEXPERIENCE WORKS family which includes the SOLIDWORKS brand.</text>
  </threadedComment>
</ThreadedComments>
</file>

<file path=xl/threadedComments/threadedComment3.xml><?xml version="1.0" encoding="utf-8"?>
<ThreadedComments xmlns="http://schemas.microsoft.com/office/spreadsheetml/2018/threadedcomments" xmlns:x="http://schemas.openxmlformats.org/spreadsheetml/2006/main">
  <threadedComment ref="D3" dT="2025-03-04T12:14:29.39" personId="{CF7EF81C-7C55-44DB-BDD8-B4EC1E5BD8B1}" id="{E8393CB8-8E91-466F-88B3-CAD656C13591}">
    <text>Siemens AG is included as a peer for Dassault Systèmes due to its Digital Industries division, which competes directly in the industrial software market. Both companies offer solutions in Product Lifecycle Management, industrial automation, and digital twin technologies, targeting similar industries such as automotive, aerospace, and machinery. Despite Siemens’ larger size and diversified operations, its software segment overlaps significantly with Dassault Systèmes’ core business, making it a relevant competitor for benchmarking performance and market position.</text>
  </threadedComment>
  <threadedComment ref="D4" dT="2025-03-04T12:12:32.94" personId="{CF7EF81C-7C55-44DB-BDD8-B4EC1E5BD8B1}" id="{C9A25370-489E-469E-984B-6A91D8065356}">
    <text>Diversified operations across multiple industries.</text>
  </threadedComment>
  <threadedComment ref="D5" dT="2025-03-04T12:12:49.27" personId="{CF7EF81C-7C55-44DB-BDD8-B4EC1E5BD8B1}" id="{C54E3542-C8DD-4C6D-8A54-78A768903D67}">
    <text>Mature markets with slower expansion.</text>
  </threadedComment>
  <threadedComment ref="C11" dT="2025-03-04T12:11:20.25" personId="{CF7EF81C-7C55-44DB-BDD8-B4EC1E5BD8B1}" id="{C261F9A5-EC9B-4B08-BEBB-2A8125CB2962}">
    <text>Aggressive growth strategy.</text>
  </threadedComment>
  <threadedComment ref="D14" dT="2025-03-04T12:13:09.07" personId="{CF7EF81C-7C55-44DB-BDD8-B4EC1E5BD8B1}" id="{E0208AB2-7E46-4E32-934D-2070E38382C6}">
    <text>Broader business with lower-margin sectors.</text>
  </threadedComment>
  <threadedComment ref="C16" dT="2025-03-04T12:12:00.14" personId="{CF7EF81C-7C55-44DB-BDD8-B4EC1E5BD8B1}" id="{C8F3BEB8-DE33-4460-A38A-F215EBD9C8DF}">
    <text>High liquidity due to most shares being publicly traded.</text>
  </threadedComment>
  <threadedComment ref="C17" dT="2025-03-04T12:11:45.91" personId="{CF7EF81C-7C55-44DB-BDD8-B4EC1E5BD8B1}" id="{5BA5589C-7ECA-40FB-AC27-997873B5426F}">
    <text>Growth-focused, higher-risk stock.</text>
  </threadedComment>
  <threadedComment ref="D17" dT="2025-03-04T12:13:25.82" personId="{CF7EF81C-7C55-44DB-BDD8-B4EC1E5BD8B1}" id="{A8897D98-7BC7-4559-BCD8-F4D683E3AA97}">
    <text>Sensitivity to market fluctuations in diverse industries.</text>
  </threadedComment>
  <threadedComment ref="C18" dT="2025-03-04T12:12:16.93" personId="{CF7EF81C-7C55-44DB-BDD8-B4EC1E5BD8B1}" id="{07C61CF4-BE7E-48CC-96C9-AF1235170098}">
    <text>High growth expectations from the market.</text>
  </threadedComment>
  <threadedComment ref="D22" dT="2025-03-04T12:13:42.39" personId="{CF7EF81C-7C55-44DB-BDD8-B4EC1E5BD8B1}" id="{45A27B21-F661-42D1-BA40-42EA9194E2C3}">
    <text>Mature company with stable cash flows.</text>
  </threadedComment>
</ThreadedComments>
</file>

<file path=xl/threadedComments/threadedComment4.xml><?xml version="1.0" encoding="utf-8"?>
<ThreadedComments xmlns="http://schemas.microsoft.com/office/spreadsheetml/2018/threadedcomments" xmlns:x="http://schemas.openxmlformats.org/spreadsheetml/2006/main">
  <threadedComment ref="K6" dT="2025-02-25T23:44:33.32" personId="{CF7EF81C-7C55-44DB-BDD8-B4EC1E5BD8B1}" id="{085F923D-9616-4521-AC66-92CC8D4160CE}">
    <text>Transition to a subscription-based model and increase in the demand for software</text>
  </threadedComment>
  <threadedComment ref="B7" dT="2025-02-25T23:29:10.79" personId="{CF7EF81C-7C55-44DB-BDD8-B4EC1E5BD8B1}" id="{076A12B7-8855-4640-AA13-B5A42940DDFE}">
    <text>Strong performance in the Life Sciences and Industrial Innovation segments</text>
  </threadedComment>
  <threadedComment ref="F8" dT="2025-02-25T23:25:10.71" personId="{CF7EF81C-7C55-44DB-BDD8-B4EC1E5BD8B1}" id="{748437EA-F7DB-4E83-B291-671469BC39A1}">
    <text xml:space="preserve">COVID-19 Pandemic
</text>
  </threadedComment>
  <threadedComment ref="F9" dT="2025-02-25T23:37:20.94" personId="{CF7EF81C-7C55-44DB-BDD8-B4EC1E5BD8B1}" id="{E9F5EFD8-6404-4FC4-90D2-6152B7723F99}">
    <text>Scaling cloud infrastructure and transitioning to a SaaS model</text>
  </threadedComment>
  <threadedComment ref="G11" dT="2025-02-25T23:38:38.22" personId="{CF7EF81C-7C55-44DB-BDD8-B4EC1E5BD8B1}" id="{5C313722-3A1D-474F-A552-AD834D4B174B}">
    <text>Acquisition of Medidata Solutions</text>
  </threadedComment>
  <threadedComment ref="E12" dT="2025-02-25T23:39:21.29" personId="{CF7EF81C-7C55-44DB-BDD8-B4EC1E5BD8B1}" id="{8772B72D-B3DE-423E-80B8-F51E3F94D224}">
    <text>Deferred payments due to the pandemic</text>
  </threadedComment>
  <threadedComment ref="G14" dT="2025-02-25T23:40:01.56" personId="{CF7EF81C-7C55-44DB-BDD8-B4EC1E5BD8B1}" id="{D7DD2854-4D35-4856-823A-FAF52E9403FE}">
    <text>Acquisition of Medidata Solutions</text>
  </threadedComment>
  <threadedComment ref="H17" dT="2025-02-25T23:42:25.33" personId="{CF7EF81C-7C55-44DB-BDD8-B4EC1E5BD8B1}" id="{3D0DFDFD-1253-4A51-A460-B1C675EE79E0}">
    <text>Reinvestment of earnings into growth initiatives, such as R&amp;D or acquisitions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2.xml"/><Relationship Id="rId4" Type="http://schemas.openxmlformats.org/officeDocument/2006/relationships/hyperlink" Target="https://www.cnbc.com/2020/02/18/the-significance-of-apples-coronavirus-warning.html"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mailto:VPN*@i%25"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microsoft.com/office/2017/10/relationships/threadedComment" Target="../threadedComments/threadedComment4.xml"/><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77D6F-B05E-4D60-8BD6-E277E3EB5F6B}">
  <sheetPr>
    <tabColor theme="3"/>
  </sheetPr>
  <dimension ref="A1:W54"/>
  <sheetViews>
    <sheetView showGridLines="0" tabSelected="1" zoomScaleNormal="100" workbookViewId="0">
      <selection activeCell="E17" sqref="E17"/>
    </sheetView>
  </sheetViews>
  <sheetFormatPr defaultColWidth="8.85546875" defaultRowHeight="12.75"/>
  <cols>
    <col min="1" max="1" width="0.7109375" customWidth="1"/>
    <col min="2" max="2" width="19.140625" customWidth="1"/>
    <col min="3" max="3" width="29.7109375" customWidth="1"/>
    <col min="4" max="4" width="23.28515625" customWidth="1"/>
    <col min="5" max="5" width="15.7109375" customWidth="1"/>
    <col min="6" max="6" width="13.7109375" customWidth="1"/>
    <col min="7" max="7" width="14.28515625" customWidth="1"/>
    <col min="8" max="8" width="20.28515625" customWidth="1"/>
    <col min="9" max="9" width="17.7109375" customWidth="1"/>
    <col min="10" max="10" width="24.28515625" customWidth="1"/>
    <col min="11" max="11" width="20.140625" customWidth="1"/>
    <col min="12" max="12" width="16.28515625" bestFit="1" customWidth="1"/>
    <col min="13" max="13" width="1" style="300" customWidth="1"/>
    <col min="14" max="16384" width="8.85546875" style="300"/>
  </cols>
  <sheetData>
    <row r="1" spans="2:21" ht="3.75" customHeight="1">
      <c r="M1" s="394"/>
      <c r="N1" s="394"/>
      <c r="O1" s="394"/>
      <c r="P1" s="394"/>
      <c r="Q1" s="394"/>
      <c r="R1" s="394"/>
      <c r="S1" s="394"/>
      <c r="T1" s="394"/>
      <c r="U1" s="394"/>
    </row>
    <row r="2" spans="2:21" ht="15.75">
      <c r="B2" s="274" t="s">
        <v>0</v>
      </c>
      <c r="C2" s="70" t="s">
        <v>1</v>
      </c>
      <c r="D2" s="67" t="s">
        <v>2</v>
      </c>
      <c r="E2" s="584" t="str" cm="1">
        <f t="array" aca="1" ref="E2" ca="1">_FV(N2,"Name")</f>
        <v>Dassault Systemes SE</v>
      </c>
      <c r="F2" s="585"/>
      <c r="G2" s="585"/>
      <c r="H2" s="585"/>
      <c r="I2" s="585"/>
      <c r="J2" s="586"/>
      <c r="K2" s="66" t="s">
        <v>3</v>
      </c>
      <c r="L2" s="87" t="s">
        <v>4</v>
      </c>
      <c r="M2" s="394"/>
      <c r="N2" s="393" t="e" vm="1">
        <v>#VALUE!</v>
      </c>
      <c r="O2" s="394"/>
      <c r="P2" s="394"/>
      <c r="Q2" s="393"/>
      <c r="R2" s="393"/>
      <c r="S2" s="393"/>
      <c r="T2" s="393"/>
      <c r="U2" s="393"/>
    </row>
    <row r="3" spans="2:21" ht="33.950000000000003" customHeight="1">
      <c r="B3" s="587"/>
      <c r="C3" s="588"/>
      <c r="D3" s="589" t="s">
        <v>5</v>
      </c>
      <c r="E3" s="590"/>
      <c r="F3" s="590"/>
      <c r="G3" s="590"/>
      <c r="H3" s="590"/>
      <c r="I3" s="590"/>
      <c r="J3" s="590"/>
      <c r="K3" s="590"/>
      <c r="L3" s="591"/>
      <c r="M3" s="394"/>
      <c r="N3" s="394"/>
      <c r="O3" s="394"/>
      <c r="P3" s="394"/>
      <c r="Q3" s="394"/>
      <c r="R3" s="394"/>
      <c r="S3" s="394"/>
      <c r="T3" s="394"/>
      <c r="U3" s="394"/>
    </row>
    <row r="4" spans="2:21" ht="71.099999999999994" customHeight="1">
      <c r="B4" s="587"/>
      <c r="C4" s="588"/>
      <c r="D4" s="592" t="s">
        <v>6</v>
      </c>
      <c r="E4" s="592"/>
      <c r="F4" s="592"/>
      <c r="G4" s="592"/>
      <c r="H4" s="592"/>
      <c r="I4" s="592"/>
      <c r="J4" s="592"/>
      <c r="K4" s="592"/>
      <c r="L4" s="593"/>
      <c r="M4" s="394"/>
      <c r="N4" s="394"/>
      <c r="O4" s="394"/>
      <c r="P4" s="394"/>
      <c r="Q4" s="394"/>
      <c r="R4" s="394"/>
      <c r="S4" s="394"/>
      <c r="T4" s="394"/>
      <c r="U4" s="394"/>
    </row>
    <row r="5" spans="2:21">
      <c r="B5" s="594" t="s">
        <v>7</v>
      </c>
      <c r="C5" s="595"/>
      <c r="D5" s="592"/>
      <c r="E5" s="592"/>
      <c r="F5" s="592"/>
      <c r="G5" s="592"/>
      <c r="H5" s="592"/>
      <c r="I5" s="592"/>
      <c r="J5" s="592"/>
      <c r="K5" s="592"/>
      <c r="L5" s="593"/>
      <c r="M5" s="394"/>
      <c r="N5" s="394"/>
      <c r="O5" s="394"/>
      <c r="P5" s="394"/>
      <c r="Q5" s="394"/>
      <c r="R5" s="394"/>
      <c r="S5" s="394"/>
      <c r="T5" s="394"/>
      <c r="U5" s="394"/>
    </row>
    <row r="6" spans="2:21">
      <c r="B6" s="565" t="s">
        <v>8</v>
      </c>
      <c r="C6" s="561"/>
      <c r="D6" s="561" t="s">
        <v>9</v>
      </c>
      <c r="E6" s="561"/>
      <c r="F6" s="561" t="s">
        <v>10</v>
      </c>
      <c r="G6" s="561"/>
      <c r="H6" s="561"/>
      <c r="I6" s="561" t="s">
        <v>11</v>
      </c>
      <c r="J6" s="561"/>
      <c r="K6" s="561" t="s">
        <v>12</v>
      </c>
      <c r="L6" s="562"/>
      <c r="M6" s="394"/>
      <c r="N6" s="394"/>
      <c r="O6" s="394"/>
      <c r="P6" s="394"/>
      <c r="Q6" s="394"/>
      <c r="R6" s="394"/>
      <c r="S6" s="394"/>
      <c r="T6" s="394"/>
      <c r="U6" s="394"/>
    </row>
    <row r="7" spans="2:21">
      <c r="B7" s="78" t="s">
        <v>13</v>
      </c>
      <c r="C7" s="76" cm="1">
        <f t="array" aca="1" ref="C7" ca="1">_FV(N2,"Previous close",TRUE)</f>
        <v>26.21</v>
      </c>
      <c r="D7" s="79" t="s">
        <v>14</v>
      </c>
      <c r="E7" s="68">
        <f>Cifras_en_Millones!C45</f>
        <v>15545.9</v>
      </c>
      <c r="F7" s="563"/>
      <c r="G7" s="564"/>
      <c r="H7" s="65" t="s">
        <v>15</v>
      </c>
      <c r="I7" s="74" t="s">
        <v>16</v>
      </c>
      <c r="J7" s="95" t="s">
        <v>17</v>
      </c>
      <c r="K7" s="74" t="s">
        <v>18</v>
      </c>
      <c r="L7" s="291">
        <v>0.51039999999999996</v>
      </c>
      <c r="M7" s="394"/>
      <c r="N7" s="394"/>
      <c r="O7" s="394"/>
      <c r="P7" s="394"/>
      <c r="Q7" s="394"/>
      <c r="R7" s="394"/>
      <c r="S7" s="394"/>
      <c r="T7" s="394"/>
      <c r="U7" s="394"/>
    </row>
    <row r="8" spans="2:21">
      <c r="B8" s="78" t="s">
        <v>19</v>
      </c>
      <c r="C8" s="264" cm="1">
        <f t="array" aca="1" ref="C8" ca="1">_FV(N2,"Shares outstanding",TRUE)</f>
        <v>1341456000</v>
      </c>
      <c r="D8" s="74" t="s">
        <v>20</v>
      </c>
      <c r="E8" s="68">
        <f>Cifras_en_Millones!C57</f>
        <v>6465.2</v>
      </c>
      <c r="F8" s="105" t="str">
        <f>+Segments!B4</f>
        <v>Americas</v>
      </c>
      <c r="G8" s="106"/>
      <c r="H8" s="85">
        <f>+Segments!F4</f>
        <v>0.3996268656716418</v>
      </c>
      <c r="I8" s="74"/>
      <c r="J8" s="71"/>
      <c r="K8" s="74" t="s">
        <v>21</v>
      </c>
      <c r="L8" s="291">
        <v>0.48120000000000002</v>
      </c>
      <c r="M8" s="394"/>
      <c r="N8" s="394"/>
      <c r="O8" s="394"/>
      <c r="P8" s="394"/>
      <c r="Q8" s="394"/>
      <c r="R8" s="394"/>
      <c r="S8" s="394"/>
      <c r="T8" s="394"/>
      <c r="U8" s="394"/>
    </row>
    <row r="9" spans="2:21">
      <c r="B9" s="78" t="s">
        <v>22</v>
      </c>
      <c r="C9" s="68">
        <f ca="1">C7*C8/1000000</f>
        <v>35159.561759999997</v>
      </c>
      <c r="D9" s="74" t="s">
        <v>23</v>
      </c>
      <c r="E9" s="107">
        <f ca="1">+C11/C8*1000000</f>
        <v>2.9464999224722987</v>
      </c>
      <c r="F9" s="105" t="str">
        <f>+Segments!B5</f>
        <v>Europe</v>
      </c>
      <c r="G9" s="106"/>
      <c r="H9" s="85">
        <f>+Segments!F5</f>
        <v>0.37817164179104479</v>
      </c>
      <c r="I9" s="74" t="s">
        <v>24</v>
      </c>
      <c r="J9" s="68">
        <f>Cifras_en_Millones!C11</f>
        <v>1359.6</v>
      </c>
      <c r="K9" s="44" t="s">
        <v>25</v>
      </c>
      <c r="L9" s="292" t="s">
        <v>26</v>
      </c>
      <c r="M9" s="394"/>
      <c r="N9" s="394"/>
      <c r="O9" s="394"/>
      <c r="P9" s="394"/>
      <c r="Q9" s="394"/>
      <c r="R9" s="394"/>
      <c r="S9" s="394"/>
      <c r="T9" s="394"/>
      <c r="U9" s="394"/>
    </row>
    <row r="10" spans="2:21">
      <c r="B10" s="80" t="s">
        <v>27</v>
      </c>
      <c r="C10" s="68">
        <f>Cifras_en_Millones!C60</f>
        <v>2493.6</v>
      </c>
      <c r="D10" s="74" t="s">
        <v>28</v>
      </c>
      <c r="E10" s="96">
        <f>Cifras_en_Millones!C19/Cifras_en_Millones!C14</f>
        <v>-6.7449324324324316</v>
      </c>
      <c r="F10" s="105" t="str">
        <f>+Segments!B6</f>
        <v>Asia</v>
      </c>
      <c r="G10" s="106"/>
      <c r="H10" s="85">
        <f>+Segments!F6</f>
        <v>0.22220149253731344</v>
      </c>
      <c r="I10" s="81" t="s">
        <v>29</v>
      </c>
      <c r="J10" s="68">
        <f>Cifras_en_Millones!C17</f>
        <v>-561</v>
      </c>
      <c r="K10" s="74" t="s">
        <v>30</v>
      </c>
      <c r="L10" s="293" t="s">
        <v>31</v>
      </c>
      <c r="M10" s="394"/>
      <c r="N10" s="394"/>
      <c r="O10" s="394"/>
      <c r="P10" s="394"/>
      <c r="Q10" s="394"/>
      <c r="R10" s="394"/>
      <c r="S10" s="394"/>
      <c r="T10" s="394"/>
      <c r="U10" s="394"/>
    </row>
    <row r="11" spans="2:21">
      <c r="B11" s="80" t="s">
        <v>32</v>
      </c>
      <c r="C11" s="68">
        <f>Cifras_en_Millones!C40</f>
        <v>3952.6</v>
      </c>
      <c r="D11" s="74" t="s">
        <v>33</v>
      </c>
      <c r="E11" s="108">
        <f>Cifras_en_Millones!C60/Cifras_en_Millones!C19</f>
        <v>3.1224643125469576</v>
      </c>
      <c r="F11" s="105"/>
      <c r="G11" s="106"/>
      <c r="H11" s="85"/>
      <c r="I11" s="81" t="s">
        <v>34</v>
      </c>
      <c r="J11" s="68">
        <f>+J9+J10</f>
        <v>798.59999999999991</v>
      </c>
      <c r="K11" s="74" t="s">
        <v>35</v>
      </c>
      <c r="L11" s="119">
        <f ca="1">((C7*C8)/1000000)/(E7-E8)</f>
        <v>3.8718999372295082</v>
      </c>
      <c r="M11" s="394"/>
      <c r="N11" s="394"/>
      <c r="O11" s="394"/>
      <c r="P11" s="394"/>
      <c r="Q11" s="394"/>
      <c r="R11" s="394"/>
      <c r="S11" s="394"/>
      <c r="T11" s="394"/>
      <c r="U11" s="394"/>
    </row>
    <row r="12" spans="2:21">
      <c r="B12" s="80" t="s">
        <v>36</v>
      </c>
      <c r="C12" s="68">
        <f ca="1">C9+C10-C11</f>
        <v>33700.561759999997</v>
      </c>
      <c r="D12" s="74" t="s">
        <v>37</v>
      </c>
      <c r="E12" s="75">
        <f>Cifras_en_Millones!C44/Cifras_en_Millones!C45</f>
        <v>0.54654281836368435</v>
      </c>
      <c r="F12" s="105"/>
      <c r="G12" s="106"/>
      <c r="H12" s="85"/>
      <c r="I12" s="74" t="s">
        <v>38</v>
      </c>
      <c r="J12" s="82">
        <f>Cifras_en_Millones!C23</f>
        <v>1198.0999999999999</v>
      </c>
      <c r="K12" s="74" t="s">
        <v>39</v>
      </c>
      <c r="L12" s="123">
        <f>J18/E7</f>
        <v>4.246350055856099E-2</v>
      </c>
      <c r="M12" s="394"/>
      <c r="N12" s="394"/>
      <c r="O12" s="394"/>
      <c r="P12" s="394"/>
      <c r="Q12" s="394"/>
      <c r="R12" s="394"/>
      <c r="S12" s="394"/>
      <c r="T12" s="394"/>
      <c r="U12" s="394"/>
    </row>
    <row r="13" spans="2:21">
      <c r="B13" s="80" t="s">
        <v>40</v>
      </c>
      <c r="C13" s="265"/>
      <c r="D13" s="74" t="s">
        <v>41</v>
      </c>
      <c r="E13" s="69">
        <f>Cifras_en_Millones!C60/Cifras_en_Millones!C45</f>
        <v>0.1604024212171698</v>
      </c>
      <c r="F13" s="561" t="s">
        <v>42</v>
      </c>
      <c r="G13" s="561"/>
      <c r="H13" s="561"/>
      <c r="I13" s="74" t="s">
        <v>43</v>
      </c>
      <c r="J13" s="76">
        <f ca="1">+J12/C8*1000000</f>
        <v>0.89313402750444293</v>
      </c>
      <c r="K13" s="74" t="s">
        <v>44</v>
      </c>
      <c r="L13" s="120">
        <f ca="1">C9/J17</f>
        <v>31.27657497664902</v>
      </c>
      <c r="M13" s="394"/>
      <c r="N13" s="394"/>
      <c r="O13" s="394"/>
      <c r="P13" s="394"/>
      <c r="Q13" s="394"/>
      <c r="R13" s="394"/>
      <c r="S13" s="394"/>
      <c r="T13" s="394"/>
      <c r="U13" s="394"/>
    </row>
    <row r="14" spans="2:21">
      <c r="B14" s="78" t="s">
        <v>45</v>
      </c>
      <c r="C14" s="94"/>
      <c r="D14" s="74" t="s">
        <v>46</v>
      </c>
      <c r="E14" s="110">
        <f>AVERAGE(Cifras_en_Millones!C12:E12)</f>
        <v>0.21915431194288912</v>
      </c>
      <c r="G14" s="106"/>
      <c r="H14" s="65" t="s">
        <v>15</v>
      </c>
      <c r="I14" s="74" t="s">
        <v>47</v>
      </c>
      <c r="J14" s="118">
        <f>+J12/E7</f>
        <v>7.7068551836818711E-2</v>
      </c>
      <c r="K14" s="74" t="s">
        <v>48</v>
      </c>
      <c r="L14" s="121">
        <f ca="1">C12/E7</f>
        <v>2.1678102753780739</v>
      </c>
      <c r="M14" s="394"/>
      <c r="N14" s="394"/>
      <c r="O14" s="394"/>
      <c r="P14" s="394"/>
      <c r="Q14" s="394"/>
      <c r="R14" s="394"/>
      <c r="S14" s="394"/>
      <c r="T14" s="394"/>
      <c r="U14" s="394"/>
    </row>
    <row r="15" spans="2:21">
      <c r="B15" s="78" t="s">
        <v>49</v>
      </c>
      <c r="C15" s="266"/>
      <c r="D15" s="74" t="s">
        <v>50</v>
      </c>
      <c r="E15" s="109">
        <f>AVERAGE(Cifras_en_Millones!C24:E24)</f>
        <v>0.17782473311000438</v>
      </c>
      <c r="F15" s="105" t="str">
        <f>+Segments!B17</f>
        <v>Industrial Innovation</v>
      </c>
      <c r="G15" s="106"/>
      <c r="H15" s="188">
        <f>+Segments!F17</f>
        <v>0.54253731343283584</v>
      </c>
      <c r="I15" s="74" t="s">
        <v>51</v>
      </c>
      <c r="J15" s="118">
        <f>J12/(E7-(E8-C10))</f>
        <v>0.10351381941024511</v>
      </c>
      <c r="K15" s="74" t="s">
        <v>52</v>
      </c>
      <c r="L15" s="122">
        <f ca="1">C12/J16</f>
        <v>66.941458835992847</v>
      </c>
      <c r="M15" s="394"/>
      <c r="N15" s="394"/>
      <c r="O15" s="394"/>
      <c r="P15" s="394"/>
      <c r="Q15" s="394"/>
      <c r="R15" s="394"/>
      <c r="S15" s="394"/>
      <c r="T15" s="394"/>
      <c r="U15" s="394"/>
    </row>
    <row r="16" spans="2:21">
      <c r="B16" s="565" t="s">
        <v>53</v>
      </c>
      <c r="C16" s="561"/>
      <c r="D16" s="74" t="s">
        <v>54</v>
      </c>
      <c r="E16" s="69">
        <f>AVERAGE(Cifras_en_Millones!C20:E20)</f>
        <v>0.12490169072600409</v>
      </c>
      <c r="F16" s="105" t="str">
        <f>+Segments!B18</f>
        <v>Life Sciences</v>
      </c>
      <c r="G16" s="106"/>
      <c r="H16" s="188">
        <f>+Segments!F18</f>
        <v>0.21623134328358209</v>
      </c>
      <c r="I16" s="74" t="s">
        <v>55</v>
      </c>
      <c r="J16" s="77">
        <f>AVERAGE(Cifras_en_Millones!B19:D19)</f>
        <v>503.43333333333334</v>
      </c>
      <c r="K16" s="74" t="s">
        <v>56</v>
      </c>
      <c r="L16" s="120">
        <f ca="1">C9/J18</f>
        <v>53.261303413451827</v>
      </c>
      <c r="M16" s="394"/>
      <c r="N16" s="394"/>
      <c r="O16" s="394"/>
      <c r="P16" s="394"/>
      <c r="Q16" s="394"/>
      <c r="R16" s="394"/>
      <c r="S16" s="394"/>
      <c r="T16" s="394"/>
      <c r="U16" s="394"/>
    </row>
    <row r="17" spans="2:23">
      <c r="B17" s="47" t="s">
        <v>57</v>
      </c>
      <c r="C17" s="526"/>
      <c r="D17" s="74" t="s">
        <v>58</v>
      </c>
      <c r="E17" s="69">
        <f>Cifras_en_Millones!C14/AVERAGE(Cifras_en_Millones!C59:D59)</f>
        <v>0.1660123387549074</v>
      </c>
      <c r="F17" s="105" t="str">
        <f>+Segments!B19</f>
        <v>Mainstream Innovation</v>
      </c>
      <c r="G17" s="106"/>
      <c r="H17" s="188">
        <f>+Segments!F19</f>
        <v>0.24123134328358209</v>
      </c>
      <c r="I17" s="74" t="s">
        <v>59</v>
      </c>
      <c r="J17" s="68">
        <f>AVERAGE(Cifras_en_Millones!B23:D23)</f>
        <v>1124.1500000000001</v>
      </c>
      <c r="K17" s="74" t="s">
        <v>60</v>
      </c>
      <c r="L17" s="104"/>
      <c r="M17" s="394"/>
      <c r="N17" s="394"/>
      <c r="O17" s="394"/>
      <c r="P17" s="394"/>
      <c r="Q17" s="394"/>
      <c r="R17" s="394"/>
      <c r="S17" s="394"/>
      <c r="T17" s="394"/>
      <c r="U17" s="394"/>
      <c r="V17" s="394"/>
      <c r="W17" s="394"/>
    </row>
    <row r="18" spans="2:23">
      <c r="B18" s="47" t="s">
        <v>61</v>
      </c>
      <c r="C18" s="527"/>
      <c r="D18" s="74"/>
      <c r="E18" s="110"/>
      <c r="F18" s="105"/>
      <c r="G18" s="116"/>
      <c r="H18" s="188"/>
      <c r="I18" s="74" t="s">
        <v>62</v>
      </c>
      <c r="J18" s="68">
        <f>SUM(F36:F37)/3</f>
        <v>660.13333333333333</v>
      </c>
      <c r="K18" s="74" t="s">
        <v>63</v>
      </c>
      <c r="L18" s="124">
        <f ca="1">SUM(E34:E36)/(3*C9)</f>
        <v>-1.0787013480303023E-2</v>
      </c>
      <c r="M18" s="394"/>
      <c r="N18" s="394"/>
      <c r="O18" s="394"/>
      <c r="P18" s="394"/>
      <c r="Q18" s="394"/>
      <c r="R18" s="394"/>
      <c r="S18" s="394"/>
      <c r="T18" s="394"/>
      <c r="U18" s="394"/>
      <c r="V18" s="394"/>
      <c r="W18" s="394"/>
    </row>
    <row r="19" spans="2:23">
      <c r="B19" s="47" t="s">
        <v>64</v>
      </c>
      <c r="C19" s="528"/>
      <c r="D19" s="165"/>
      <c r="E19" s="3"/>
      <c r="F19" s="105"/>
      <c r="G19" s="116"/>
      <c r="H19" s="188"/>
      <c r="I19" s="74" t="s">
        <v>65</v>
      </c>
      <c r="J19" s="75">
        <f>AVERAGE(Cifras_en_Millones!C22:G22)</f>
        <v>-0.22648853529102744</v>
      </c>
      <c r="K19" s="74" t="s">
        <v>66</v>
      </c>
      <c r="L19" s="124">
        <f ca="1">-K33/C9</f>
        <v>8.6093223250687072E-3</v>
      </c>
      <c r="M19" s="394"/>
      <c r="N19" s="394"/>
      <c r="O19" s="394"/>
      <c r="P19" s="394"/>
      <c r="Q19" s="394"/>
      <c r="R19" s="394"/>
      <c r="S19" s="394"/>
      <c r="T19" s="394"/>
      <c r="U19" s="394"/>
      <c r="V19" s="394"/>
      <c r="W19" s="394"/>
    </row>
    <row r="20" spans="2:23" ht="15">
      <c r="B20" s="57" t="s">
        <v>67</v>
      </c>
      <c r="C20" s="58"/>
      <c r="D20" s="58"/>
      <c r="E20" s="58"/>
      <c r="F20" s="58"/>
      <c r="G20" s="58"/>
      <c r="H20" s="59"/>
      <c r="I20" s="566"/>
      <c r="J20" s="566"/>
      <c r="K20" s="566"/>
      <c r="L20" s="48"/>
      <c r="M20" s="394"/>
      <c r="N20" s="394"/>
      <c r="O20" s="394"/>
      <c r="P20" s="394"/>
      <c r="Q20" s="394"/>
      <c r="R20" s="394"/>
      <c r="S20" s="394"/>
      <c r="T20" s="394"/>
      <c r="U20" s="394"/>
      <c r="V20" s="394"/>
      <c r="W20" s="394"/>
    </row>
    <row r="21" spans="2:23" ht="32.450000000000003" customHeight="1">
      <c r="B21" s="567" t="s">
        <v>68</v>
      </c>
      <c r="C21" s="568"/>
      <c r="D21" s="568"/>
      <c r="E21" s="568"/>
      <c r="F21" s="568"/>
      <c r="G21" s="569"/>
      <c r="H21" s="573" t="s">
        <v>69</v>
      </c>
      <c r="I21" s="575" t="s">
        <v>70</v>
      </c>
      <c r="J21" s="576"/>
      <c r="K21" s="577"/>
      <c r="L21" s="556">
        <f ca="1">DCFF!D66</f>
        <v>29.300464073705296</v>
      </c>
      <c r="M21" s="394"/>
      <c r="N21" s="394"/>
      <c r="O21" s="394"/>
      <c r="P21" s="394"/>
      <c r="Q21" s="394"/>
      <c r="R21" s="394"/>
      <c r="S21" s="394"/>
      <c r="T21" s="394"/>
      <c r="U21" s="394"/>
      <c r="V21" s="394"/>
      <c r="W21" s="394"/>
    </row>
    <row r="22" spans="2:23" ht="32.25" customHeight="1">
      <c r="B22" s="570"/>
      <c r="C22" s="571"/>
      <c r="D22" s="571"/>
      <c r="E22" s="571"/>
      <c r="F22" s="571"/>
      <c r="G22" s="572"/>
      <c r="H22" s="574"/>
      <c r="I22" s="578"/>
      <c r="J22" s="579"/>
      <c r="K22" s="580"/>
      <c r="L22" s="556"/>
      <c r="M22" s="394"/>
      <c r="N22" s="394"/>
      <c r="O22" s="394"/>
      <c r="P22" s="394"/>
      <c r="Q22" s="394"/>
      <c r="R22" s="394"/>
      <c r="S22" s="394"/>
      <c r="T22" s="394"/>
      <c r="U22" s="394"/>
      <c r="V22" s="394"/>
      <c r="W22" s="394"/>
    </row>
    <row r="23" spans="2:23" ht="12.75" customHeight="1">
      <c r="B23" s="551" t="s">
        <v>71</v>
      </c>
      <c r="C23" s="552"/>
      <c r="D23" s="552"/>
      <c r="E23" s="552"/>
      <c r="F23" s="552"/>
      <c r="G23" s="553"/>
      <c r="H23" s="45"/>
      <c r="I23" s="581"/>
      <c r="J23" s="582"/>
      <c r="K23" s="583"/>
      <c r="L23" s="557">
        <f ca="1">DCFF!D65</f>
        <v>0.14053966810841945</v>
      </c>
      <c r="M23" s="394"/>
      <c r="N23" s="394"/>
      <c r="O23" s="394"/>
      <c r="P23" s="394"/>
      <c r="Q23" s="394"/>
      <c r="R23" s="394"/>
      <c r="S23" s="394"/>
      <c r="T23" s="394"/>
      <c r="U23" s="394"/>
      <c r="V23" s="394"/>
      <c r="W23" s="394"/>
    </row>
    <row r="24" spans="2:23" ht="15" customHeight="1">
      <c r="B24" s="558"/>
      <c r="C24" s="559"/>
      <c r="D24" s="559"/>
      <c r="E24" s="559"/>
      <c r="F24" s="559"/>
      <c r="G24" s="560"/>
      <c r="H24" s="60">
        <f ca="1">+DCFF!D66</f>
        <v>29.300464073705296</v>
      </c>
      <c r="I24" s="277" t="s">
        <v>72</v>
      </c>
      <c r="J24" s="62">
        <f>DCFF!D47</f>
        <v>0.08</v>
      </c>
      <c r="K24" s="63"/>
      <c r="L24" s="557"/>
      <c r="M24" s="394"/>
      <c r="N24" s="439"/>
      <c r="O24" s="439"/>
      <c r="P24" s="439"/>
      <c r="Q24" s="439"/>
      <c r="R24" s="439"/>
      <c r="S24" s="439"/>
      <c r="T24" s="439"/>
      <c r="U24" s="394"/>
      <c r="V24" s="394"/>
      <c r="W24" s="394"/>
    </row>
    <row r="25" spans="2:23">
      <c r="B25" s="276" t="s">
        <v>73</v>
      </c>
      <c r="C25" s="275" t="s">
        <v>74</v>
      </c>
      <c r="D25" s="275" t="s">
        <v>75</v>
      </c>
      <c r="E25" s="275" t="s">
        <v>76</v>
      </c>
      <c r="F25" s="275" t="s">
        <v>77</v>
      </c>
      <c r="G25" s="275" t="s">
        <v>41</v>
      </c>
      <c r="H25" s="275" t="s">
        <v>78</v>
      </c>
      <c r="I25" s="275" t="s">
        <v>79</v>
      </c>
      <c r="J25" s="561" t="s">
        <v>80</v>
      </c>
      <c r="K25" s="561"/>
      <c r="L25" s="562"/>
      <c r="M25" s="394"/>
      <c r="N25" s="439"/>
      <c r="O25" s="439"/>
      <c r="P25" s="439"/>
      <c r="Q25" s="439"/>
      <c r="R25" s="439"/>
      <c r="S25" s="439"/>
      <c r="T25" s="439"/>
      <c r="U25" s="394"/>
      <c r="V25" s="394"/>
      <c r="W25" s="394"/>
    </row>
    <row r="26" spans="2:23">
      <c r="B26" s="47">
        <v>2012</v>
      </c>
      <c r="C26" s="68">
        <f>Cifras_Originales!N6</f>
        <v>2028.3420000000001</v>
      </c>
      <c r="D26" s="69">
        <f>Cifras_Originales!N8/C26</f>
        <v>0.24698053878487947</v>
      </c>
      <c r="E26" s="294">
        <f>Cifras_Originales!N17+Cifras_Originales!N18</f>
        <v>-64.199999999999989</v>
      </c>
      <c r="F26" s="68">
        <f>Cifras_Originales!$N$16</f>
        <v>338.82900000000001</v>
      </c>
      <c r="G26" s="298">
        <f>Cifras_Originales!$N$39/Cifras_Originales!$N$27</f>
        <v>0.34860480566936108</v>
      </c>
      <c r="H26" s="68">
        <f>Cifras_Originales!$N$11</f>
        <v>-132.1</v>
      </c>
      <c r="I26" s="68">
        <f>Cifras_Originales!$N$13+Cifras_Originales!$N$14</f>
        <v>-218.79999999999998</v>
      </c>
      <c r="J26" s="74"/>
      <c r="K26" s="46">
        <v>2024</v>
      </c>
      <c r="L26" s="49">
        <v>2023</v>
      </c>
      <c r="M26" s="394"/>
      <c r="N26" s="423"/>
      <c r="O26" s="423"/>
      <c r="P26" s="423"/>
      <c r="Q26" s="423"/>
      <c r="R26" s="423"/>
      <c r="S26" s="423"/>
      <c r="T26" s="439"/>
      <c r="U26" s="394"/>
      <c r="V26" s="394"/>
      <c r="W26" s="394"/>
    </row>
    <row r="27" spans="2:23">
      <c r="B27" s="47">
        <f t="shared" ref="B27:B37" si="0">B26+1</f>
        <v>2013</v>
      </c>
      <c r="C27" s="294">
        <f>Cifras_Originales!M6</f>
        <v>2066.1</v>
      </c>
      <c r="D27" s="69">
        <f>Cifras_Originales!M8/C27</f>
        <v>0.24345385024926192</v>
      </c>
      <c r="E27" s="294">
        <f>Cifras_Originales!M17+Cifras_Originales!M18</f>
        <v>-51.5</v>
      </c>
      <c r="F27" s="68">
        <f>Cifras_Originales!$M$16</f>
        <v>355.2</v>
      </c>
      <c r="G27" s="298">
        <f>Cifras_Originales!$M$39/Cifras_Originales!$M$27</f>
        <v>0.37338522887365988</v>
      </c>
      <c r="H27" s="68">
        <f>Cifras_Originales!$M$11</f>
        <v>-141.30000000000001</v>
      </c>
      <c r="I27" s="68">
        <f>Cifras_Originales!$M$13+Cifras_Originales!$M$14</f>
        <v>-168.6</v>
      </c>
      <c r="J27" s="81" t="s">
        <v>38</v>
      </c>
      <c r="K27" s="68">
        <f>Cifras_Originales!B16</f>
        <v>1198.0999999999999</v>
      </c>
      <c r="L27" s="184">
        <f>Cifras_Originales!C16</f>
        <v>1050.2</v>
      </c>
      <c r="M27" s="394"/>
      <c r="N27" s="421">
        <f t="shared" ref="N27:Q37" si="1">C27/C26-1</f>
        <v>1.8615203944896797E-2</v>
      </c>
      <c r="O27" s="422">
        <f t="shared" si="1"/>
        <v>-1.4279216301691267E-2</v>
      </c>
      <c r="P27" s="423"/>
      <c r="Q27" s="423"/>
      <c r="R27" s="423"/>
      <c r="S27" s="423"/>
      <c r="T27" s="439"/>
      <c r="U27" s="394"/>
      <c r="V27" s="394"/>
      <c r="W27" s="394"/>
    </row>
    <row r="28" spans="2:23">
      <c r="B28" s="47">
        <f t="shared" si="0"/>
        <v>2014</v>
      </c>
      <c r="C28" s="294">
        <f>Cifras_Originales!L6</f>
        <v>2294.3000000000002</v>
      </c>
      <c r="D28" s="69">
        <f>Cifras_Originales!L8/C28</f>
        <v>0.18776969010155603</v>
      </c>
      <c r="E28" s="294">
        <f>Cifras_Originales!L17+Cifras_Originales!L18</f>
        <v>-149.6</v>
      </c>
      <c r="F28" s="68">
        <f>Cifras_Originales!$L$16</f>
        <v>292.5</v>
      </c>
      <c r="G28" s="298">
        <f>Cifras_Originales!$L$39/Cifras_Originales!$L$27</f>
        <v>0.40361518620022574</v>
      </c>
      <c r="H28" s="68">
        <f>Cifras_Originales!$L$11</f>
        <v>-176.3</v>
      </c>
      <c r="I28" s="68">
        <f>Cifras_Originales!$L$13+Cifras_Originales!$L$14</f>
        <v>-1000.9</v>
      </c>
      <c r="J28" s="465" t="s">
        <v>81</v>
      </c>
      <c r="K28" s="297">
        <f>+K29+1660</f>
        <v>1373.7</v>
      </c>
      <c r="L28" s="466">
        <f>1565+L29</f>
        <v>1325.5</v>
      </c>
      <c r="M28" s="394"/>
      <c r="N28" s="421">
        <f t="shared" si="1"/>
        <v>0.1104496394172596</v>
      </c>
      <c r="O28" s="422">
        <f t="shared" si="1"/>
        <v>-0.22872573216933423</v>
      </c>
      <c r="P28" s="423">
        <f t="shared" si="1"/>
        <v>1.9048543689320385</v>
      </c>
      <c r="Q28" s="423">
        <f>F28/F27-1</f>
        <v>-0.17652027027027029</v>
      </c>
      <c r="R28" s="423">
        <f t="shared" ref="R28:S35" si="2">H28/H27-1</f>
        <v>0.24769992922859152</v>
      </c>
      <c r="S28" s="423">
        <f t="shared" si="2"/>
        <v>4.9365361803084227</v>
      </c>
      <c r="T28" s="439"/>
      <c r="U28" s="394"/>
      <c r="V28" s="394"/>
      <c r="W28" s="394"/>
    </row>
    <row r="29" spans="2:23">
      <c r="B29" s="47">
        <f t="shared" si="0"/>
        <v>2015</v>
      </c>
      <c r="C29" s="294">
        <f>Cifras_Originales!K6</f>
        <v>2839.5</v>
      </c>
      <c r="D29" s="69">
        <f>Cifras_Originales!K8/C29</f>
        <v>0.22299700651523158</v>
      </c>
      <c r="E29" s="294">
        <f>Cifras_Originales!K17+Cifras_Originales!K18</f>
        <v>-90.800000000000011</v>
      </c>
      <c r="F29" s="68">
        <f>Cifras_Originales!$K$16</f>
        <v>406</v>
      </c>
      <c r="G29" s="298">
        <f>Cifras_Originales!$K$39/Cifras_Originales!$K$27</f>
        <v>0.44739677409132678</v>
      </c>
      <c r="H29" s="68">
        <f>Cifras_Originales!$K$11</f>
        <v>-211.4</v>
      </c>
      <c r="I29" s="68">
        <f>Cifras_Originales!$K$13+Cifras_Originales!$K$14</f>
        <v>-60.5</v>
      </c>
      <c r="J29" s="467" t="s">
        <v>82</v>
      </c>
      <c r="K29" s="297">
        <f>Cifras_Originales!B12</f>
        <v>-286.3</v>
      </c>
      <c r="L29" s="466">
        <f>Cifras_Originales!C12</f>
        <v>-239.5</v>
      </c>
      <c r="M29" s="394"/>
      <c r="N29" s="421">
        <f t="shared" si="1"/>
        <v>0.2376323933225819</v>
      </c>
      <c r="O29" s="422">
        <f t="shared" si="1"/>
        <v>0.18760917374163366</v>
      </c>
      <c r="P29" s="423">
        <f t="shared" si="1"/>
        <v>-0.39304812834224589</v>
      </c>
      <c r="Q29" s="423">
        <f t="shared" si="1"/>
        <v>0.38803418803418799</v>
      </c>
      <c r="R29" s="423">
        <f t="shared" si="2"/>
        <v>0.19909245604083936</v>
      </c>
      <c r="S29" s="423">
        <f t="shared" si="2"/>
        <v>-0.93955440103906485</v>
      </c>
      <c r="T29" s="439"/>
      <c r="U29" s="394"/>
      <c r="V29" s="394"/>
      <c r="W29" s="394"/>
    </row>
    <row r="30" spans="2:23">
      <c r="B30" s="47">
        <f t="shared" si="0"/>
        <v>2016</v>
      </c>
      <c r="C30" s="294">
        <f>Cifras_Originales!J6</f>
        <v>3055.6</v>
      </c>
      <c r="D30" s="69">
        <f>Cifras_Originales!J8/C30</f>
        <v>0.21992407383165335</v>
      </c>
      <c r="E30" s="294">
        <f>Cifras_Originales!J17+Cifras_Originales!J18</f>
        <v>-202.3</v>
      </c>
      <c r="F30" s="68">
        <f>Cifras_Originales!$J$16</f>
        <v>452.2</v>
      </c>
      <c r="G30" s="298">
        <f>Cifras_Originales!$J$39/Cifras_Originales!$J$27</f>
        <v>0.44075412999956787</v>
      </c>
      <c r="H30" s="68">
        <f>Cifras_Originales!$J$11</f>
        <v>-206.4</v>
      </c>
      <c r="I30" s="68">
        <f>Cifras_Originales!$J$13+Cifras_Originales!$J$14</f>
        <v>-299</v>
      </c>
      <c r="J30" s="465" t="s">
        <v>83</v>
      </c>
      <c r="K30" s="297">
        <v>-191.7</v>
      </c>
      <c r="L30" s="466">
        <v>-161.6</v>
      </c>
      <c r="M30" s="394"/>
      <c r="N30" s="421">
        <f t="shared" si="1"/>
        <v>7.6104948054234844E-2</v>
      </c>
      <c r="O30" s="422">
        <f t="shared" si="1"/>
        <v>-1.3780152171541937E-2</v>
      </c>
      <c r="P30" s="423">
        <f t="shared" si="1"/>
        <v>1.2279735682819384</v>
      </c>
      <c r="Q30" s="423">
        <f>F31/F29-1</f>
        <v>0.28103448275862064</v>
      </c>
      <c r="R30" s="423">
        <f t="shared" si="2"/>
        <v>-2.3651844843897818E-2</v>
      </c>
      <c r="S30" s="423">
        <f t="shared" si="2"/>
        <v>3.9421487603305785</v>
      </c>
      <c r="T30" s="439"/>
      <c r="U30" s="394"/>
      <c r="V30" s="394"/>
      <c r="W30" s="394"/>
    </row>
    <row r="31" spans="2:23">
      <c r="B31" s="47">
        <f t="shared" si="0"/>
        <v>2017</v>
      </c>
      <c r="C31" s="294">
        <f>Cifras_Originales!I6</f>
        <v>3228</v>
      </c>
      <c r="D31" s="69">
        <f>Cifras_Originales!I8/C31</f>
        <v>0.2258364312267658</v>
      </c>
      <c r="E31" s="294">
        <f>Cifras_Originales!I17+Cifras_Originales!I18</f>
        <v>-121.89999999999999</v>
      </c>
      <c r="F31" s="68">
        <f>Cifras_Originales!$I$16</f>
        <v>520.1</v>
      </c>
      <c r="G31" s="298">
        <f>Cifras_Originales!$I$39/Cifras_Originales!$I$27</f>
        <v>0.43156277561239298</v>
      </c>
      <c r="H31" s="68">
        <f>Cifras_Originales!$I$11</f>
        <v>-217.7</v>
      </c>
      <c r="I31" s="68">
        <f>Cifras_Originales!$I$13+Cifras_Originales!$I$14</f>
        <v>-367.4</v>
      </c>
      <c r="J31" s="468" t="s">
        <v>84</v>
      </c>
      <c r="K31" s="297">
        <f>Cifras_Originales!B13</f>
        <v>-193.4</v>
      </c>
      <c r="L31" s="466">
        <f>Cifras_Originales!C13</f>
        <v>-145.30000000000001</v>
      </c>
      <c r="M31" s="394"/>
      <c r="N31" s="421">
        <f t="shared" si="1"/>
        <v>5.6420997512763416E-2</v>
      </c>
      <c r="O31" s="422">
        <f t="shared" si="1"/>
        <v>2.6883629845990464E-2</v>
      </c>
      <c r="P31" s="423" t="e">
        <f>#REF!/E30-1</f>
        <v>#REF!</v>
      </c>
      <c r="Q31" s="423">
        <f>F32/F31-1</f>
        <v>8.3253220534512451E-2</v>
      </c>
      <c r="R31" s="423">
        <f t="shared" si="2"/>
        <v>5.4748062015503862E-2</v>
      </c>
      <c r="S31" s="423">
        <f t="shared" si="2"/>
        <v>0.22876254180601996</v>
      </c>
      <c r="T31" s="439"/>
      <c r="U31" s="394"/>
      <c r="V31" s="394"/>
      <c r="W31" s="394"/>
    </row>
    <row r="32" spans="2:23">
      <c r="B32" s="47">
        <f t="shared" si="0"/>
        <v>2018</v>
      </c>
      <c r="C32" s="294">
        <f>Cifras_Originales!H6</f>
        <v>3477.4</v>
      </c>
      <c r="D32" s="69">
        <f>Cifras_Originales!H8/C32</f>
        <v>0.22091217576350147</v>
      </c>
      <c r="E32" s="294">
        <f>Cifras_Originales!H17+Cifras_Originales!H18</f>
        <v>-174.4</v>
      </c>
      <c r="F32" s="68">
        <f>Cifras_Originales!$H$16</f>
        <v>563.4</v>
      </c>
      <c r="G32" s="298">
        <f>Cifras_Originales!$H$39/Cifras_Originales!$H$27</f>
        <v>0.41987710057687483</v>
      </c>
      <c r="H32" s="68">
        <f>Cifras_Originales!$H$11</f>
        <v>-237.7</v>
      </c>
      <c r="I32" s="68">
        <f>Cifras_Originales!$H$13+Cifras_Originales!$H$14</f>
        <v>-323.2</v>
      </c>
      <c r="J32" s="468" t="s">
        <v>85</v>
      </c>
      <c r="K32" s="297">
        <f>Cifras_en_Millones!C34</f>
        <v>1.6000000000000014</v>
      </c>
      <c r="L32" s="466">
        <f>+Cifras_Originales!C33</f>
        <v>66.5</v>
      </c>
      <c r="M32" s="394"/>
      <c r="N32" s="421">
        <f t="shared" si="1"/>
        <v>7.7261462205700182E-2</v>
      </c>
      <c r="O32" s="422">
        <f t="shared" si="1"/>
        <v>-2.1804522133631377E-2</v>
      </c>
      <c r="P32" s="423" t="e">
        <f>E31/#REF!-1</f>
        <v>#REF!</v>
      </c>
      <c r="Q32" s="423">
        <f>F33/F32-1</f>
        <v>7.6144834930777394E-2</v>
      </c>
      <c r="R32" s="423">
        <f t="shared" si="2"/>
        <v>9.1869545245750972E-2</v>
      </c>
      <c r="S32" s="423">
        <f t="shared" si="2"/>
        <v>-0.120304844855743</v>
      </c>
      <c r="T32" s="439"/>
      <c r="U32" s="394"/>
      <c r="V32" s="394"/>
      <c r="W32" s="394"/>
    </row>
    <row r="33" spans="2:23">
      <c r="B33" s="47">
        <f t="shared" si="0"/>
        <v>2019</v>
      </c>
      <c r="C33" s="294">
        <f>Cifras_Originales!G6</f>
        <v>4018.2</v>
      </c>
      <c r="D33" s="69">
        <f>Cifras_Originales!G8/C33</f>
        <v>0.20227962769399233</v>
      </c>
      <c r="E33" s="294">
        <f>Cifras_Originales!G17+Cifras_Originales!G18</f>
        <v>-212.20000000000002</v>
      </c>
      <c r="F33" s="68">
        <f>Cifras_Originales!$G$16</f>
        <v>606.29999999999995</v>
      </c>
      <c r="G33" s="298">
        <f>Cifras_Originales!$G$39/Cifras_Originales!$G$27</f>
        <v>0.62065510430633053</v>
      </c>
      <c r="H33" s="68">
        <f>Cifras_Originales!$G$11</f>
        <v>-396</v>
      </c>
      <c r="I33" s="68">
        <f>Cifras_Originales!$G$13+Cifras_Originales!$G$14</f>
        <v>-5334.8</v>
      </c>
      <c r="J33" s="469" t="s">
        <v>86</v>
      </c>
      <c r="K33" s="297">
        <f>Cifras_Originales!B17</f>
        <v>-302.7</v>
      </c>
      <c r="L33" s="466">
        <f>Cifras_Originales!C17</f>
        <v>-276.2</v>
      </c>
      <c r="M33" s="394"/>
      <c r="N33" s="421">
        <f t="shared" si="1"/>
        <v>0.15551849082647951</v>
      </c>
      <c r="O33" s="422">
        <f t="shared" si="1"/>
        <v>-8.4343689998582549E-2</v>
      </c>
      <c r="P33" s="423">
        <f>E32/E31-1</f>
        <v>0.43068088597210852</v>
      </c>
      <c r="Q33" s="423">
        <f>F34/F33-1</f>
        <v>-0.19924129968662374</v>
      </c>
      <c r="R33" s="423">
        <f t="shared" si="2"/>
        <v>0.66596550273453947</v>
      </c>
      <c r="S33" s="423">
        <f t="shared" si="2"/>
        <v>15.506188118811881</v>
      </c>
      <c r="T33" s="439"/>
      <c r="U33" s="394"/>
      <c r="V33" s="394"/>
      <c r="W33" s="394"/>
    </row>
    <row r="34" spans="2:23">
      <c r="B34" s="47">
        <f t="shared" si="0"/>
        <v>2020</v>
      </c>
      <c r="C34" s="294">
        <f>Cifras_Originales!F6</f>
        <v>4452.3</v>
      </c>
      <c r="D34" s="69">
        <f>Cifras_Originales!F8/C34</f>
        <v>0.1504166385912899</v>
      </c>
      <c r="E34" s="294">
        <f>Cifras_Originales!F17+Cifras_Originales!F18</f>
        <v>-261</v>
      </c>
      <c r="F34" s="68">
        <f>Cifras_Originales!$F$16</f>
        <v>485.5</v>
      </c>
      <c r="G34" s="298">
        <f>Cifras_Originales!$F$39/Cifras_Originales!$F$27</f>
        <v>0.60613844278860241</v>
      </c>
      <c r="H34" s="68">
        <f>Cifras_Originales!$F$11</f>
        <v>-604.5</v>
      </c>
      <c r="I34" s="68">
        <f>Cifras_Originales!$F$13+Cifras_Originales!$F$14</f>
        <v>-208</v>
      </c>
      <c r="J34" s="469" t="s">
        <v>87</v>
      </c>
      <c r="K34" s="297">
        <f>Cifras_Originales!B18</f>
        <v>-325.60000000000002</v>
      </c>
      <c r="L34" s="466">
        <f>Cifras_Originales!C18</f>
        <v>-162.30000000000001</v>
      </c>
      <c r="M34" s="394"/>
      <c r="N34" s="421">
        <f t="shared" si="1"/>
        <v>0.10803344781245339</v>
      </c>
      <c r="O34" s="422">
        <f t="shared" si="1"/>
        <v>-0.2563925477515735</v>
      </c>
      <c r="P34" s="423">
        <f>E33/E32-1</f>
        <v>0.21674311926605516</v>
      </c>
      <c r="Q34" s="423">
        <f>F35/F34-1</f>
        <v>0.59402677651905256</v>
      </c>
      <c r="R34" s="423">
        <f t="shared" si="2"/>
        <v>0.5265151515151516</v>
      </c>
      <c r="S34" s="423">
        <f t="shared" si="2"/>
        <v>-0.96101072205143589</v>
      </c>
      <c r="T34" s="439"/>
      <c r="U34" s="394"/>
      <c r="V34" s="394"/>
      <c r="W34" s="394"/>
    </row>
    <row r="35" spans="2:23">
      <c r="B35" s="47">
        <f t="shared" si="0"/>
        <v>2021</v>
      </c>
      <c r="C35" s="294">
        <f>Cifras_Originales!E6</f>
        <v>4860</v>
      </c>
      <c r="D35" s="69">
        <f>Cifras_Originales!E8/C35</f>
        <v>0.20975308641975307</v>
      </c>
      <c r="E35" s="294">
        <f>Cifras_Originales!E17+Cifras_Originales!E18</f>
        <v>-274.3</v>
      </c>
      <c r="F35" s="68">
        <f>Cifras_Originales!$E$16</f>
        <v>773.9</v>
      </c>
      <c r="G35" s="298">
        <f>Cifras_Originales!$E$39/Cifras_Originales!$E$27</f>
        <v>0.56318088151518775</v>
      </c>
      <c r="H35" s="68">
        <f>Cifras_Originales!$E$11</f>
        <v>-574.6</v>
      </c>
      <c r="I35" s="68">
        <f>Cifras_Originales!$E$13+Cifras_Originales!$E$14</f>
        <v>-160.4</v>
      </c>
      <c r="J35" s="469" t="s">
        <v>88</v>
      </c>
      <c r="K35" s="297">
        <f>(Cifras_en_Millones!$C$54+Cifras_en_Millones!$C$50)-(Cifras_en_Millones!$D$50+Cifras_en_Millones!$D$54)</f>
        <v>-497.09999999999991</v>
      </c>
      <c r="L35" s="466">
        <f>(Cifras_en_Millones!$D$54+Cifras_en_Millones!$D$50)-(Cifras_en_Millones!$E$50+Cifras_en_Millones!$E54)</f>
        <v>-5.3000000000001819</v>
      </c>
      <c r="M35" s="394"/>
      <c r="N35" s="421">
        <f t="shared" si="1"/>
        <v>9.1570648878107841E-2</v>
      </c>
      <c r="O35" s="422">
        <f t="shared" si="1"/>
        <v>0.3944806132098948</v>
      </c>
      <c r="P35" s="423">
        <f>E34/E33-1</f>
        <v>0.22997172478793582</v>
      </c>
      <c r="Q35" s="423">
        <f>F36/F35-1</f>
        <v>0.20196407804625927</v>
      </c>
      <c r="R35" s="423">
        <f t="shared" si="2"/>
        <v>-4.9462365591397828E-2</v>
      </c>
      <c r="S35" s="423">
        <f t="shared" si="2"/>
        <v>-0.22884615384615381</v>
      </c>
      <c r="T35" s="439"/>
      <c r="U35" s="394"/>
      <c r="V35" s="394"/>
      <c r="W35" s="394"/>
    </row>
    <row r="36" spans="2:23">
      <c r="B36" s="47">
        <f t="shared" si="0"/>
        <v>2022</v>
      </c>
      <c r="C36" s="294">
        <f>Cifras_Originales!D6</f>
        <v>5665.3</v>
      </c>
      <c r="D36" s="69">
        <f>Cifras_Originales!D8/C36</f>
        <v>0.22997899493407234</v>
      </c>
      <c r="E36" s="294">
        <f>Cifras_Originales!D17+Cifras_Originales!D18</f>
        <v>-602.5</v>
      </c>
      <c r="F36" s="68">
        <f>Cifras_Originales!$D$16</f>
        <v>930.2</v>
      </c>
      <c r="G36" s="298">
        <f>Cifras_Originales!$D$39/Cifras_Originales!$D$27</f>
        <v>0.48637201898871751</v>
      </c>
      <c r="H36" s="68">
        <f>Cifras_Originales!$D$11</f>
        <v>-596.79999999999995</v>
      </c>
      <c r="I36" s="68">
        <f>Cifras_Originales!$D$13+Cifras_Originales!$D$14</f>
        <v>-213.9</v>
      </c>
      <c r="J36" s="469" t="s">
        <v>89</v>
      </c>
      <c r="K36" s="470">
        <f>1211.9-OP!$K$33-OP!$K$35</f>
        <v>2011.7</v>
      </c>
      <c r="L36" s="476">
        <f>537-OP!$L$33-OP!$L$35</f>
        <v>818.50000000000023</v>
      </c>
      <c r="M36" s="394"/>
      <c r="N36" s="421">
        <f t="shared" si="1"/>
        <v>0.16569958847736621</v>
      </c>
      <c r="O36" s="422">
        <f t="shared" si="1"/>
        <v>9.6427227172446228E-2</v>
      </c>
      <c r="P36" s="423"/>
      <c r="Q36" s="423"/>
      <c r="R36" s="423"/>
      <c r="S36" s="423"/>
      <c r="T36" s="439"/>
      <c r="U36" s="394"/>
      <c r="V36" s="394"/>
      <c r="W36" s="394"/>
    </row>
    <row r="37" spans="2:23">
      <c r="B37" s="47">
        <f t="shared" si="0"/>
        <v>2023</v>
      </c>
      <c r="C37" s="294">
        <f>Cifras_Originales!C6</f>
        <v>5951.4</v>
      </c>
      <c r="D37" s="69">
        <f>Cifras_Originales!C8/C37</f>
        <v>0.20867358940753439</v>
      </c>
      <c r="E37" s="294">
        <f>Cifras_Originales!C17+Cifras_Originales!C18</f>
        <v>-438.5</v>
      </c>
      <c r="F37" s="68">
        <f>Cifras_Originales!$C16</f>
        <v>1050.2</v>
      </c>
      <c r="G37" s="298">
        <f>Cifras_Originales!$C$39/Cifras_Originales!$C$27</f>
        <v>0.4634259765838713</v>
      </c>
      <c r="H37" s="68">
        <f>Cifras_Originales!$C$11</f>
        <v>-569.5</v>
      </c>
      <c r="I37" s="68">
        <f>Cifras_Originales!$C$13+Cifras_Originales!$C$14</f>
        <v>-161.70000000000002</v>
      </c>
      <c r="J37" s="469"/>
      <c r="K37" s="297"/>
      <c r="L37" s="466"/>
      <c r="M37" s="394"/>
      <c r="N37" s="421">
        <f t="shared" si="1"/>
        <v>5.0500414805923599E-2</v>
      </c>
      <c r="O37" s="422">
        <f t="shared" si="1"/>
        <v>-9.2640658476855875E-2</v>
      </c>
      <c r="P37" s="423"/>
      <c r="Q37" s="423"/>
      <c r="R37" s="423"/>
      <c r="S37" s="423"/>
      <c r="T37" s="439"/>
      <c r="U37" s="394"/>
      <c r="V37" s="394"/>
      <c r="W37" s="394"/>
    </row>
    <row r="38" spans="2:23">
      <c r="B38" s="47">
        <v>2024</v>
      </c>
      <c r="C38" s="295">
        <f>Cifras_Originales!B6</f>
        <v>6213.6</v>
      </c>
      <c r="D38" s="296">
        <f>Cifras_Originales!B8/Cifras_Originales!B6</f>
        <v>0.2188103514870606</v>
      </c>
      <c r="E38" s="295">
        <f>Cifras_Originales!B17+Cifras_Originales!B18</f>
        <v>-628.29999999999995</v>
      </c>
      <c r="F38" s="297">
        <f>Cifras_Originales!B16</f>
        <v>1198.0999999999999</v>
      </c>
      <c r="G38" s="298">
        <f>Cifras_Originales!$B$39/Cifras_Originales!$B$27</f>
        <v>0.41587814150354757</v>
      </c>
      <c r="H38" s="297">
        <f>Cifras_Originales!$B$11</f>
        <v>-561</v>
      </c>
      <c r="I38" s="297">
        <f>Cifras_Originales!$B$13+Cifras_Originales!$B$14</f>
        <v>-191.8</v>
      </c>
      <c r="J38" s="469"/>
      <c r="K38" s="297"/>
      <c r="L38" s="466"/>
      <c r="M38" s="394"/>
      <c r="N38" s="423"/>
      <c r="O38" s="423"/>
      <c r="P38" s="423"/>
      <c r="Q38" s="423"/>
      <c r="R38" s="423"/>
      <c r="S38" s="423"/>
      <c r="T38" s="439"/>
      <c r="U38" s="394"/>
      <c r="V38" s="394"/>
      <c r="W38" s="394"/>
    </row>
    <row r="39" spans="2:23">
      <c r="B39" s="88" t="s">
        <v>90</v>
      </c>
      <c r="C39" s="299">
        <f>(C38/C26)^(1/($B$38-$B$26))-1</f>
        <v>9.7783862637481844E-2</v>
      </c>
      <c r="D39" s="299">
        <f t="shared" ref="D39:H39" si="3">(D38/D26)^(1/($B$38-$B$26))-1</f>
        <v>-1.0041260132360064E-2</v>
      </c>
      <c r="E39" s="299">
        <f t="shared" si="3"/>
        <v>0.20935183886446751</v>
      </c>
      <c r="F39" s="299">
        <f t="shared" si="3"/>
        <v>0.1109880164871091</v>
      </c>
      <c r="G39" s="299">
        <f t="shared" si="3"/>
        <v>1.481308971376194E-2</v>
      </c>
      <c r="H39" s="299">
        <f t="shared" si="3"/>
        <v>0.12807594112210063</v>
      </c>
      <c r="I39" s="299">
        <f t="shared" ref="I39" si="4">(I38/I26)^(1/($B$38-$B$26))-1</f>
        <v>-1.0915398952380362E-2</v>
      </c>
      <c r="J39" s="465" t="s">
        <v>91</v>
      </c>
      <c r="K39" s="297">
        <v>-67.5</v>
      </c>
      <c r="L39" s="466">
        <v>128.19999999999999</v>
      </c>
      <c r="M39" s="394"/>
      <c r="N39" s="423"/>
      <c r="O39" s="423"/>
      <c r="P39" s="423"/>
      <c r="Q39" s="423"/>
      <c r="R39" s="423"/>
      <c r="S39" s="423"/>
      <c r="T39" s="439"/>
      <c r="U39" s="394"/>
      <c r="V39" s="394"/>
      <c r="W39" s="394"/>
    </row>
    <row r="40" spans="2:23">
      <c r="B40" s="50" t="s">
        <v>92</v>
      </c>
      <c r="C40" s="299">
        <f t="shared" ref="C40:H40" si="5">AVERAGE(N27:N37)</f>
        <v>0.10434611229616066</v>
      </c>
      <c r="D40" s="69">
        <f t="shared" si="5"/>
        <v>-5.9689773029505196E-4</v>
      </c>
      <c r="E40" s="420">
        <f>(E38-E26)/13</f>
        <v>-43.392307692307682</v>
      </c>
      <c r="F40" s="69">
        <f t="shared" si="5"/>
        <v>0.15608700135831452</v>
      </c>
      <c r="G40" s="69">
        <f t="shared" si="5"/>
        <v>0.21409705454313516</v>
      </c>
      <c r="H40" s="98">
        <f t="shared" si="5"/>
        <v>2.7954899349330633</v>
      </c>
      <c r="I40" s="98"/>
      <c r="J40" s="465" t="s">
        <v>93</v>
      </c>
      <c r="K40" s="297">
        <f>Cifras_en_Millones!C40-Cifras_en_Millones!D40</f>
        <v>384.29999999999973</v>
      </c>
      <c r="L40" s="466">
        <f>Cifras_en_Millones!D40-Cifras_en_Millones!E40</f>
        <v>799.30000000000018</v>
      </c>
      <c r="M40" s="394"/>
      <c r="N40" s="423"/>
      <c r="O40" s="423"/>
      <c r="P40" s="423"/>
      <c r="Q40" s="423"/>
      <c r="R40" s="423"/>
      <c r="S40" s="423"/>
      <c r="T40" s="423"/>
      <c r="U40" s="394"/>
      <c r="V40" s="394"/>
      <c r="W40" s="394"/>
    </row>
    <row r="41" spans="2:23">
      <c r="B41" s="50" t="s">
        <v>94</v>
      </c>
      <c r="C41" s="69">
        <f t="shared" ref="C41:H41" si="6">+STDEV(C26:C37)/AVERAGE(C26:C37)</f>
        <v>0.36637779869740905</v>
      </c>
      <c r="D41" s="69">
        <f t="shared" si="6"/>
        <v>0.12139250607951813</v>
      </c>
      <c r="E41" s="69">
        <f>+STDEV(E26:E36)/AVERAGE(E26:E36)</f>
        <v>-0.76177535086342696</v>
      </c>
      <c r="F41" s="69">
        <f>+STDEV(F26:F37)/AVERAGE(F26:F37)</f>
        <v>0.42389175046142524</v>
      </c>
      <c r="G41" s="69">
        <f t="shared" si="6"/>
        <v>0.18704179402672885</v>
      </c>
      <c r="H41" s="69">
        <f t="shared" si="6"/>
        <v>-0.5742050780513489</v>
      </c>
      <c r="I41" s="69">
        <f t="shared" ref="I41" si="7">+STDEV(I26:I37)/AVERAGE(I26:I37)</f>
        <v>-2.0796445264450378</v>
      </c>
      <c r="J41" s="471" t="s">
        <v>95</v>
      </c>
      <c r="K41" s="472">
        <f>K31/(Cifras_en_Millones!C5-Cifras_en_Millones!D5)</f>
        <v>-0.73760488176963945</v>
      </c>
      <c r="L41" s="473">
        <f>L31/(Cifras_en_Millones!D5-Cifras_en_Millones!E5)</f>
        <v>-0.50786438308283921</v>
      </c>
      <c r="M41" s="394"/>
      <c r="N41" s="423"/>
      <c r="O41" s="423"/>
      <c r="P41" s="423"/>
      <c r="Q41" s="423"/>
      <c r="R41" s="423"/>
      <c r="S41" s="423"/>
      <c r="T41" s="423"/>
      <c r="U41" s="394"/>
      <c r="V41" s="394"/>
      <c r="W41" s="394"/>
    </row>
    <row r="42" spans="2:23">
      <c r="B42" s="50" t="s">
        <v>96</v>
      </c>
      <c r="C42" s="69">
        <f t="shared" ref="C42:D42" si="8">C37/C36-1</f>
        <v>5.0500414805923599E-2</v>
      </c>
      <c r="D42" s="69">
        <f t="shared" si="8"/>
        <v>-9.2640658476855875E-2</v>
      </c>
      <c r="E42" s="69">
        <f>E36/E35-1</f>
        <v>1.1965001822821728</v>
      </c>
      <c r="F42" s="296">
        <f>F37/F36-1</f>
        <v>0.12900451515803057</v>
      </c>
      <c r="G42" s="69">
        <f>G37/G36-1</f>
        <v>-4.7177965649743747E-2</v>
      </c>
      <c r="H42" s="69">
        <f>H37/H36-1</f>
        <v>-4.5743967828418164E-2</v>
      </c>
      <c r="I42" s="69">
        <f>I37/I36-1</f>
        <v>-0.24403927068723696</v>
      </c>
      <c r="J42" s="465" t="s">
        <v>97</v>
      </c>
      <c r="K42" s="474">
        <f>K32-Cifras_en_Millones!C17</f>
        <v>562.6</v>
      </c>
      <c r="L42" s="475">
        <f>L32-Cifras_en_Millones!D17</f>
        <v>636</v>
      </c>
      <c r="M42" s="394"/>
      <c r="N42" s="439"/>
      <c r="O42" s="439"/>
      <c r="P42" s="439"/>
      <c r="Q42" s="439"/>
      <c r="R42" s="439"/>
      <c r="S42" s="439"/>
      <c r="T42" s="439"/>
      <c r="U42" s="394"/>
      <c r="V42" s="394"/>
      <c r="W42" s="394"/>
    </row>
    <row r="43" spans="2:23" ht="12.75" customHeight="1">
      <c r="B43" s="551" t="s">
        <v>98</v>
      </c>
      <c r="C43" s="552"/>
      <c r="D43" s="552"/>
      <c r="E43" s="552"/>
      <c r="F43" s="552"/>
      <c r="G43" s="552"/>
      <c r="H43" s="553"/>
      <c r="I43" s="546"/>
      <c r="J43" s="546"/>
      <c r="K43" s="546"/>
      <c r="L43" s="547"/>
      <c r="M43" s="394"/>
      <c r="N43" s="394"/>
      <c r="O43" s="394"/>
      <c r="P43" s="394"/>
      <c r="Q43" s="394"/>
      <c r="R43" s="394"/>
      <c r="S43" s="394"/>
      <c r="T43" s="394"/>
      <c r="U43" s="394"/>
      <c r="V43" s="394"/>
      <c r="W43" s="394"/>
    </row>
    <row r="44" spans="2:23" ht="34.5" customHeight="1">
      <c r="B44" s="542" t="s">
        <v>99</v>
      </c>
      <c r="C44" s="543"/>
      <c r="D44" s="543"/>
      <c r="E44" s="543"/>
      <c r="F44" s="543"/>
      <c r="G44" s="543"/>
      <c r="H44" s="543"/>
      <c r="I44" s="546"/>
      <c r="J44" s="546"/>
      <c r="K44" s="546"/>
      <c r="L44" s="547"/>
      <c r="M44" s="394"/>
      <c r="N44" s="394"/>
      <c r="O44" s="394"/>
      <c r="P44" s="394"/>
      <c r="Q44" s="394"/>
      <c r="R44" s="394"/>
      <c r="S44" s="394"/>
      <c r="T44" s="394"/>
      <c r="U44" s="394"/>
      <c r="V44" s="394"/>
      <c r="W44" s="394"/>
    </row>
    <row r="45" spans="2:23">
      <c r="B45" s="551" t="s">
        <v>100</v>
      </c>
      <c r="C45" s="552"/>
      <c r="D45" s="552"/>
      <c r="E45" s="552"/>
      <c r="F45" s="552"/>
      <c r="G45" s="552"/>
      <c r="H45" s="553"/>
      <c r="I45" s="546"/>
      <c r="J45" s="546"/>
      <c r="K45" s="546"/>
      <c r="L45" s="547"/>
      <c r="M45" s="394"/>
      <c r="N45" s="394"/>
      <c r="O45" s="394"/>
      <c r="P45" s="394"/>
      <c r="Q45" s="394"/>
      <c r="R45" s="394"/>
      <c r="S45" s="394"/>
      <c r="T45" s="394"/>
      <c r="U45" s="394"/>
      <c r="V45" s="394"/>
      <c r="W45" s="394"/>
    </row>
    <row r="46" spans="2:23" ht="42.75" customHeight="1">
      <c r="B46" s="542" t="s">
        <v>101</v>
      </c>
      <c r="C46" s="543"/>
      <c r="D46" s="543"/>
      <c r="E46" s="543"/>
      <c r="F46" s="543"/>
      <c r="G46" s="543"/>
      <c r="H46" s="543"/>
      <c r="I46" s="546"/>
      <c r="J46" s="546"/>
      <c r="K46" s="546"/>
      <c r="L46" s="547"/>
      <c r="M46" s="394"/>
      <c r="N46" s="394"/>
      <c r="O46" s="394"/>
      <c r="P46" s="394"/>
      <c r="Q46" s="394"/>
      <c r="R46" s="394"/>
      <c r="S46" s="394"/>
      <c r="T46" s="394"/>
      <c r="U46" s="394"/>
      <c r="V46" s="394"/>
      <c r="W46" s="394"/>
    </row>
    <row r="47" spans="2:23">
      <c r="B47" s="554" t="s">
        <v>102</v>
      </c>
      <c r="C47" s="555"/>
      <c r="D47" s="555"/>
      <c r="E47" s="555"/>
      <c r="F47" s="555"/>
      <c r="G47" s="555"/>
      <c r="H47" s="555"/>
      <c r="I47" s="546"/>
      <c r="J47" s="546"/>
      <c r="K47" s="546"/>
      <c r="L47" s="547"/>
      <c r="M47" s="394"/>
      <c r="N47" s="394"/>
      <c r="O47" s="394"/>
      <c r="P47" s="394"/>
      <c r="Q47" s="394"/>
      <c r="R47" s="394"/>
      <c r="S47" s="394"/>
      <c r="T47" s="394"/>
      <c r="U47" s="394"/>
      <c r="V47" s="394"/>
      <c r="W47" s="394"/>
    </row>
    <row r="48" spans="2:23" ht="42.75" customHeight="1">
      <c r="B48" s="542" t="s">
        <v>103</v>
      </c>
      <c r="C48" s="543"/>
      <c r="D48" s="543"/>
      <c r="E48" s="543"/>
      <c r="F48" s="543"/>
      <c r="G48" s="543"/>
      <c r="H48" s="543"/>
      <c r="I48" s="546"/>
      <c r="J48" s="546"/>
      <c r="K48" s="546"/>
      <c r="L48" s="547"/>
      <c r="M48" s="394"/>
      <c r="N48" s="394"/>
      <c r="O48" s="394"/>
      <c r="P48" s="394"/>
      <c r="Q48" s="394"/>
      <c r="R48" s="394"/>
      <c r="S48" s="394"/>
      <c r="T48" s="394"/>
      <c r="U48" s="394"/>
      <c r="V48" s="394"/>
      <c r="W48" s="394"/>
    </row>
    <row r="49" spans="2:12">
      <c r="B49" s="544" t="s">
        <v>104</v>
      </c>
      <c r="C49" s="545"/>
      <c r="D49" s="545"/>
      <c r="E49" s="545"/>
      <c r="F49" s="545"/>
      <c r="G49" s="545"/>
      <c r="H49" s="545"/>
      <c r="I49" s="546"/>
      <c r="J49" s="546"/>
      <c r="K49" s="546"/>
      <c r="L49" s="547"/>
    </row>
    <row r="50" spans="2:12" ht="42.75" customHeight="1">
      <c r="B50" s="542" t="s">
        <v>105</v>
      </c>
      <c r="C50" s="543"/>
      <c r="D50" s="543"/>
      <c r="E50" s="543"/>
      <c r="F50" s="543"/>
      <c r="G50" s="543"/>
      <c r="H50" s="543"/>
      <c r="I50" s="548" t="s">
        <v>106</v>
      </c>
      <c r="J50" s="549"/>
      <c r="K50" s="549"/>
      <c r="L50" s="550"/>
    </row>
    <row r="51" spans="2:12">
      <c r="B51" s="15" t="s">
        <v>107</v>
      </c>
    </row>
    <row r="52" spans="2:12" ht="13.5" customHeight="1">
      <c r="B52" s="39" t="s">
        <v>108</v>
      </c>
      <c r="C52" s="71" t="s">
        <v>109</v>
      </c>
      <c r="D52" s="71" t="s">
        <v>110</v>
      </c>
      <c r="E52" s="71" t="s">
        <v>111</v>
      </c>
      <c r="F52" s="71" t="s">
        <v>112</v>
      </c>
      <c r="G52" s="71" t="s">
        <v>71</v>
      </c>
      <c r="H52" s="71" t="s">
        <v>113</v>
      </c>
      <c r="I52" s="71" t="s">
        <v>114</v>
      </c>
      <c r="J52" s="71"/>
      <c r="K52" s="71"/>
      <c r="L52" s="71"/>
    </row>
    <row r="54" spans="2:12">
      <c r="B54" s="39" t="s">
        <v>115</v>
      </c>
    </row>
  </sheetData>
  <mergeCells count="32">
    <mergeCell ref="B6:C6"/>
    <mergeCell ref="D6:E6"/>
    <mergeCell ref="F6:H6"/>
    <mergeCell ref="I6:J6"/>
    <mergeCell ref="K6:L6"/>
    <mergeCell ref="E2:J2"/>
    <mergeCell ref="B3:C4"/>
    <mergeCell ref="D3:L3"/>
    <mergeCell ref="D4:L5"/>
    <mergeCell ref="B5:C5"/>
    <mergeCell ref="F7:G7"/>
    <mergeCell ref="F13:H13"/>
    <mergeCell ref="B16:C16"/>
    <mergeCell ref="I20:K20"/>
    <mergeCell ref="B21:G22"/>
    <mergeCell ref="H21:H22"/>
    <mergeCell ref="I21:K23"/>
    <mergeCell ref="L21:L22"/>
    <mergeCell ref="B23:G23"/>
    <mergeCell ref="L23:L24"/>
    <mergeCell ref="B24:G24"/>
    <mergeCell ref="J25:L25"/>
    <mergeCell ref="B48:H48"/>
    <mergeCell ref="B49:H49"/>
    <mergeCell ref="I43:L49"/>
    <mergeCell ref="B46:H46"/>
    <mergeCell ref="I50:L50"/>
    <mergeCell ref="B43:H43"/>
    <mergeCell ref="B44:H44"/>
    <mergeCell ref="B45:H45"/>
    <mergeCell ref="B47:H47"/>
    <mergeCell ref="B50:H50"/>
  </mergeCells>
  <conditionalFormatting sqref="C26:C37">
    <cfRule type="dataBar" priority="10">
      <dataBar>
        <cfvo type="min"/>
        <cfvo type="max"/>
        <color rgb="FF63C384"/>
      </dataBar>
      <extLst>
        <ext xmlns:x14="http://schemas.microsoft.com/office/spreadsheetml/2009/9/main" uri="{B025F937-C7B1-47D3-B67F-A62EFF666E3E}">
          <x14:id>{BDFB50DC-917B-4794-8367-A02BE334701F}</x14:id>
        </ext>
      </extLst>
    </cfRule>
  </conditionalFormatting>
  <conditionalFormatting sqref="C26:C38">
    <cfRule type="dataBar" priority="7">
      <dataBar>
        <cfvo type="min"/>
        <cfvo type="max"/>
        <color rgb="FF63C384"/>
      </dataBar>
      <extLst>
        <ext xmlns:x14="http://schemas.microsoft.com/office/spreadsheetml/2009/9/main" uri="{B025F937-C7B1-47D3-B67F-A62EFF666E3E}">
          <x14:id>{677D01A4-6600-44CE-9B9E-8F4D4F9E3D0B}</x14:id>
        </ext>
      </extLst>
    </cfRule>
  </conditionalFormatting>
  <conditionalFormatting sqref="D26:D37">
    <cfRule type="dataBar" priority="9">
      <dataBar>
        <cfvo type="min"/>
        <cfvo type="max"/>
        <color rgb="FF638EC6"/>
      </dataBar>
      <extLst>
        <ext xmlns:x14="http://schemas.microsoft.com/office/spreadsheetml/2009/9/main" uri="{B025F937-C7B1-47D3-B67F-A62EFF666E3E}">
          <x14:id>{A8A4C7E4-6949-45F6-82AF-5554021E9066}</x14:id>
        </ext>
      </extLst>
    </cfRule>
  </conditionalFormatting>
  <conditionalFormatting sqref="D27:D38">
    <cfRule type="dataBar" priority="6">
      <dataBar>
        <cfvo type="min"/>
        <cfvo type="max"/>
        <color rgb="FF638EC6"/>
      </dataBar>
      <extLst>
        <ext xmlns:x14="http://schemas.microsoft.com/office/spreadsheetml/2009/9/main" uri="{B025F937-C7B1-47D3-B67F-A62EFF666E3E}">
          <x14:id>{7B293DB4-1930-4DF8-9FA1-0E0CA7390E75}</x14:id>
        </ext>
      </extLst>
    </cfRule>
  </conditionalFormatting>
  <conditionalFormatting sqref="E26:E37">
    <cfRule type="dataBar" priority="11">
      <dataBar>
        <cfvo type="min"/>
        <cfvo type="max"/>
        <color rgb="FF63C384"/>
      </dataBar>
      <extLst>
        <ext xmlns:x14="http://schemas.microsoft.com/office/spreadsheetml/2009/9/main" uri="{B025F937-C7B1-47D3-B67F-A62EFF666E3E}">
          <x14:id>{2F2447BE-6D01-4962-9321-EB7A7E6FD9DB}</x14:id>
        </ext>
      </extLst>
    </cfRule>
  </conditionalFormatting>
  <conditionalFormatting sqref="E26:E38">
    <cfRule type="dataBar" priority="5">
      <dataBar>
        <cfvo type="min"/>
        <cfvo type="max"/>
        <color rgb="FFFF555A"/>
      </dataBar>
      <extLst>
        <ext xmlns:x14="http://schemas.microsoft.com/office/spreadsheetml/2009/9/main" uri="{B025F937-C7B1-47D3-B67F-A62EFF666E3E}">
          <x14:id>{685DA3E7-7408-4938-9410-52F0D0C24276}</x14:id>
        </ext>
      </extLst>
    </cfRule>
  </conditionalFormatting>
  <conditionalFormatting sqref="F26:F38">
    <cfRule type="dataBar" priority="2">
      <dataBar>
        <cfvo type="min"/>
        <cfvo type="max"/>
        <color rgb="FF63C384"/>
      </dataBar>
      <extLst>
        <ext xmlns:x14="http://schemas.microsoft.com/office/spreadsheetml/2009/9/main" uri="{B025F937-C7B1-47D3-B67F-A62EFF666E3E}">
          <x14:id>{324E582C-30EE-4C78-8234-F386046A338D}</x14:id>
        </ext>
      </extLst>
    </cfRule>
  </conditionalFormatting>
  <conditionalFormatting sqref="G26:G38">
    <cfRule type="dataBar" priority="1">
      <dataBar>
        <cfvo type="min"/>
        <cfvo type="max"/>
        <color rgb="FF008AEF"/>
      </dataBar>
      <extLst>
        <ext xmlns:x14="http://schemas.microsoft.com/office/spreadsheetml/2009/9/main" uri="{B025F937-C7B1-47D3-B67F-A62EFF666E3E}">
          <x14:id>{7520FA86-1FD5-4A49-A6CD-B4A76CB22164}</x14:id>
        </ext>
      </extLst>
    </cfRule>
  </conditionalFormatting>
  <conditionalFormatting sqref="H26:H38">
    <cfRule type="dataBar" priority="4">
      <dataBar>
        <cfvo type="min"/>
        <cfvo type="max"/>
        <color rgb="FF63C384"/>
      </dataBar>
      <extLst>
        <ext xmlns:x14="http://schemas.microsoft.com/office/spreadsheetml/2009/9/main" uri="{B025F937-C7B1-47D3-B67F-A62EFF666E3E}">
          <x14:id>{8B32D8CF-20A4-46B8-9D18-D8DD8C0BA496}</x14:id>
        </ext>
      </extLst>
    </cfRule>
  </conditionalFormatting>
  <conditionalFormatting sqref="I26:I38">
    <cfRule type="dataBar" priority="3">
      <dataBar>
        <cfvo type="min"/>
        <cfvo type="max"/>
        <color rgb="FF63C384"/>
      </dataBar>
      <extLst>
        <ext xmlns:x14="http://schemas.microsoft.com/office/spreadsheetml/2009/9/main" uri="{B025F937-C7B1-47D3-B67F-A62EFF666E3E}">
          <x14:id>{AC6B4107-C0D5-4F70-B03D-2C78CA8CF8D5}</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BDFB50DC-917B-4794-8367-A02BE334701F}">
            <x14:dataBar minLength="0" maxLength="100" border="1" negativeBarBorderColorSameAsPositive="0">
              <x14:cfvo type="autoMin"/>
              <x14:cfvo type="autoMax"/>
              <x14:borderColor rgb="FF63C384"/>
              <x14:negativeFillColor rgb="FFFF0000"/>
              <x14:negativeBorderColor rgb="FFFF0000"/>
              <x14:axisColor rgb="FF000000"/>
            </x14:dataBar>
          </x14:cfRule>
          <xm:sqref>C26:C37</xm:sqref>
        </x14:conditionalFormatting>
        <x14:conditionalFormatting xmlns:xm="http://schemas.microsoft.com/office/excel/2006/main">
          <x14:cfRule type="dataBar" id="{677D01A4-6600-44CE-9B9E-8F4D4F9E3D0B}">
            <x14:dataBar minLength="0" maxLength="100" border="1" negativeBarBorderColorSameAsPositive="0">
              <x14:cfvo type="autoMin"/>
              <x14:cfvo type="autoMax"/>
              <x14:borderColor rgb="FF63C384"/>
              <x14:negativeFillColor rgb="FFFF0000"/>
              <x14:negativeBorderColor rgb="FFFF0000"/>
              <x14:axisColor rgb="FF000000"/>
            </x14:dataBar>
          </x14:cfRule>
          <xm:sqref>C26:C38</xm:sqref>
        </x14:conditionalFormatting>
        <x14:conditionalFormatting xmlns:xm="http://schemas.microsoft.com/office/excel/2006/main">
          <x14:cfRule type="dataBar" id="{A8A4C7E4-6949-45F6-82AF-5554021E9066}">
            <x14:dataBar minLength="0" maxLength="100" border="1" negativeBarBorderColorSameAsPositive="0">
              <x14:cfvo type="autoMin"/>
              <x14:cfvo type="autoMax"/>
              <x14:borderColor rgb="FF638EC6"/>
              <x14:negativeFillColor rgb="FFFF0000"/>
              <x14:negativeBorderColor rgb="FFFF0000"/>
              <x14:axisColor rgb="FF000000"/>
            </x14:dataBar>
          </x14:cfRule>
          <xm:sqref>D26:D37</xm:sqref>
        </x14:conditionalFormatting>
        <x14:conditionalFormatting xmlns:xm="http://schemas.microsoft.com/office/excel/2006/main">
          <x14:cfRule type="dataBar" id="{7B293DB4-1930-4DF8-9FA1-0E0CA7390E75}">
            <x14:dataBar minLength="0" maxLength="100" border="1" negativeBarBorderColorSameAsPositive="0">
              <x14:cfvo type="autoMin"/>
              <x14:cfvo type="autoMax"/>
              <x14:borderColor rgb="FF638EC6"/>
              <x14:negativeFillColor rgb="FFFF0000"/>
              <x14:negativeBorderColor rgb="FFFF0000"/>
              <x14:axisColor rgb="FF000000"/>
            </x14:dataBar>
          </x14:cfRule>
          <xm:sqref>D27:D38</xm:sqref>
        </x14:conditionalFormatting>
        <x14:conditionalFormatting xmlns:xm="http://schemas.microsoft.com/office/excel/2006/main">
          <x14:cfRule type="dataBar" id="{2F2447BE-6D01-4962-9321-EB7A7E6FD9DB}">
            <x14:dataBar minLength="0" maxLength="100" border="1" negativeBarBorderColorSameAsPositive="0">
              <x14:cfvo type="autoMin"/>
              <x14:cfvo type="autoMax"/>
              <x14:borderColor rgb="FF63C384"/>
              <x14:negativeFillColor rgb="FFFF0000"/>
              <x14:negativeBorderColor rgb="FFFF0000"/>
              <x14:axisColor rgb="FF000000"/>
            </x14:dataBar>
          </x14:cfRule>
          <xm:sqref>E26:E37</xm:sqref>
        </x14:conditionalFormatting>
        <x14:conditionalFormatting xmlns:xm="http://schemas.microsoft.com/office/excel/2006/main">
          <x14:cfRule type="dataBar" id="{685DA3E7-7408-4938-9410-52F0D0C24276}">
            <x14:dataBar minLength="0" maxLength="100" border="1" negativeBarBorderColorSameAsPositive="0">
              <x14:cfvo type="autoMin"/>
              <x14:cfvo type="autoMax"/>
              <x14:borderColor rgb="FFFF555A"/>
              <x14:negativeFillColor rgb="FFFF0000"/>
              <x14:negativeBorderColor rgb="FFFF0000"/>
              <x14:axisColor rgb="FF000000"/>
            </x14:dataBar>
          </x14:cfRule>
          <xm:sqref>E26:E38</xm:sqref>
        </x14:conditionalFormatting>
        <x14:conditionalFormatting xmlns:xm="http://schemas.microsoft.com/office/excel/2006/main">
          <x14:cfRule type="dataBar" id="{324E582C-30EE-4C78-8234-F386046A338D}">
            <x14:dataBar minLength="0" maxLength="100" border="1" negativeBarBorderColorSameAsPositive="0">
              <x14:cfvo type="autoMin"/>
              <x14:cfvo type="autoMax"/>
              <x14:borderColor rgb="FF63C384"/>
              <x14:negativeFillColor rgb="FFFF0000"/>
              <x14:negativeBorderColor rgb="FFFF0000"/>
              <x14:axisColor rgb="FF000000"/>
            </x14:dataBar>
          </x14:cfRule>
          <xm:sqref>F26:F38</xm:sqref>
        </x14:conditionalFormatting>
        <x14:conditionalFormatting xmlns:xm="http://schemas.microsoft.com/office/excel/2006/main">
          <x14:cfRule type="dataBar" id="{7520FA86-1FD5-4A49-A6CD-B4A76CB22164}">
            <x14:dataBar minLength="0" maxLength="100" border="1" negativeBarBorderColorSameAsPositive="0">
              <x14:cfvo type="autoMin"/>
              <x14:cfvo type="autoMax"/>
              <x14:borderColor rgb="FF008AEF"/>
              <x14:negativeFillColor rgb="FFFF0000"/>
              <x14:negativeBorderColor rgb="FFFF0000"/>
              <x14:axisColor rgb="FF000000"/>
            </x14:dataBar>
          </x14:cfRule>
          <xm:sqref>G26:G38</xm:sqref>
        </x14:conditionalFormatting>
        <x14:conditionalFormatting xmlns:xm="http://schemas.microsoft.com/office/excel/2006/main">
          <x14:cfRule type="dataBar" id="{8B32D8CF-20A4-46B8-9D18-D8DD8C0BA496}">
            <x14:dataBar minLength="0" maxLength="100" border="1" negativeBarBorderColorSameAsPositive="0">
              <x14:cfvo type="autoMin"/>
              <x14:cfvo type="autoMax"/>
              <x14:borderColor rgb="FF63C384"/>
              <x14:negativeFillColor rgb="FFFF0000"/>
              <x14:negativeBorderColor rgb="FFFF0000"/>
              <x14:axisColor rgb="FF000000"/>
            </x14:dataBar>
          </x14:cfRule>
          <xm:sqref>H26:H38</xm:sqref>
        </x14:conditionalFormatting>
        <x14:conditionalFormatting xmlns:xm="http://schemas.microsoft.com/office/excel/2006/main">
          <x14:cfRule type="dataBar" id="{AC6B4107-C0D5-4F70-B03D-2C78CA8CF8D5}">
            <x14:dataBar minLength="0" maxLength="100" border="1" negativeBarBorderColorSameAsPositive="0">
              <x14:cfvo type="autoMin"/>
              <x14:cfvo type="autoMax"/>
              <x14:borderColor rgb="FF63C384"/>
              <x14:negativeFillColor rgb="FFFF0000"/>
              <x14:negativeBorderColor rgb="FFFF0000"/>
              <x14:axisColor rgb="FF000000"/>
            </x14:dataBar>
          </x14:cfRule>
          <xm:sqref>I26:I38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N24"/>
  <sheetViews>
    <sheetView showGridLines="0" workbookViewId="0">
      <selection activeCell="A24" sqref="A24"/>
    </sheetView>
  </sheetViews>
  <sheetFormatPr defaultColWidth="11.28515625" defaultRowHeight="12.75"/>
  <sheetData>
    <row r="1" spans="1:14">
      <c r="A1" s="125" t="s">
        <v>116</v>
      </c>
      <c r="G1" s="125" t="s">
        <v>117</v>
      </c>
      <c r="N1" s="125" t="s">
        <v>118</v>
      </c>
    </row>
    <row r="2" spans="1:14">
      <c r="A2" s="71" t="s">
        <v>119</v>
      </c>
      <c r="G2" s="71" t="s">
        <v>120</v>
      </c>
      <c r="N2" s="71" t="s">
        <v>121</v>
      </c>
    </row>
    <row r="23" spans="1:1">
      <c r="A23" s="71" t="s">
        <v>122</v>
      </c>
    </row>
    <row r="24" spans="1:1">
      <c r="A24" s="125" t="s">
        <v>123</v>
      </c>
    </row>
  </sheetData>
  <hyperlinks>
    <hyperlink ref="A1" r:id="rId1" xr:uid="{00000000-0004-0000-0100-000000000000}"/>
    <hyperlink ref="G1" r:id="rId2" xr:uid="{00000000-0004-0000-0100-000001000000}"/>
    <hyperlink ref="A24" r:id="rId3" xr:uid="{00000000-0004-0000-0100-000002000000}"/>
    <hyperlink ref="N1" r:id="rId4" xr:uid="{00000000-0004-0000-0100-000003000000}"/>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9"/>
  </sheetPr>
  <dimension ref="B1:S37"/>
  <sheetViews>
    <sheetView showGridLines="0" topLeftCell="B1" zoomScale="78" zoomScaleNormal="115" workbookViewId="0">
      <selection activeCell="H31" sqref="H31"/>
    </sheetView>
  </sheetViews>
  <sheetFormatPr defaultColWidth="11.28515625" defaultRowHeight="12.75" customHeight="1"/>
  <cols>
    <col min="1" max="1" width="2.140625" customWidth="1"/>
    <col min="2" max="2" width="29" bestFit="1" customWidth="1"/>
    <col min="3" max="3" width="15.28515625" style="4" customWidth="1"/>
    <col min="4" max="8" width="15.28515625" customWidth="1"/>
    <col min="9" max="9" width="15.28515625" hidden="1" customWidth="1"/>
    <col min="10" max="10" width="15.28515625" customWidth="1"/>
    <col min="11" max="11" width="1.28515625" customWidth="1"/>
    <col min="12" max="12" width="10.7109375" customWidth="1"/>
  </cols>
  <sheetData>
    <row r="1" spans="2:19" ht="7.5" customHeight="1"/>
    <row r="2" spans="2:19" ht="20.100000000000001" customHeight="1">
      <c r="B2" s="597" t="s">
        <v>124</v>
      </c>
      <c r="C2" s="598"/>
      <c r="D2" s="598"/>
      <c r="E2" s="598"/>
      <c r="F2" s="598"/>
      <c r="G2" s="598"/>
      <c r="H2" s="599"/>
      <c r="I2" s="185"/>
      <c r="J2" s="185"/>
      <c r="L2" s="338"/>
      <c r="M2" s="338"/>
      <c r="N2" s="339"/>
      <c r="O2" s="339"/>
      <c r="P2" s="339"/>
      <c r="Q2" s="339"/>
      <c r="R2" s="339"/>
      <c r="S2" s="339"/>
    </row>
    <row r="3" spans="2:19">
      <c r="B3" s="111"/>
      <c r="C3" s="16">
        <v>2024</v>
      </c>
      <c r="D3" s="16">
        <f>C3-1</f>
        <v>2023</v>
      </c>
      <c r="E3" s="16" t="s">
        <v>125</v>
      </c>
      <c r="F3" s="16" t="s">
        <v>126</v>
      </c>
      <c r="G3" s="16" t="s">
        <v>127</v>
      </c>
      <c r="H3" s="18" t="s">
        <v>128</v>
      </c>
      <c r="I3" s="13"/>
      <c r="J3" s="13"/>
      <c r="K3" s="71"/>
      <c r="L3" s="340"/>
      <c r="M3" s="340"/>
      <c r="N3" s="340"/>
      <c r="O3" s="340"/>
      <c r="P3" s="340"/>
      <c r="Q3" s="340"/>
      <c r="R3" s="340"/>
      <c r="S3" s="340"/>
    </row>
    <row r="4" spans="2:19">
      <c r="B4" s="288" t="s">
        <v>129</v>
      </c>
      <c r="C4" s="2">
        <v>2214.6999999999998</v>
      </c>
      <c r="D4" s="289">
        <v>2142</v>
      </c>
      <c r="E4" s="7"/>
      <c r="F4" s="12">
        <f>D4/SUM($D$4:$D$6)</f>
        <v>0.3996268656716418</v>
      </c>
      <c r="G4" s="12"/>
      <c r="H4" s="115">
        <f>+C4/D4-1</f>
        <v>3.3940242763772055E-2</v>
      </c>
      <c r="I4" s="186"/>
      <c r="J4" s="267" t="str">
        <f>IF(D4="","",IF(F4=0,"NA",TEXT(F4,"0%"))&amp;"; "&amp;IF(G4=0,"NA",TEXT(G4,"0.0%"))&amp;"; "&amp;IF(H4=0,"NA",TEXT(H4,"0%")))</f>
        <v>40%; NA; 3%</v>
      </c>
      <c r="L4" s="341"/>
      <c r="M4" s="342" t="s">
        <v>130</v>
      </c>
      <c r="N4" s="342"/>
      <c r="O4" s="342"/>
      <c r="P4" s="342"/>
      <c r="Q4" s="342"/>
      <c r="R4" s="342"/>
      <c r="S4" s="342"/>
    </row>
    <row r="5" spans="2:19">
      <c r="B5" s="288" t="s">
        <v>131</v>
      </c>
      <c r="C5" s="5">
        <v>2150.4</v>
      </c>
      <c r="D5" s="289">
        <v>2027</v>
      </c>
      <c r="E5" s="7"/>
      <c r="F5" s="12">
        <f>D5/SUM($D$4:$D$6)</f>
        <v>0.37817164179104479</v>
      </c>
      <c r="G5" s="12"/>
      <c r="H5" s="115">
        <f t="shared" ref="H5:H6" si="0">+C5/D5-1</f>
        <v>6.0878145041934006E-2</v>
      </c>
      <c r="I5" s="186"/>
      <c r="J5" s="267" t="str">
        <f>IF(D5="","",IF(F5=0,"NA",TEXT(F5,"0%"))&amp;"; "&amp;IF(G5=0,"NA",TEXT(G5,"0.0%"))&amp;"; "&amp;IF(H5=0,"NA",TEXT(H5,"0%")))</f>
        <v>38%; NA; 6%</v>
      </c>
      <c r="L5" s="341"/>
      <c r="M5" s="342" t="s">
        <v>132</v>
      </c>
      <c r="N5" s="342"/>
      <c r="O5" s="342"/>
      <c r="P5" s="342"/>
      <c r="Q5" s="342"/>
      <c r="R5" s="342"/>
      <c r="S5" s="342"/>
    </row>
    <row r="6" spans="2:19">
      <c r="B6" s="288" t="s">
        <v>133</v>
      </c>
      <c r="C6" s="5">
        <v>1248.0999999999999</v>
      </c>
      <c r="D6" s="289">
        <v>1191</v>
      </c>
      <c r="E6" s="7"/>
      <c r="F6" s="12">
        <f>D6/SUM($D$4:$D$6)</f>
        <v>0.22220149253731344</v>
      </c>
      <c r="G6" s="12"/>
      <c r="H6" s="115">
        <f t="shared" si="0"/>
        <v>4.7942905121746371E-2</v>
      </c>
      <c r="I6" s="186"/>
      <c r="J6" s="267" t="str">
        <f>IF(D6="","",IF(F6=0,"NA",TEXT(F6,"0%"))&amp;"; "&amp;IF(G6=0,"NA",TEXT(G6,"0.0%"))&amp;"; "&amp;IF(H6=0,"NA",TEXT(H6,"0%")))</f>
        <v>22%; NA; 5%</v>
      </c>
      <c r="L6" s="343"/>
      <c r="M6" s="342" t="s">
        <v>134</v>
      </c>
      <c r="N6" s="180"/>
      <c r="O6" s="180"/>
      <c r="P6" s="180"/>
      <c r="Q6" s="180"/>
      <c r="R6" s="180"/>
      <c r="S6" s="180"/>
    </row>
    <row r="7" spans="2:19">
      <c r="B7" s="112"/>
      <c r="C7" s="113"/>
      <c r="D7" s="113"/>
      <c r="E7" s="7"/>
      <c r="F7" s="12"/>
      <c r="G7" s="114"/>
      <c r="H7" s="115"/>
      <c r="I7" s="186"/>
      <c r="J7" s="267" t="str">
        <f>IF(C7="","",IF(F7=0,"NA",TEXT(F7,"0%"))&amp;"; "&amp;IF(G7=0,"NA",TEXT(G7,"0.0%"))&amp;"; "&amp;IF(H7=0,"NA",TEXT(H7,"0%")))</f>
        <v/>
      </c>
      <c r="L7" s="343"/>
      <c r="M7" s="180"/>
      <c r="N7" s="180"/>
      <c r="O7" s="180"/>
      <c r="P7" s="180"/>
      <c r="Q7" s="180"/>
      <c r="R7" s="180"/>
      <c r="S7" s="180"/>
    </row>
    <row r="8" spans="2:19">
      <c r="B8" s="112"/>
      <c r="C8" s="1"/>
      <c r="D8" s="1"/>
      <c r="E8" s="7"/>
      <c r="F8" s="12"/>
      <c r="G8" s="12"/>
      <c r="H8" s="115"/>
      <c r="I8" s="186"/>
      <c r="J8" s="267" t="str">
        <f>IF(C8="","",IF(F8=0,"NA",TEXT(F8,"0%"))&amp;"; "&amp;IF(G8=0,"NA",TEXT(G8,"0.0%"))&amp;"; "&amp;IF(H8=0,"NA",TEXT(H8,"0%")))</f>
        <v/>
      </c>
      <c r="L8" s="343"/>
      <c r="M8" s="180"/>
      <c r="N8" s="180"/>
      <c r="O8" s="180"/>
      <c r="P8" s="180"/>
      <c r="Q8" s="180"/>
      <c r="R8" s="180"/>
      <c r="S8" s="180"/>
    </row>
    <row r="9" spans="2:19">
      <c r="B9" s="100"/>
      <c r="C9" s="1"/>
      <c r="D9" s="89"/>
      <c r="E9" s="97"/>
      <c r="F9" s="12"/>
      <c r="G9" s="12"/>
      <c r="H9" s="115"/>
      <c r="I9" s="186"/>
      <c r="J9" s="267" t="str">
        <f t="shared" ref="J9:J13" si="1">IF(C9="","",IF(F9=0,"NA",TEXT(F9,"0%"))&amp;"; "&amp;IF(G9=0,"NA",TEXT(G9,"0.0%"))&amp;"; "&amp;IF(H9=0,"NA",TEXT(H9,"0%")))</f>
        <v/>
      </c>
      <c r="L9" s="345"/>
      <c r="M9" s="346"/>
      <c r="N9" s="346"/>
      <c r="O9" s="346"/>
      <c r="P9" s="346"/>
      <c r="Q9" s="346"/>
      <c r="R9" s="346"/>
      <c r="S9" s="346"/>
    </row>
    <row r="10" spans="2:19">
      <c r="B10" s="100"/>
      <c r="C10" s="89"/>
      <c r="D10" s="89"/>
      <c r="E10" s="7"/>
      <c r="F10" s="12"/>
      <c r="G10" s="12"/>
      <c r="H10" s="115"/>
      <c r="I10" s="186"/>
      <c r="J10" s="267" t="str">
        <f t="shared" si="1"/>
        <v/>
      </c>
      <c r="L10" s="347"/>
      <c r="M10" s="86"/>
      <c r="N10" s="86"/>
      <c r="O10" s="86"/>
      <c r="P10" s="86"/>
      <c r="Q10" s="86"/>
      <c r="R10" s="86"/>
      <c r="S10" s="86"/>
    </row>
    <row r="11" spans="2:19">
      <c r="B11" s="100"/>
      <c r="C11" s="1"/>
      <c r="D11" s="89"/>
      <c r="E11" s="7"/>
      <c r="F11" s="12"/>
      <c r="G11" s="12"/>
      <c r="H11" s="115"/>
      <c r="I11" s="186"/>
      <c r="J11" s="267" t="str">
        <f t="shared" si="1"/>
        <v/>
      </c>
      <c r="L11" s="347"/>
    </row>
    <row r="12" spans="2:19">
      <c r="B12" s="100"/>
      <c r="C12" s="1"/>
      <c r="D12" s="89"/>
      <c r="E12" s="7"/>
      <c r="F12" s="12"/>
      <c r="G12" s="12"/>
      <c r="H12" s="115"/>
      <c r="I12" s="186"/>
      <c r="J12" s="267" t="str">
        <f t="shared" si="1"/>
        <v/>
      </c>
      <c r="L12" s="347"/>
      <c r="M12" s="86"/>
      <c r="N12" s="86"/>
      <c r="O12" s="86"/>
      <c r="P12" s="86"/>
      <c r="Q12" s="86"/>
      <c r="R12" s="86"/>
      <c r="S12" s="86"/>
    </row>
    <row r="13" spans="2:19">
      <c r="B13" s="99"/>
      <c r="C13" s="101"/>
      <c r="D13" s="101"/>
      <c r="E13" s="7"/>
      <c r="F13" s="12"/>
      <c r="G13" s="102"/>
      <c r="H13" s="103"/>
      <c r="I13" s="187"/>
      <c r="J13" s="267" t="str">
        <f t="shared" si="1"/>
        <v/>
      </c>
      <c r="L13" s="347"/>
      <c r="M13" s="86"/>
      <c r="N13" s="86"/>
      <c r="O13" s="86"/>
      <c r="P13" s="86"/>
      <c r="Q13" s="86"/>
      <c r="R13" s="86"/>
      <c r="S13" s="86"/>
    </row>
    <row r="14" spans="2:19">
      <c r="B14" s="20" t="s">
        <v>135</v>
      </c>
      <c r="C14" s="41">
        <f>SUM(C4:C12)</f>
        <v>5613.2000000000007</v>
      </c>
      <c r="D14" s="41">
        <f>SUM(D4:D12)</f>
        <v>5360</v>
      </c>
      <c r="E14" s="34">
        <f>SUM(E4:E13)</f>
        <v>0</v>
      </c>
      <c r="F14" s="17">
        <f>C14/SUM($C$4:$C$13)</f>
        <v>1</v>
      </c>
      <c r="G14" s="73">
        <f>E14/C14</f>
        <v>0</v>
      </c>
      <c r="H14" s="21">
        <f>C14/D14-1</f>
        <v>4.72388059701494E-2</v>
      </c>
      <c r="I14" s="187"/>
      <c r="J14" s="187"/>
      <c r="L14" s="344"/>
      <c r="M14" s="86"/>
      <c r="N14" s="86"/>
      <c r="O14" s="86"/>
      <c r="P14" s="86"/>
      <c r="Q14" s="86"/>
      <c r="R14" s="86"/>
      <c r="S14" s="86"/>
    </row>
    <row r="15" spans="2:19" ht="15" customHeight="1">
      <c r="B15" s="600" t="s">
        <v>136</v>
      </c>
      <c r="C15" s="601"/>
      <c r="D15" s="601"/>
      <c r="E15" s="601"/>
      <c r="F15" s="601"/>
      <c r="G15" s="601"/>
      <c r="H15" s="602"/>
      <c r="I15" s="185"/>
      <c r="J15" s="185"/>
      <c r="L15" s="5"/>
      <c r="M15" s="348"/>
      <c r="N15" s="348"/>
      <c r="O15" s="348"/>
      <c r="P15" s="348"/>
      <c r="Q15" s="348"/>
      <c r="R15" s="348"/>
      <c r="S15" s="348"/>
    </row>
    <row r="16" spans="2:19">
      <c r="B16" s="20"/>
      <c r="C16" s="16">
        <f>2024</f>
        <v>2024</v>
      </c>
      <c r="D16" s="16">
        <f>C16-1</f>
        <v>2023</v>
      </c>
      <c r="E16" s="16" t="s">
        <v>137</v>
      </c>
      <c r="F16" s="16" t="s">
        <v>126</v>
      </c>
      <c r="G16" s="16" t="s">
        <v>127</v>
      </c>
      <c r="H16" s="18" t="s">
        <v>128</v>
      </c>
      <c r="I16" s="13"/>
      <c r="J16" s="13"/>
      <c r="K16" s="71"/>
      <c r="L16" s="346"/>
      <c r="M16" s="86"/>
      <c r="N16" s="86"/>
      <c r="O16" s="86"/>
      <c r="P16" s="86"/>
      <c r="Q16" s="86"/>
      <c r="R16" s="86"/>
      <c r="S16" s="86"/>
    </row>
    <row r="17" spans="2:19">
      <c r="B17" s="290" t="s">
        <v>138</v>
      </c>
      <c r="C17" s="2">
        <v>3019.6</v>
      </c>
      <c r="D17" s="289">
        <v>2908</v>
      </c>
      <c r="E17" s="72"/>
      <c r="F17" s="12">
        <f>D17/SUM($D$17:$D$19)</f>
        <v>0.54253731343283584</v>
      </c>
      <c r="G17" s="12"/>
      <c r="H17" s="115">
        <f>+C17/D17-1</f>
        <v>3.8376891334250374E-2</v>
      </c>
      <c r="I17" s="186"/>
      <c r="J17" s="267" t="str">
        <f>IF(D17="","",IF(F17=0,"NA",TEXT(F17,"0%"))&amp;"; "&amp;IF(G17=0,"NA",TEXT(G17,"0.0%"))&amp;"; "&amp;IF(H17=0,"NA",TEXT(H17,"0%")))</f>
        <v>54%; NA; 4%</v>
      </c>
      <c r="K17" s="7"/>
      <c r="L17" s="14"/>
      <c r="M17" s="349"/>
      <c r="N17" s="349"/>
      <c r="O17" s="349"/>
      <c r="P17" s="349"/>
      <c r="Q17" s="349"/>
      <c r="R17" s="349"/>
      <c r="S17" s="349"/>
    </row>
    <row r="18" spans="2:19">
      <c r="B18" s="288" t="s">
        <v>139</v>
      </c>
      <c r="C18" s="2">
        <v>1144.2</v>
      </c>
      <c r="D18" s="289">
        <v>1159</v>
      </c>
      <c r="E18" s="72"/>
      <c r="F18" s="12">
        <f>D18/SUM($D$17:$D$19)</f>
        <v>0.21623134328358209</v>
      </c>
      <c r="G18" s="12"/>
      <c r="H18" s="115">
        <f t="shared" ref="H18:H19" si="2">+C18/D18-1</f>
        <v>-1.2769628990509041E-2</v>
      </c>
      <c r="I18" s="186"/>
      <c r="J18" s="267" t="str">
        <f>IF(D18="","",IF(F18=0,"NA",TEXT(F18,"0%"))&amp;"; "&amp;IF(G18=0,"NA",TEXT(G18,"0.0%"))&amp;"; "&amp;IF(H18=0,"NA",TEXT(H18,"0%")))</f>
        <v>22%; NA; -1%</v>
      </c>
      <c r="K18" s="7"/>
      <c r="L18" s="350"/>
    </row>
    <row r="19" spans="2:19">
      <c r="B19" s="288" t="s">
        <v>140</v>
      </c>
      <c r="C19" s="2">
        <v>1449.4</v>
      </c>
      <c r="D19" s="289">
        <v>1293</v>
      </c>
      <c r="E19" s="72"/>
      <c r="F19" s="12">
        <f>D19/SUM($D$17:$D$19)</f>
        <v>0.24123134328358209</v>
      </c>
      <c r="G19" s="12"/>
      <c r="H19" s="115">
        <f t="shared" si="2"/>
        <v>0.12095901005413778</v>
      </c>
      <c r="I19" s="278"/>
      <c r="J19" s="267" t="str">
        <f>IF(D19="","",IF(F19=0,"NA",TEXT(F19,"0%"))&amp;"; "&amp;IF(G19=0,"NA",TEXT(G19,"0.0%"))&amp;"; "&amp;IF(H19=0,"NA",TEXT(H19,"0%")))</f>
        <v>24%; NA; 12%</v>
      </c>
      <c r="K19" s="7"/>
      <c r="L19" s="351"/>
    </row>
    <row r="20" spans="2:19">
      <c r="B20" s="112"/>
      <c r="C20" s="1"/>
      <c r="D20" s="1"/>
      <c r="E20" s="72"/>
      <c r="F20" s="117"/>
      <c r="G20" s="12"/>
      <c r="H20" s="115"/>
      <c r="I20" s="186"/>
      <c r="J20" s="267" t="str">
        <f>IF(C20="","",IF(F20=0,"NA",TEXT(F20,"0%"))&amp;"; "&amp;IF(G20=0,"NA",TEXT(G20,"0.0%"))&amp;"; "&amp;IF(H20=0,"NA",TEXT(H20,"0%")))</f>
        <v/>
      </c>
      <c r="K20" s="7"/>
      <c r="L20" s="351"/>
    </row>
    <row r="21" spans="2:19">
      <c r="B21" s="112"/>
      <c r="C21" s="1"/>
      <c r="D21" s="1"/>
      <c r="E21" s="72"/>
      <c r="F21" s="12"/>
      <c r="G21" s="12"/>
      <c r="H21" s="115"/>
      <c r="I21" s="186"/>
      <c r="J21" s="267" t="str">
        <f>IF(C21="","",IF(F21=0,"NA",TEXT(F21,"0%"))&amp;"; "&amp;IF(G21=0,"NA",TEXT(G21,"0.0%"))&amp;"; "&amp;IF(H21=0,"NA",TEXT(H21,"0%")))</f>
        <v/>
      </c>
      <c r="K21" s="7"/>
      <c r="L21" s="351"/>
    </row>
    <row r="22" spans="2:19">
      <c r="B22" s="112"/>
      <c r="C22" s="1"/>
      <c r="D22" s="1"/>
      <c r="E22" s="72"/>
      <c r="F22" s="12"/>
      <c r="G22" s="12"/>
      <c r="H22" s="115"/>
      <c r="I22" s="186"/>
      <c r="J22" s="267" t="str">
        <f t="shared" ref="J22:J26" si="3">IF(C22="","",IF(F22=0,"NA",TEXT(F22,"0%"))&amp;"; "&amp;IF(G22=0,"NA",TEXT(G22,"0.0%"))&amp;"; "&amp;IF(H22=0,"NA",TEXT(H22,"0%")))</f>
        <v/>
      </c>
      <c r="L22" s="14"/>
    </row>
    <row r="23" spans="2:19">
      <c r="B23" s="19"/>
      <c r="C23" s="1"/>
      <c r="D23" s="1"/>
      <c r="E23" s="72"/>
      <c r="F23" s="12"/>
      <c r="G23" s="12"/>
      <c r="H23" s="115"/>
      <c r="I23" s="186"/>
      <c r="J23" s="267" t="str">
        <f t="shared" si="3"/>
        <v/>
      </c>
    </row>
    <row r="24" spans="2:19">
      <c r="B24" s="19"/>
      <c r="C24" s="1"/>
      <c r="D24" s="1"/>
      <c r="E24" s="72"/>
      <c r="F24" s="12"/>
      <c r="G24" s="12"/>
      <c r="H24" s="115"/>
      <c r="I24" s="186"/>
      <c r="J24" s="267" t="str">
        <f t="shared" si="3"/>
        <v/>
      </c>
    </row>
    <row r="25" spans="2:19">
      <c r="B25" s="19"/>
      <c r="C25" s="1"/>
      <c r="D25" s="7"/>
      <c r="E25" s="7"/>
      <c r="F25" s="12"/>
      <c r="G25" s="12"/>
      <c r="H25" s="115"/>
      <c r="I25" s="186"/>
      <c r="J25" s="267" t="str">
        <f t="shared" si="3"/>
        <v/>
      </c>
    </row>
    <row r="26" spans="2:19">
      <c r="B26" s="19"/>
      <c r="C26" s="1"/>
      <c r="D26" s="7"/>
      <c r="E26" s="7"/>
      <c r="F26" s="12"/>
      <c r="G26" s="12"/>
      <c r="H26" s="115"/>
      <c r="I26" s="186"/>
      <c r="J26" s="267" t="str">
        <f t="shared" si="3"/>
        <v/>
      </c>
    </row>
    <row r="27" spans="2:19">
      <c r="B27" s="22" t="s">
        <v>135</v>
      </c>
      <c r="C27" s="42">
        <f>SUM(C17:C26)</f>
        <v>5613.2000000000007</v>
      </c>
      <c r="D27" s="35">
        <f>SUM(D17:D26)</f>
        <v>5360</v>
      </c>
      <c r="E27" s="35">
        <f>SUM(E17:E26)</f>
        <v>0</v>
      </c>
      <c r="F27" s="23">
        <f>C27/SUM(C17:C26)</f>
        <v>1</v>
      </c>
      <c r="G27" s="90">
        <f>E27/C27</f>
        <v>0</v>
      </c>
      <c r="H27" s="24">
        <f>C27/D27-1</f>
        <v>4.72388059701494E-2</v>
      </c>
      <c r="I27" s="187"/>
      <c r="J27" s="187"/>
    </row>
    <row r="34" spans="2:11">
      <c r="C34" s="1"/>
    </row>
    <row r="35" spans="2:11" ht="15.75">
      <c r="B35" s="596"/>
      <c r="C35" s="596"/>
      <c r="D35" s="596"/>
      <c r="E35" s="596"/>
      <c r="F35" s="596"/>
      <c r="G35" s="596"/>
      <c r="H35" s="596"/>
      <c r="I35" s="166"/>
      <c r="J35" s="166"/>
    </row>
    <row r="36" spans="2:11" ht="15.75">
      <c r="B36" s="596"/>
      <c r="C36" s="596"/>
      <c r="D36" s="596"/>
      <c r="E36" s="596"/>
      <c r="F36" s="596"/>
      <c r="G36" s="596"/>
      <c r="H36" s="596"/>
      <c r="I36" s="166"/>
      <c r="J36" s="166"/>
    </row>
    <row r="37" spans="2:11" ht="15.75">
      <c r="B37" s="596"/>
      <c r="C37" s="596"/>
      <c r="D37" s="596"/>
      <c r="E37" s="596"/>
      <c r="F37" s="596"/>
      <c r="G37" s="596"/>
      <c r="H37" s="596"/>
      <c r="I37" s="166"/>
      <c r="J37" s="166"/>
      <c r="K37" s="91"/>
    </row>
  </sheetData>
  <mergeCells count="3">
    <mergeCell ref="B35:H37"/>
    <mergeCell ref="B2:H2"/>
    <mergeCell ref="B15:H15"/>
  </mergeCells>
  <phoneticPr fontId="0" type="noConversion"/>
  <pageMargins left="0.75" right="0.75" top="1" bottom="1" header="0" footer="0"/>
  <pageSetup orientation="landscape"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M169"/>
  <sheetViews>
    <sheetView showGridLines="0" zoomScale="134" zoomScaleNormal="100" workbookViewId="0">
      <selection activeCell="D17" sqref="D17"/>
    </sheetView>
  </sheetViews>
  <sheetFormatPr defaultColWidth="11.28515625" defaultRowHeight="12.75"/>
  <cols>
    <col min="1" max="1" width="25.7109375" customWidth="1"/>
    <col min="2" max="2" width="22.85546875" customWidth="1"/>
    <col min="3" max="3" width="21.5703125" customWidth="1"/>
    <col min="4" max="4" width="22.140625" customWidth="1"/>
    <col min="5" max="5" width="21.85546875" customWidth="1"/>
    <col min="7" max="7" width="32.5703125" bestFit="1" customWidth="1"/>
  </cols>
  <sheetData>
    <row r="1" spans="1:13" ht="5.25" customHeight="1">
      <c r="B1" s="14" t="e" vm="2">
        <v>#VALUE!</v>
      </c>
      <c r="C1" s="14" t="e" vm="3">
        <v>#VALUE!</v>
      </c>
      <c r="D1" s="14" t="e" vm="4">
        <v>#VALUE!</v>
      </c>
      <c r="E1" s="14" t="e" vm="5">
        <v>#VALUE!</v>
      </c>
    </row>
    <row r="2" spans="1:13" ht="12.75" customHeight="1">
      <c r="A2" s="603" t="s">
        <v>141</v>
      </c>
      <c r="B2" s="129" t="str" cm="1">
        <f t="array" aca="1" ref="B2" ca="1">+_FV(B1,"Ticker symbol",TRUE)</f>
        <v>DSY</v>
      </c>
      <c r="C2" s="129" t="str" cm="1">
        <f t="array" aca="1" ref="C2" ca="1">+_FV(C1,"Ticker symbol",TRUE)</f>
        <v>PTC</v>
      </c>
      <c r="D2" s="129" t="str" cm="1">
        <f t="array" aca="1" ref="D2" ca="1">+_FV(D1,"Ticker symbol",TRUE)</f>
        <v>SIE</v>
      </c>
      <c r="E2" s="129" t="str" cm="1">
        <f t="array" aca="1" ref="E2" ca="1">+_FV(E1,"Ticker symbol",TRUE)</f>
        <v>ADSK</v>
      </c>
    </row>
    <row r="3" spans="1:13" ht="15">
      <c r="A3" s="604"/>
      <c r="B3" s="130" t="str" cm="1">
        <f t="array" aca="1" ref="B3" ca="1">+_FV(B1,"Name")</f>
        <v>Dassault Systemes SE</v>
      </c>
      <c r="C3" s="130" t="str" cm="1">
        <f t="array" aca="1" ref="C3" ca="1">+_FV(C1,"Name")</f>
        <v>PTC INC.</v>
      </c>
      <c r="D3" s="130" t="str" cm="1">
        <f t="array" aca="1" ref="D3" ca="1">+_FV(D1,"Name")</f>
        <v>Siemens AG</v>
      </c>
      <c r="E3" s="130" t="str" cm="1">
        <f t="array" aca="1" ref="E3" ca="1">+_FV(E1,"Name")</f>
        <v>AUTODESK, INC.</v>
      </c>
      <c r="G3" s="127"/>
    </row>
    <row r="4" spans="1:13" ht="15.6" customHeight="1">
      <c r="A4" s="131" t="s">
        <v>142</v>
      </c>
      <c r="B4" s="418">
        <v>5951.4</v>
      </c>
      <c r="C4" s="406">
        <v>2097.1</v>
      </c>
      <c r="D4" s="440">
        <v>74882</v>
      </c>
      <c r="E4" s="406">
        <v>5005</v>
      </c>
    </row>
    <row r="5" spans="1:13" ht="15.6" customHeight="1">
      <c r="A5" s="131" t="s">
        <v>143</v>
      </c>
      <c r="B5" s="458">
        <f>(B4-5665.3)/5665.3</f>
        <v>5.0500414805923682E-2</v>
      </c>
      <c r="C5" s="408">
        <f>(C4-1933.3)/1933.3</f>
        <v>8.4725598717219242E-2</v>
      </c>
      <c r="D5" s="441">
        <f>(D4-71977)/71977</f>
        <v>4.036011503674785E-2</v>
      </c>
      <c r="E5" s="407">
        <f>(E4-4386)/4386</f>
        <v>0.14113087095303237</v>
      </c>
    </row>
    <row r="6" spans="1:13" ht="15.6" customHeight="1">
      <c r="A6" s="131" t="s">
        <v>144</v>
      </c>
      <c r="B6" s="459">
        <f>(5951-4018)/4018</f>
        <v>0.48108511697361872</v>
      </c>
      <c r="C6" s="408">
        <f>(C4-1255.6)/1255.6</f>
        <v>0.67019751513220771</v>
      </c>
      <c r="D6" s="441">
        <f>(D4-58483)/58483</f>
        <v>0.28040627190807588</v>
      </c>
      <c r="E6" s="408">
        <f>(E4-2569.8)/2569.8</f>
        <v>0.94762238306482982</v>
      </c>
    </row>
    <row r="7" spans="1:13" ht="15.6" customHeight="1">
      <c r="A7" s="131" t="s">
        <v>145</v>
      </c>
      <c r="B7" s="415">
        <v>3600.9</v>
      </c>
      <c r="C7" s="409">
        <v>1889</v>
      </c>
      <c r="D7" s="419">
        <v>46596</v>
      </c>
      <c r="E7" s="409">
        <v>2666</v>
      </c>
    </row>
    <row r="8" spans="1:13" ht="15.6" customHeight="1">
      <c r="A8" s="131" t="s">
        <v>146</v>
      </c>
      <c r="B8" s="415">
        <v>14622.5</v>
      </c>
      <c r="C8" s="409">
        <v>6288.8</v>
      </c>
      <c r="D8" s="419">
        <v>145071</v>
      </c>
      <c r="E8" s="409">
        <v>9438</v>
      </c>
    </row>
    <row r="9" spans="1:13" ht="15.6" customHeight="1">
      <c r="A9" s="131" t="s">
        <v>147</v>
      </c>
      <c r="B9" s="460">
        <f>B7/B8</f>
        <v>0.24625747991109592</v>
      </c>
      <c r="C9" s="416">
        <f>C7/C8</f>
        <v>0.30037527032184197</v>
      </c>
      <c r="D9" s="416">
        <f t="shared" ref="D9:E9" si="0">D7/D8</f>
        <v>0.3211944496143268</v>
      </c>
      <c r="E9" s="410">
        <f t="shared" si="0"/>
        <v>0.28247510065691883</v>
      </c>
      <c r="H9" s="127"/>
    </row>
    <row r="10" spans="1:13" ht="15.6" customHeight="1">
      <c r="A10" s="131" t="s">
        <v>148</v>
      </c>
      <c r="B10" s="461">
        <v>2.2999999999999998</v>
      </c>
      <c r="C10" s="411">
        <v>3</v>
      </c>
      <c r="D10" s="260">
        <v>3.6</v>
      </c>
      <c r="E10" s="411">
        <v>2.2000000000000002</v>
      </c>
      <c r="K10" s="127"/>
      <c r="L10" s="127"/>
      <c r="M10" s="127"/>
    </row>
    <row r="11" spans="1:13" ht="15.6" customHeight="1">
      <c r="A11" s="442" t="s">
        <v>149</v>
      </c>
      <c r="B11" s="414">
        <f>(-145.3-16.1)/B4</f>
        <v>-2.7119669321504187E-2</v>
      </c>
      <c r="C11" s="410">
        <f>(-23.8-828.3)/C4</f>
        <v>-0.4063230175003576</v>
      </c>
      <c r="D11" s="261">
        <f>(-2146-407)/D4</f>
        <v>-3.4093640661307122E-2</v>
      </c>
      <c r="E11" s="410">
        <f>(-36.8-88.3)/E4</f>
        <v>-2.4995004995004993E-2</v>
      </c>
      <c r="G11" s="127"/>
      <c r="K11" s="127"/>
      <c r="L11" s="127"/>
      <c r="M11" s="127"/>
    </row>
    <row r="12" spans="1:13" ht="15.6" customHeight="1">
      <c r="A12" s="131" t="s">
        <v>150</v>
      </c>
      <c r="B12" s="459">
        <v>5.62E-2</v>
      </c>
      <c r="C12" s="408">
        <v>5.4399999999999997E-2</v>
      </c>
      <c r="D12" s="404">
        <v>3.9600000000000003E-2</v>
      </c>
      <c r="E12" s="408">
        <v>7.1300000000000002E-2</v>
      </c>
      <c r="K12" s="127"/>
      <c r="L12" s="127"/>
      <c r="M12" s="127"/>
    </row>
    <row r="13" spans="1:13" ht="15.6" customHeight="1">
      <c r="A13" s="131" t="s">
        <v>151</v>
      </c>
      <c r="B13" s="459">
        <v>9.4299999999999995E-2</v>
      </c>
      <c r="C13" s="408">
        <v>8.5900000000000004E-2</v>
      </c>
      <c r="D13" s="404">
        <v>6.83E-2</v>
      </c>
      <c r="E13" s="408">
        <v>0.22239999999999999</v>
      </c>
      <c r="K13" s="127"/>
      <c r="L13" s="127"/>
      <c r="M13" s="127"/>
    </row>
    <row r="14" spans="1:13" ht="15.6" customHeight="1">
      <c r="A14" s="131" t="s">
        <v>75</v>
      </c>
      <c r="B14" s="462">
        <f>1298/B4</f>
        <v>0.2180999428705851</v>
      </c>
      <c r="C14" s="410">
        <f>477.9/C4</f>
        <v>0.22788612846311573</v>
      </c>
      <c r="D14" s="261">
        <f>9401/D4</f>
        <v>0.12554418952485244</v>
      </c>
      <c r="E14" s="410">
        <f>1170/E4</f>
        <v>0.23376623376623376</v>
      </c>
      <c r="K14" s="127"/>
      <c r="L14" s="127"/>
      <c r="M14" s="127"/>
    </row>
    <row r="15" spans="1:13" ht="15.6" customHeight="1">
      <c r="A15" s="259" t="s">
        <v>152</v>
      </c>
      <c r="B15" s="416">
        <f>1319.1/5665.3</f>
        <v>0.23283850811077964</v>
      </c>
      <c r="C15" s="410">
        <f>498.6/1933.3</f>
        <v>0.25790099829307406</v>
      </c>
      <c r="D15" s="261">
        <f>7276/71977</f>
        <v>0.10108784750684247</v>
      </c>
      <c r="E15" s="410">
        <f>618/4386</f>
        <v>0.1409028727770178</v>
      </c>
    </row>
    <row r="16" spans="1:13" ht="15.6" customHeight="1">
      <c r="A16" s="131" t="s">
        <v>153</v>
      </c>
      <c r="B16" s="537">
        <f>668.54/1310</f>
        <v>0.51033587786259538</v>
      </c>
      <c r="C16" s="457">
        <f>113.92/120.32</f>
        <v>0.94680851063829796</v>
      </c>
      <c r="D16" s="261">
        <f>785.88/783.22</f>
        <v>1.0033962360511732</v>
      </c>
      <c r="E16" s="457">
        <f>213.5/215.51</f>
        <v>0.99067328662243059</v>
      </c>
    </row>
    <row r="17" spans="1:6" ht="15.6" customHeight="1">
      <c r="A17" s="133" t="s">
        <v>154</v>
      </c>
      <c r="B17" s="535">
        <v>0.62</v>
      </c>
      <c r="C17" s="412">
        <v>1.19</v>
      </c>
      <c r="D17" s="5">
        <v>1.22</v>
      </c>
      <c r="E17" s="412">
        <v>1.43</v>
      </c>
    </row>
    <row r="18" spans="1:6" ht="15.6" customHeight="1">
      <c r="A18" s="131" t="s">
        <v>155</v>
      </c>
      <c r="B18" s="463">
        <v>54.7</v>
      </c>
      <c r="C18" s="413">
        <v>91.2</v>
      </c>
      <c r="D18" s="405">
        <v>14.8</v>
      </c>
      <c r="E18" s="413">
        <v>60</v>
      </c>
    </row>
    <row r="19" spans="1:6" ht="15.6" customHeight="1">
      <c r="A19" s="259" t="s">
        <v>156</v>
      </c>
      <c r="B19" s="417">
        <v>9.6</v>
      </c>
      <c r="C19" s="413">
        <v>7.9</v>
      </c>
      <c r="D19" s="405">
        <v>1.5</v>
      </c>
      <c r="E19" s="413">
        <v>9.8000000000000007</v>
      </c>
    </row>
    <row r="20" spans="1:6" ht="15.6" customHeight="1">
      <c r="A20" s="131" t="s">
        <v>48</v>
      </c>
      <c r="B20" s="417">
        <f>56285.4/B8</f>
        <v>3.8492323474098136</v>
      </c>
      <c r="C20" s="413">
        <f>18105.6/C8</f>
        <v>2.8790230250604245</v>
      </c>
      <c r="D20" s="405">
        <f>157667.5/D8</f>
        <v>1.0868298970848758</v>
      </c>
      <c r="E20" s="413">
        <f>45482.4/E8</f>
        <v>4.8190718372536558</v>
      </c>
    </row>
    <row r="21" spans="1:6" ht="15.6" customHeight="1">
      <c r="A21" s="131" t="s">
        <v>157</v>
      </c>
      <c r="B21" s="463">
        <v>35.799999999999997</v>
      </c>
      <c r="C21" s="413">
        <v>28.9</v>
      </c>
      <c r="D21" s="405">
        <v>11.5</v>
      </c>
      <c r="E21" s="413">
        <v>41.3</v>
      </c>
    </row>
    <row r="22" spans="1:6" ht="15.6" customHeight="1">
      <c r="A22" s="132" t="s">
        <v>66</v>
      </c>
      <c r="B22" s="464" cm="1">
        <f t="array" aca="1" ref="B22" ca="1">+(-B28*1000000/_FV(B1,"Shares outstanding",TRUE))/_xlfn.STOCKHISTORY(B2,B29-2,B29-2,0,0,1)</f>
        <v>4.6545876228357977E-3</v>
      </c>
      <c r="C22" s="431" cm="1">
        <f t="array" aca="1" ref="C22" ca="1">+(-C28*1000000/_FV(C1,"Shares outstanding",TRUE))/_xlfn.STOCKHISTORY(C2,C29-2,C29-2,0,0,1)</f>
        <v>0</v>
      </c>
      <c r="D22" s="431" cm="1">
        <f t="array" aca="1" ref="D22" ca="1">+(-D28*1000000/_FV(D1,"Shares outstanding",TRUE))/_xlfn.STOCKHISTORY(D2,D29-2,D29-2,0,0,1)</f>
        <v>2.473222693032015E-2</v>
      </c>
      <c r="E22" s="434" cm="1">
        <f t="array" aca="1" ref="E22" ca="1">+(-E28*1000000/_FV(E1,"Shares outstanding",TRUE))/_xlfn.STOCKHISTORY(E2,E29-2,E29-2,0,0,1)</f>
        <v>0</v>
      </c>
    </row>
    <row r="24" spans="1:6">
      <c r="B24" s="36" t="s">
        <v>158</v>
      </c>
    </row>
    <row r="25" spans="1:6">
      <c r="B25" s="36" t="s">
        <v>159</v>
      </c>
    </row>
    <row r="26" spans="1:6" ht="20.25">
      <c r="A26" s="268"/>
      <c r="B26" s="269"/>
      <c r="C26" s="269"/>
      <c r="D26" s="269"/>
      <c r="E26" s="269"/>
      <c r="F26" s="270"/>
    </row>
    <row r="27" spans="1:6" ht="20.25">
      <c r="A27" s="529" t="s">
        <v>160</v>
      </c>
      <c r="B27" s="530"/>
      <c r="C27" s="531"/>
      <c r="D27" s="531"/>
      <c r="E27" s="423"/>
      <c r="F27" s="270"/>
    </row>
    <row r="28" spans="1:6" ht="15.75">
      <c r="A28" s="532" t="s">
        <v>86</v>
      </c>
      <c r="B28" s="533">
        <v>-276.2</v>
      </c>
      <c r="C28" s="533">
        <v>0</v>
      </c>
      <c r="D28" s="533">
        <v>-3362</v>
      </c>
      <c r="E28" s="533">
        <v>0</v>
      </c>
      <c r="F28" s="270"/>
    </row>
    <row r="29" spans="1:6" ht="15.75">
      <c r="A29" s="532" t="s">
        <v>161</v>
      </c>
      <c r="B29" s="534">
        <v>45291</v>
      </c>
      <c r="C29" s="534">
        <v>45291</v>
      </c>
      <c r="D29" s="534">
        <v>45291</v>
      </c>
      <c r="E29" s="534">
        <v>45291</v>
      </c>
      <c r="F29" s="270"/>
    </row>
    <row r="30" spans="1:6" ht="20.25">
      <c r="A30" s="268"/>
      <c r="B30" s="271"/>
      <c r="C30" s="269"/>
      <c r="D30" s="269"/>
      <c r="E30" s="269"/>
      <c r="F30" s="270"/>
    </row>
    <row r="31" spans="1:6" ht="20.25">
      <c r="A31" s="268"/>
      <c r="B31" s="272"/>
      <c r="C31" s="269"/>
      <c r="D31" s="269"/>
      <c r="E31" s="270"/>
      <c r="F31" s="270"/>
    </row>
    <row r="32" spans="1:6" ht="15.75">
      <c r="A32" s="268"/>
      <c r="B32" s="272"/>
      <c r="C32" s="272"/>
      <c r="D32" s="273"/>
      <c r="E32" s="270"/>
      <c r="F32" s="270"/>
    </row>
    <row r="33" spans="1:6">
      <c r="A33" s="270"/>
      <c r="B33" s="270"/>
      <c r="C33" s="270"/>
      <c r="D33" s="270"/>
      <c r="E33" s="270"/>
      <c r="F33" s="270"/>
    </row>
    <row r="34" spans="1:6">
      <c r="A34" s="270"/>
      <c r="B34" s="270"/>
      <c r="C34" s="270"/>
      <c r="D34" s="270"/>
      <c r="E34" s="270"/>
      <c r="F34" s="270"/>
    </row>
    <row r="35" spans="1:6">
      <c r="A35" s="270"/>
      <c r="B35" s="270"/>
      <c r="C35" s="270"/>
      <c r="D35" s="270"/>
      <c r="E35" s="270"/>
      <c r="F35" s="270"/>
    </row>
    <row r="36" spans="1:6">
      <c r="A36" s="270"/>
      <c r="B36" s="270"/>
      <c r="C36" s="270"/>
      <c r="D36" s="270"/>
      <c r="E36" s="270"/>
      <c r="F36" s="270"/>
    </row>
    <row r="37" spans="1:6">
      <c r="A37" s="270"/>
      <c r="B37" s="270"/>
      <c r="C37" s="270"/>
      <c r="D37" s="270"/>
      <c r="E37" s="270"/>
      <c r="F37" s="270"/>
    </row>
    <row r="38" spans="1:6">
      <c r="A38" s="270"/>
      <c r="B38" s="270"/>
      <c r="C38" s="270"/>
      <c r="D38" s="270"/>
      <c r="E38" s="270"/>
      <c r="F38" s="270"/>
    </row>
    <row r="39" spans="1:6">
      <c r="A39" s="270"/>
      <c r="B39" s="270"/>
      <c r="C39" s="270"/>
      <c r="D39" s="270"/>
      <c r="E39" s="270"/>
      <c r="F39" s="270"/>
    </row>
    <row r="40" spans="1:6">
      <c r="A40" s="270"/>
      <c r="B40" s="270"/>
      <c r="C40" s="270"/>
      <c r="D40" s="270"/>
      <c r="E40" s="270"/>
      <c r="F40" s="270"/>
    </row>
    <row r="41" spans="1:6">
      <c r="A41" s="270"/>
      <c r="B41" s="270"/>
      <c r="C41" s="270"/>
      <c r="D41" s="270"/>
      <c r="E41" s="270"/>
      <c r="F41" s="270"/>
    </row>
    <row r="42" spans="1:6">
      <c r="A42" s="270"/>
      <c r="B42" s="270"/>
      <c r="C42" s="270"/>
      <c r="D42" s="270"/>
      <c r="E42" s="270"/>
      <c r="F42" s="270"/>
    </row>
    <row r="43" spans="1:6">
      <c r="A43" s="270"/>
      <c r="B43" s="270"/>
      <c r="C43" s="270"/>
      <c r="D43" s="270"/>
      <c r="E43" s="270"/>
      <c r="F43" s="270"/>
    </row>
    <row r="44" spans="1:6">
      <c r="A44" s="270"/>
      <c r="B44" s="270"/>
      <c r="C44" s="270"/>
      <c r="D44" s="270"/>
      <c r="E44" s="270"/>
      <c r="F44" s="270"/>
    </row>
    <row r="45" spans="1:6">
      <c r="A45" s="270"/>
      <c r="B45" s="270"/>
      <c r="C45" s="270"/>
      <c r="D45" s="270"/>
      <c r="E45" s="270"/>
      <c r="F45" s="270"/>
    </row>
    <row r="46" spans="1:6">
      <c r="A46" s="270"/>
      <c r="B46" s="270"/>
      <c r="C46" s="270"/>
      <c r="D46" s="270"/>
      <c r="E46" s="270"/>
      <c r="F46" s="270"/>
    </row>
    <row r="47" spans="1:6">
      <c r="A47" s="270"/>
      <c r="B47" s="270"/>
      <c r="C47" s="270"/>
      <c r="D47" s="270"/>
      <c r="E47" s="270"/>
      <c r="F47" s="270"/>
    </row>
    <row r="48" spans="1:6">
      <c r="A48" s="270"/>
      <c r="B48" s="270"/>
      <c r="C48" s="270"/>
      <c r="D48" s="270"/>
      <c r="E48" s="270"/>
      <c r="F48" s="270"/>
    </row>
    <row r="49" spans="1:6">
      <c r="A49" s="270"/>
      <c r="B49" s="270"/>
      <c r="C49" s="270"/>
      <c r="D49" s="270"/>
      <c r="E49" s="270"/>
      <c r="F49" s="270"/>
    </row>
    <row r="50" spans="1:6">
      <c r="A50" s="270"/>
      <c r="B50" s="270"/>
      <c r="C50" s="270"/>
      <c r="D50" s="270"/>
      <c r="E50" s="270"/>
      <c r="F50" s="270"/>
    </row>
    <row r="51" spans="1:6">
      <c r="A51" s="270"/>
      <c r="B51" s="270"/>
      <c r="C51" s="270"/>
      <c r="D51" s="270"/>
      <c r="E51" s="270"/>
      <c r="F51" s="270"/>
    </row>
    <row r="52" spans="1:6">
      <c r="A52" s="270"/>
      <c r="B52" s="270"/>
      <c r="C52" s="270"/>
      <c r="D52" s="270"/>
      <c r="E52" s="270"/>
      <c r="F52" s="270"/>
    </row>
    <row r="53" spans="1:6">
      <c r="A53" s="270"/>
      <c r="B53" s="270"/>
      <c r="C53" s="270"/>
      <c r="D53" s="270"/>
      <c r="E53" s="270"/>
      <c r="F53" s="270"/>
    </row>
    <row r="54" spans="1:6">
      <c r="A54" s="270"/>
      <c r="B54" s="270"/>
      <c r="C54" s="270"/>
      <c r="D54" s="270"/>
      <c r="E54" s="270"/>
      <c r="F54" s="270"/>
    </row>
    <row r="55" spans="1:6">
      <c r="A55" s="270"/>
      <c r="B55" s="270"/>
      <c r="C55" s="270"/>
      <c r="D55" s="270"/>
      <c r="E55" s="270"/>
      <c r="F55" s="270"/>
    </row>
    <row r="56" spans="1:6">
      <c r="A56" s="270"/>
      <c r="B56" s="270"/>
      <c r="C56" s="270"/>
      <c r="D56" s="270"/>
      <c r="E56" s="270"/>
      <c r="F56" s="270"/>
    </row>
    <row r="57" spans="1:6">
      <c r="A57" s="270"/>
      <c r="B57" s="270"/>
      <c r="C57" s="270"/>
      <c r="D57" s="270"/>
      <c r="E57" s="270"/>
      <c r="F57" s="270"/>
    </row>
    <row r="58" spans="1:6">
      <c r="A58" s="270"/>
      <c r="B58" s="270"/>
      <c r="C58" s="270"/>
      <c r="D58" s="270"/>
      <c r="E58" s="270"/>
      <c r="F58" s="270"/>
    </row>
    <row r="59" spans="1:6">
      <c r="A59" s="270"/>
      <c r="B59" s="270"/>
      <c r="C59" s="270"/>
      <c r="D59" s="270"/>
      <c r="E59" s="270"/>
      <c r="F59" s="270"/>
    </row>
    <row r="60" spans="1:6">
      <c r="A60" s="270"/>
      <c r="B60" s="270"/>
      <c r="C60" s="270"/>
      <c r="D60" s="270"/>
      <c r="E60" s="270"/>
      <c r="F60" s="270"/>
    </row>
    <row r="61" spans="1:6">
      <c r="A61" s="270"/>
      <c r="B61" s="270"/>
      <c r="C61" s="270"/>
      <c r="D61" s="270"/>
      <c r="E61" s="270"/>
      <c r="F61" s="270"/>
    </row>
    <row r="62" spans="1:6">
      <c r="A62" s="270"/>
      <c r="B62" s="270"/>
      <c r="C62" s="270"/>
      <c r="D62" s="270"/>
      <c r="E62" s="270"/>
      <c r="F62" s="270"/>
    </row>
    <row r="63" spans="1:6">
      <c r="A63" s="270"/>
      <c r="B63" s="270"/>
      <c r="C63" s="270"/>
      <c r="D63" s="270"/>
      <c r="E63" s="270"/>
      <c r="F63" s="270"/>
    </row>
    <row r="64" spans="1:6">
      <c r="A64" s="270"/>
      <c r="B64" s="270"/>
      <c r="C64" s="270"/>
      <c r="D64" s="270"/>
      <c r="E64" s="270"/>
      <c r="F64" s="270"/>
    </row>
    <row r="65" spans="1:6">
      <c r="A65" s="270"/>
      <c r="B65" s="270"/>
      <c r="C65" s="270"/>
      <c r="D65" s="270"/>
      <c r="E65" s="270"/>
      <c r="F65" s="270"/>
    </row>
    <row r="66" spans="1:6">
      <c r="A66" s="270"/>
      <c r="B66" s="270"/>
      <c r="C66" s="270"/>
      <c r="D66" s="270"/>
      <c r="E66" s="270"/>
      <c r="F66" s="270"/>
    </row>
    <row r="67" spans="1:6">
      <c r="A67" s="270"/>
      <c r="B67" s="270"/>
      <c r="C67" s="270"/>
      <c r="D67" s="270"/>
      <c r="E67" s="270"/>
      <c r="F67" s="270"/>
    </row>
    <row r="68" spans="1:6">
      <c r="A68" s="270"/>
      <c r="B68" s="270"/>
      <c r="C68" s="270"/>
      <c r="D68" s="270"/>
      <c r="E68" s="270"/>
      <c r="F68" s="270"/>
    </row>
    <row r="69" spans="1:6">
      <c r="A69" s="270"/>
      <c r="B69" s="270"/>
      <c r="C69" s="270"/>
      <c r="D69" s="270"/>
      <c r="E69" s="270"/>
      <c r="F69" s="270"/>
    </row>
    <row r="70" spans="1:6">
      <c r="A70" s="270"/>
      <c r="B70" s="270"/>
      <c r="C70" s="270"/>
      <c r="D70" s="270"/>
      <c r="E70" s="270"/>
      <c r="F70" s="270"/>
    </row>
    <row r="71" spans="1:6">
      <c r="A71" s="270"/>
      <c r="B71" s="270"/>
      <c r="C71" s="270"/>
      <c r="D71" s="270"/>
      <c r="E71" s="270"/>
      <c r="F71" s="270"/>
    </row>
    <row r="72" spans="1:6">
      <c r="A72" s="270"/>
      <c r="B72" s="270"/>
      <c r="C72" s="270"/>
      <c r="D72" s="270"/>
      <c r="E72" s="270"/>
      <c r="F72" s="270"/>
    </row>
    <row r="73" spans="1:6">
      <c r="A73" s="270"/>
      <c r="B73" s="270"/>
      <c r="C73" s="270"/>
      <c r="D73" s="270"/>
      <c r="E73" s="270"/>
      <c r="F73" s="270"/>
    </row>
    <row r="74" spans="1:6">
      <c r="A74" s="270"/>
      <c r="B74" s="270"/>
      <c r="C74" s="270"/>
      <c r="D74" s="270"/>
      <c r="E74" s="270"/>
      <c r="F74" s="270"/>
    </row>
    <row r="75" spans="1:6">
      <c r="A75" s="270"/>
      <c r="B75" s="270"/>
      <c r="C75" s="270"/>
      <c r="D75" s="270"/>
      <c r="E75" s="270"/>
      <c r="F75" s="270"/>
    </row>
    <row r="76" spans="1:6">
      <c r="A76" s="270"/>
      <c r="B76" s="270"/>
      <c r="C76" s="270"/>
      <c r="D76" s="270"/>
      <c r="E76" s="270"/>
      <c r="F76" s="270"/>
    </row>
    <row r="77" spans="1:6">
      <c r="A77" s="270"/>
      <c r="B77" s="270"/>
      <c r="C77" s="270"/>
      <c r="D77" s="270"/>
      <c r="E77" s="270"/>
      <c r="F77" s="270"/>
    </row>
    <row r="78" spans="1:6">
      <c r="A78" s="270"/>
      <c r="B78" s="270"/>
      <c r="C78" s="270"/>
      <c r="D78" s="270"/>
      <c r="E78" s="270"/>
      <c r="F78" s="270"/>
    </row>
    <row r="79" spans="1:6">
      <c r="A79" s="270"/>
      <c r="B79" s="270"/>
      <c r="C79" s="270"/>
      <c r="D79" s="270"/>
      <c r="E79" s="270"/>
      <c r="F79" s="270"/>
    </row>
    <row r="80" spans="1:6">
      <c r="A80" s="270"/>
      <c r="B80" s="270"/>
      <c r="C80" s="270"/>
      <c r="D80" s="270"/>
      <c r="E80" s="270"/>
      <c r="F80" s="270"/>
    </row>
    <row r="81" spans="1:6">
      <c r="A81" s="270"/>
      <c r="B81" s="270"/>
      <c r="C81" s="270"/>
      <c r="D81" s="270"/>
      <c r="E81" s="270"/>
      <c r="F81" s="270"/>
    </row>
    <row r="82" spans="1:6">
      <c r="A82" s="270"/>
      <c r="B82" s="270"/>
      <c r="C82" s="270"/>
      <c r="D82" s="270"/>
      <c r="E82" s="270"/>
      <c r="F82" s="270"/>
    </row>
    <row r="83" spans="1:6">
      <c r="A83" s="270"/>
      <c r="B83" s="270"/>
      <c r="C83" s="270"/>
      <c r="D83" s="270"/>
      <c r="E83" s="270"/>
      <c r="F83" s="270"/>
    </row>
    <row r="84" spans="1:6">
      <c r="A84" s="270"/>
      <c r="B84" s="270"/>
      <c r="C84" s="270"/>
      <c r="D84" s="270"/>
      <c r="E84" s="270"/>
      <c r="F84" s="270"/>
    </row>
    <row r="85" spans="1:6">
      <c r="A85" s="270"/>
      <c r="B85" s="270"/>
      <c r="C85" s="270"/>
      <c r="D85" s="270"/>
      <c r="E85" s="270"/>
      <c r="F85" s="270"/>
    </row>
    <row r="86" spans="1:6">
      <c r="A86" s="270"/>
      <c r="B86" s="270"/>
      <c r="C86" s="270"/>
      <c r="D86" s="270"/>
      <c r="E86" s="270"/>
      <c r="F86" s="270"/>
    </row>
    <row r="87" spans="1:6">
      <c r="A87" s="270"/>
      <c r="B87" s="270"/>
      <c r="C87" s="270"/>
      <c r="D87" s="270"/>
      <c r="E87" s="270"/>
      <c r="F87" s="270"/>
    </row>
    <row r="88" spans="1:6">
      <c r="A88" s="270"/>
      <c r="B88" s="270"/>
      <c r="C88" s="270"/>
      <c r="D88" s="270"/>
      <c r="E88" s="270"/>
      <c r="F88" s="270"/>
    </row>
    <row r="89" spans="1:6">
      <c r="A89" s="270"/>
      <c r="B89" s="270"/>
      <c r="C89" s="270"/>
      <c r="D89" s="270"/>
      <c r="E89" s="270"/>
      <c r="F89" s="270"/>
    </row>
    <row r="90" spans="1:6">
      <c r="A90" s="270"/>
      <c r="B90" s="270"/>
      <c r="C90" s="270"/>
      <c r="D90" s="270"/>
      <c r="E90" s="270"/>
      <c r="F90" s="270"/>
    </row>
    <row r="91" spans="1:6">
      <c r="A91" s="270"/>
      <c r="B91" s="270"/>
      <c r="C91" s="270"/>
      <c r="D91" s="270"/>
      <c r="E91" s="270"/>
      <c r="F91" s="270"/>
    </row>
    <row r="92" spans="1:6">
      <c r="A92" s="270"/>
      <c r="B92" s="270"/>
      <c r="C92" s="270"/>
      <c r="D92" s="270"/>
      <c r="E92" s="270"/>
      <c r="F92" s="270"/>
    </row>
    <row r="93" spans="1:6">
      <c r="A93" s="270"/>
      <c r="B93" s="270"/>
      <c r="C93" s="270"/>
      <c r="D93" s="270"/>
      <c r="E93" s="270"/>
      <c r="F93" s="270"/>
    </row>
    <row r="94" spans="1:6">
      <c r="A94" s="270"/>
      <c r="B94" s="270"/>
      <c r="C94" s="270"/>
      <c r="D94" s="270"/>
      <c r="E94" s="270"/>
      <c r="F94" s="270"/>
    </row>
    <row r="95" spans="1:6">
      <c r="A95" s="270"/>
      <c r="B95" s="270"/>
      <c r="C95" s="270"/>
      <c r="D95" s="270"/>
      <c r="E95" s="270"/>
      <c r="F95" s="270"/>
    </row>
    <row r="96" spans="1:6">
      <c r="A96" s="270"/>
      <c r="B96" s="270"/>
      <c r="C96" s="270"/>
      <c r="D96" s="270"/>
      <c r="E96" s="270"/>
      <c r="F96" s="270"/>
    </row>
    <row r="97" spans="1:6">
      <c r="A97" s="270"/>
      <c r="B97" s="270"/>
      <c r="C97" s="270"/>
      <c r="D97" s="270"/>
      <c r="E97" s="270"/>
      <c r="F97" s="270"/>
    </row>
    <row r="98" spans="1:6">
      <c r="A98" s="270"/>
      <c r="B98" s="270"/>
      <c r="C98" s="270"/>
      <c r="D98" s="270"/>
      <c r="E98" s="270"/>
      <c r="F98" s="270"/>
    </row>
    <row r="99" spans="1:6">
      <c r="A99" s="270"/>
      <c r="B99" s="270"/>
      <c r="C99" s="270"/>
      <c r="D99" s="270"/>
      <c r="E99" s="270"/>
      <c r="F99" s="270"/>
    </row>
    <row r="100" spans="1:6">
      <c r="A100" s="270"/>
      <c r="B100" s="270"/>
      <c r="C100" s="270"/>
      <c r="D100" s="270"/>
      <c r="E100" s="270"/>
      <c r="F100" s="270"/>
    </row>
    <row r="101" spans="1:6">
      <c r="A101" s="270"/>
      <c r="B101" s="270"/>
      <c r="C101" s="270"/>
      <c r="D101" s="270"/>
      <c r="E101" s="270"/>
      <c r="F101" s="270"/>
    </row>
    <row r="102" spans="1:6">
      <c r="A102" s="270"/>
      <c r="B102" s="270"/>
      <c r="C102" s="270"/>
      <c r="D102" s="270"/>
      <c r="E102" s="270"/>
      <c r="F102" s="270"/>
    </row>
    <row r="103" spans="1:6">
      <c r="A103" s="270"/>
      <c r="B103" s="270"/>
      <c r="C103" s="270"/>
      <c r="D103" s="270"/>
      <c r="E103" s="270"/>
      <c r="F103" s="270"/>
    </row>
    <row r="104" spans="1:6">
      <c r="A104" s="270"/>
      <c r="B104" s="270"/>
      <c r="C104" s="270"/>
      <c r="D104" s="270"/>
      <c r="E104" s="270"/>
      <c r="F104" s="270"/>
    </row>
    <row r="105" spans="1:6">
      <c r="A105" s="270"/>
      <c r="B105" s="270"/>
      <c r="C105" s="270"/>
      <c r="D105" s="270"/>
      <c r="E105" s="270"/>
      <c r="F105" s="270"/>
    </row>
    <row r="106" spans="1:6">
      <c r="A106" s="270"/>
      <c r="B106" s="270"/>
      <c r="C106" s="270"/>
      <c r="D106" s="270"/>
      <c r="E106" s="270"/>
      <c r="F106" s="270"/>
    </row>
    <row r="107" spans="1:6">
      <c r="A107" s="270"/>
      <c r="B107" s="270"/>
      <c r="C107" s="270"/>
      <c r="D107" s="270"/>
      <c r="E107" s="270"/>
      <c r="F107" s="270"/>
    </row>
    <row r="108" spans="1:6">
      <c r="A108" s="270"/>
      <c r="B108" s="270"/>
      <c r="C108" s="270"/>
      <c r="D108" s="270"/>
      <c r="E108" s="270"/>
      <c r="F108" s="270"/>
    </row>
    <row r="109" spans="1:6">
      <c r="A109" s="270"/>
      <c r="B109" s="270"/>
      <c r="C109" s="270"/>
      <c r="D109" s="270"/>
      <c r="E109" s="270"/>
      <c r="F109" s="270"/>
    </row>
    <row r="110" spans="1:6">
      <c r="A110" s="270"/>
      <c r="B110" s="270"/>
      <c r="C110" s="270"/>
      <c r="D110" s="270"/>
      <c r="E110" s="270"/>
      <c r="F110" s="270"/>
    </row>
    <row r="111" spans="1:6">
      <c r="A111" s="270"/>
      <c r="B111" s="270"/>
      <c r="C111" s="270"/>
      <c r="D111" s="270"/>
      <c r="E111" s="270"/>
      <c r="F111" s="270"/>
    </row>
    <row r="112" spans="1:6">
      <c r="A112" s="270"/>
      <c r="B112" s="270"/>
      <c r="C112" s="270"/>
      <c r="D112" s="270"/>
      <c r="E112" s="270"/>
      <c r="F112" s="270"/>
    </row>
    <row r="113" spans="1:6">
      <c r="A113" s="270"/>
      <c r="B113" s="270"/>
      <c r="C113" s="270"/>
      <c r="D113" s="270"/>
      <c r="E113" s="270"/>
      <c r="F113" s="270"/>
    </row>
    <row r="114" spans="1:6">
      <c r="A114" s="270"/>
      <c r="B114" s="270"/>
      <c r="C114" s="270"/>
      <c r="D114" s="270"/>
      <c r="E114" s="270"/>
      <c r="F114" s="270"/>
    </row>
    <row r="115" spans="1:6">
      <c r="A115" s="270"/>
      <c r="B115" s="270"/>
      <c r="C115" s="270"/>
      <c r="D115" s="270"/>
      <c r="E115" s="270"/>
      <c r="F115" s="270"/>
    </row>
    <row r="116" spans="1:6">
      <c r="A116" s="270"/>
      <c r="B116" s="270"/>
      <c r="C116" s="270"/>
      <c r="D116" s="270"/>
      <c r="E116" s="270"/>
      <c r="F116" s="270"/>
    </row>
    <row r="117" spans="1:6">
      <c r="A117" s="270"/>
      <c r="B117" s="270"/>
      <c r="C117" s="270"/>
      <c r="D117" s="270"/>
      <c r="E117" s="270"/>
      <c r="F117" s="270"/>
    </row>
    <row r="118" spans="1:6">
      <c r="A118" s="270"/>
      <c r="B118" s="270"/>
      <c r="C118" s="270"/>
      <c r="D118" s="270"/>
      <c r="E118" s="270"/>
      <c r="F118" s="270"/>
    </row>
    <row r="119" spans="1:6">
      <c r="A119" s="270"/>
      <c r="B119" s="270"/>
      <c r="C119" s="270"/>
      <c r="D119" s="270"/>
      <c r="E119" s="270"/>
      <c r="F119" s="270"/>
    </row>
    <row r="120" spans="1:6">
      <c r="A120" s="270"/>
      <c r="B120" s="270"/>
      <c r="C120" s="270"/>
      <c r="D120" s="270"/>
      <c r="E120" s="270"/>
      <c r="F120" s="270"/>
    </row>
    <row r="121" spans="1:6">
      <c r="A121" s="270"/>
      <c r="B121" s="270"/>
      <c r="C121" s="270"/>
      <c r="D121" s="270"/>
      <c r="E121" s="270"/>
      <c r="F121" s="270"/>
    </row>
    <row r="122" spans="1:6">
      <c r="A122" s="270"/>
      <c r="B122" s="270"/>
      <c r="C122" s="270"/>
      <c r="D122" s="270"/>
      <c r="E122" s="270"/>
      <c r="F122" s="270"/>
    </row>
    <row r="123" spans="1:6">
      <c r="A123" s="270"/>
      <c r="B123" s="270"/>
      <c r="C123" s="270"/>
      <c r="D123" s="270"/>
      <c r="E123" s="270"/>
      <c r="F123" s="270"/>
    </row>
    <row r="124" spans="1:6">
      <c r="A124" s="270"/>
      <c r="B124" s="270"/>
      <c r="C124" s="270"/>
      <c r="D124" s="270"/>
      <c r="E124" s="270"/>
      <c r="F124" s="270"/>
    </row>
    <row r="125" spans="1:6">
      <c r="A125" s="270"/>
      <c r="B125" s="270"/>
      <c r="C125" s="270"/>
      <c r="D125" s="270"/>
      <c r="E125" s="270"/>
      <c r="F125" s="270"/>
    </row>
    <row r="126" spans="1:6">
      <c r="A126" s="270"/>
      <c r="B126" s="270"/>
      <c r="C126" s="270"/>
      <c r="D126" s="270"/>
      <c r="E126" s="270"/>
      <c r="F126" s="270"/>
    </row>
    <row r="127" spans="1:6">
      <c r="A127" s="270"/>
      <c r="B127" s="270"/>
      <c r="C127" s="270"/>
      <c r="D127" s="270"/>
      <c r="E127" s="270"/>
      <c r="F127" s="270"/>
    </row>
    <row r="128" spans="1:6">
      <c r="A128" s="270"/>
      <c r="B128" s="270"/>
      <c r="C128" s="270"/>
      <c r="D128" s="270"/>
      <c r="E128" s="270"/>
      <c r="F128" s="270"/>
    </row>
    <row r="129" spans="1:6">
      <c r="A129" s="270"/>
      <c r="B129" s="270"/>
      <c r="C129" s="270"/>
      <c r="D129" s="270"/>
      <c r="E129" s="270"/>
      <c r="F129" s="270"/>
    </row>
    <row r="130" spans="1:6">
      <c r="A130" s="270"/>
      <c r="B130" s="270"/>
      <c r="C130" s="270"/>
      <c r="D130" s="270"/>
      <c r="E130" s="270"/>
      <c r="F130" s="270"/>
    </row>
    <row r="131" spans="1:6">
      <c r="A131" s="270"/>
      <c r="B131" s="270"/>
      <c r="C131" s="270"/>
      <c r="D131" s="270"/>
      <c r="E131" s="270"/>
      <c r="F131" s="270"/>
    </row>
    <row r="132" spans="1:6">
      <c r="A132" s="270"/>
      <c r="B132" s="270"/>
      <c r="C132" s="270"/>
      <c r="D132" s="270"/>
      <c r="E132" s="270"/>
      <c r="F132" s="270"/>
    </row>
    <row r="133" spans="1:6">
      <c r="A133" s="270"/>
      <c r="B133" s="270"/>
      <c r="C133" s="270"/>
      <c r="D133" s="270"/>
      <c r="E133" s="270"/>
      <c r="F133" s="270"/>
    </row>
    <row r="134" spans="1:6">
      <c r="A134" s="270"/>
      <c r="B134" s="270"/>
      <c r="C134" s="270"/>
      <c r="D134" s="270"/>
      <c r="E134" s="270"/>
      <c r="F134" s="270"/>
    </row>
    <row r="135" spans="1:6">
      <c r="A135" s="270"/>
      <c r="B135" s="270"/>
      <c r="C135" s="270"/>
      <c r="D135" s="270"/>
      <c r="E135" s="270"/>
      <c r="F135" s="270"/>
    </row>
    <row r="136" spans="1:6">
      <c r="A136" s="270"/>
      <c r="B136" s="270"/>
      <c r="C136" s="270"/>
      <c r="D136" s="270"/>
      <c r="E136" s="270"/>
      <c r="F136" s="270"/>
    </row>
    <row r="137" spans="1:6">
      <c r="A137" s="270"/>
      <c r="B137" s="270"/>
      <c r="C137" s="270"/>
      <c r="D137" s="270"/>
      <c r="E137" s="270"/>
      <c r="F137" s="270"/>
    </row>
    <row r="138" spans="1:6">
      <c r="A138" s="270"/>
      <c r="B138" s="270"/>
      <c r="C138" s="270"/>
      <c r="D138" s="270"/>
      <c r="E138" s="270"/>
      <c r="F138" s="270"/>
    </row>
    <row r="139" spans="1:6">
      <c r="A139" s="270"/>
      <c r="B139" s="270"/>
      <c r="C139" s="270"/>
      <c r="D139" s="270"/>
      <c r="E139" s="270"/>
      <c r="F139" s="270"/>
    </row>
    <row r="140" spans="1:6">
      <c r="A140" s="270"/>
      <c r="B140" s="270"/>
      <c r="C140" s="270"/>
      <c r="D140" s="270"/>
      <c r="E140" s="270"/>
      <c r="F140" s="270"/>
    </row>
    <row r="141" spans="1:6">
      <c r="A141" s="270"/>
      <c r="B141" s="270"/>
      <c r="C141" s="270"/>
      <c r="D141" s="270"/>
      <c r="E141" s="270"/>
      <c r="F141" s="270"/>
    </row>
    <row r="142" spans="1:6">
      <c r="A142" s="270"/>
      <c r="B142" s="270"/>
      <c r="C142" s="270"/>
      <c r="D142" s="270"/>
      <c r="E142" s="270"/>
      <c r="F142" s="270"/>
    </row>
    <row r="143" spans="1:6">
      <c r="A143" s="270"/>
      <c r="B143" s="270"/>
      <c r="C143" s="270"/>
      <c r="D143" s="270"/>
      <c r="E143" s="270"/>
      <c r="F143" s="270"/>
    </row>
    <row r="144" spans="1:6">
      <c r="A144" s="270"/>
      <c r="B144" s="270"/>
      <c r="C144" s="270"/>
      <c r="D144" s="270"/>
      <c r="E144" s="270"/>
      <c r="F144" s="270"/>
    </row>
    <row r="145" spans="1:6">
      <c r="A145" s="270"/>
      <c r="B145" s="270"/>
      <c r="C145" s="270"/>
      <c r="D145" s="270"/>
      <c r="E145" s="270"/>
      <c r="F145" s="270"/>
    </row>
    <row r="146" spans="1:6">
      <c r="A146" s="270"/>
      <c r="B146" s="270"/>
      <c r="C146" s="270"/>
      <c r="D146" s="270"/>
      <c r="E146" s="270"/>
      <c r="F146" s="270"/>
    </row>
    <row r="147" spans="1:6">
      <c r="A147" s="270"/>
      <c r="B147" s="270"/>
      <c r="C147" s="270"/>
      <c r="D147" s="270"/>
      <c r="E147" s="270"/>
      <c r="F147" s="270"/>
    </row>
    <row r="148" spans="1:6">
      <c r="A148" s="270"/>
      <c r="B148" s="270"/>
      <c r="C148" s="270"/>
      <c r="D148" s="270"/>
      <c r="E148" s="270"/>
      <c r="F148" s="270"/>
    </row>
    <row r="149" spans="1:6">
      <c r="A149" s="270"/>
      <c r="B149" s="270"/>
      <c r="C149" s="270"/>
      <c r="D149" s="270"/>
      <c r="E149" s="270"/>
      <c r="F149" s="270"/>
    </row>
    <row r="150" spans="1:6">
      <c r="A150" s="270"/>
      <c r="B150" s="270"/>
      <c r="C150" s="270"/>
      <c r="D150" s="270"/>
      <c r="E150" s="270"/>
      <c r="F150" s="270"/>
    </row>
    <row r="151" spans="1:6">
      <c r="A151" s="270"/>
      <c r="B151" s="270"/>
      <c r="C151" s="270"/>
      <c r="D151" s="270"/>
      <c r="E151" s="270"/>
      <c r="F151" s="270"/>
    </row>
    <row r="152" spans="1:6">
      <c r="A152" s="270"/>
      <c r="B152" s="270"/>
      <c r="C152" s="270"/>
      <c r="D152" s="270"/>
      <c r="E152" s="270"/>
      <c r="F152" s="270"/>
    </row>
    <row r="153" spans="1:6">
      <c r="A153" s="270"/>
      <c r="B153" s="270"/>
      <c r="C153" s="270"/>
      <c r="D153" s="270"/>
      <c r="E153" s="270"/>
      <c r="F153" s="270"/>
    </row>
    <row r="154" spans="1:6">
      <c r="A154" s="270"/>
      <c r="B154" s="270"/>
      <c r="C154" s="270"/>
      <c r="D154" s="270"/>
      <c r="E154" s="270"/>
      <c r="F154" s="270"/>
    </row>
    <row r="155" spans="1:6">
      <c r="A155" s="270"/>
      <c r="B155" s="270"/>
      <c r="C155" s="270"/>
      <c r="D155" s="270"/>
      <c r="E155" s="270"/>
      <c r="F155" s="270"/>
    </row>
    <row r="156" spans="1:6">
      <c r="A156" s="270"/>
      <c r="B156" s="270"/>
      <c r="C156" s="270"/>
      <c r="D156" s="270"/>
      <c r="E156" s="270"/>
      <c r="F156" s="270"/>
    </row>
    <row r="157" spans="1:6">
      <c r="A157" s="270"/>
      <c r="B157" s="270"/>
      <c r="C157" s="270"/>
      <c r="D157" s="270"/>
      <c r="E157" s="270"/>
      <c r="F157" s="270"/>
    </row>
    <row r="158" spans="1:6">
      <c r="A158" s="270"/>
      <c r="B158" s="270"/>
      <c r="C158" s="270"/>
      <c r="D158" s="270"/>
      <c r="E158" s="270"/>
      <c r="F158" s="270"/>
    </row>
    <row r="159" spans="1:6">
      <c r="A159" s="270"/>
      <c r="B159" s="270"/>
      <c r="C159" s="270"/>
      <c r="D159" s="270"/>
      <c r="E159" s="270"/>
      <c r="F159" s="270"/>
    </row>
    <row r="160" spans="1:6">
      <c r="A160" s="270"/>
      <c r="B160" s="270"/>
      <c r="C160" s="270"/>
      <c r="D160" s="270"/>
      <c r="E160" s="270"/>
      <c r="F160" s="270"/>
    </row>
    <row r="161" spans="1:6">
      <c r="A161" s="270"/>
      <c r="B161" s="270"/>
      <c r="C161" s="270"/>
      <c r="D161" s="270"/>
      <c r="E161" s="270"/>
      <c r="F161" s="270"/>
    </row>
    <row r="162" spans="1:6">
      <c r="A162" s="270"/>
      <c r="B162" s="270"/>
      <c r="C162" s="270"/>
      <c r="D162" s="270"/>
      <c r="E162" s="270"/>
      <c r="F162" s="270"/>
    </row>
    <row r="163" spans="1:6">
      <c r="A163" s="270"/>
      <c r="B163" s="270"/>
      <c r="C163" s="270"/>
      <c r="D163" s="270"/>
      <c r="E163" s="270"/>
      <c r="F163" s="270"/>
    </row>
    <row r="164" spans="1:6">
      <c r="A164" s="270"/>
      <c r="B164" s="270"/>
      <c r="C164" s="270"/>
      <c r="D164" s="270"/>
      <c r="E164" s="270"/>
      <c r="F164" s="270"/>
    </row>
    <row r="165" spans="1:6">
      <c r="A165" s="270"/>
      <c r="B165" s="270"/>
      <c r="C165" s="270"/>
      <c r="D165" s="270"/>
      <c r="E165" s="270"/>
      <c r="F165" s="270"/>
    </row>
    <row r="166" spans="1:6">
      <c r="A166" s="270"/>
      <c r="B166" s="270"/>
      <c r="C166" s="270"/>
      <c r="D166" s="270"/>
      <c r="E166" s="270"/>
      <c r="F166" s="270"/>
    </row>
    <row r="167" spans="1:6">
      <c r="A167" s="270"/>
      <c r="B167" s="270"/>
      <c r="C167" s="270"/>
      <c r="D167" s="270"/>
      <c r="E167" s="270"/>
      <c r="F167" s="270"/>
    </row>
    <row r="168" spans="1:6">
      <c r="A168" s="270"/>
      <c r="B168" s="270"/>
      <c r="C168" s="270"/>
      <c r="D168" s="270"/>
      <c r="E168" s="270"/>
      <c r="F168" s="270"/>
    </row>
    <row r="169" spans="1:6">
      <c r="A169" s="270"/>
      <c r="B169" s="270"/>
      <c r="C169" s="270"/>
      <c r="D169" s="270"/>
      <c r="E169" s="270"/>
      <c r="F169" s="270"/>
    </row>
  </sheetData>
  <mergeCells count="1">
    <mergeCell ref="A2:A3"/>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workbookViewId="0">
      <selection activeCell="C6" sqref="C6"/>
    </sheetView>
  </sheetViews>
  <sheetFormatPr defaultColWidth="11.28515625" defaultRowHeight="12.75"/>
  <cols>
    <col min="1" max="1" width="27.140625" bestFit="1" customWidth="1"/>
  </cols>
  <sheetData>
    <row r="1" spans="1:1">
      <c r="A1" t="s">
        <v>162</v>
      </c>
    </row>
    <row r="2" spans="1:1">
      <c r="A2" t="s">
        <v>163</v>
      </c>
    </row>
    <row r="3" spans="1:1">
      <c r="A3" t="s">
        <v>164</v>
      </c>
    </row>
    <row r="4" spans="1:1">
      <c r="A4" t="s">
        <v>165</v>
      </c>
    </row>
    <row r="5" spans="1:1">
      <c r="A5" t="s">
        <v>166</v>
      </c>
    </row>
    <row r="6" spans="1:1">
      <c r="A6" s="71" t="s">
        <v>167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M44"/>
  <sheetViews>
    <sheetView showGridLines="0" zoomScale="85" zoomScaleNormal="85" workbookViewId="0">
      <selection activeCell="H36" sqref="H36"/>
    </sheetView>
  </sheetViews>
  <sheetFormatPr defaultColWidth="11.28515625" defaultRowHeight="12.75"/>
  <cols>
    <col min="1" max="1" width="1.140625" style="11" customWidth="1"/>
    <col min="2" max="2" width="59.28515625" style="11" customWidth="1"/>
    <col min="3" max="3" width="8.28515625" style="11" bestFit="1" customWidth="1"/>
    <col min="4" max="4" width="10.7109375" style="11" bestFit="1" customWidth="1"/>
    <col min="5" max="5" width="11.85546875" style="11" bestFit="1" customWidth="1"/>
    <col min="6" max="6" width="10.28515625" style="11" bestFit="1" customWidth="1"/>
    <col min="7" max="7" width="9.85546875" style="11" bestFit="1" customWidth="1"/>
    <col min="8" max="8" width="125.85546875" style="11" customWidth="1"/>
    <col min="9" max="9" width="2.85546875" style="11" customWidth="1"/>
    <col min="10" max="10" width="7.140625" style="11" customWidth="1"/>
    <col min="11" max="11" width="3.85546875" style="11" customWidth="1"/>
    <col min="12" max="12" width="13.28515625" style="11" bestFit="1" customWidth="1"/>
    <col min="13" max="13" width="18.7109375" style="11" customWidth="1"/>
    <col min="14" max="16384" width="11.28515625" style="11"/>
  </cols>
  <sheetData>
    <row r="1" spans="1:13" ht="6" customHeight="1">
      <c r="A1"/>
      <c r="B1"/>
      <c r="C1"/>
      <c r="D1"/>
      <c r="E1"/>
      <c r="F1"/>
      <c r="G1"/>
      <c r="H1"/>
      <c r="I1"/>
      <c r="J1"/>
      <c r="K1"/>
      <c r="L1"/>
      <c r="M1"/>
    </row>
    <row r="2" spans="1:13" ht="20.25">
      <c r="A2"/>
      <c r="B2" s="605" t="s">
        <v>168</v>
      </c>
      <c r="C2" s="606"/>
      <c r="D2" s="606"/>
      <c r="E2" s="606"/>
      <c r="F2" s="606"/>
      <c r="G2" s="606"/>
      <c r="H2" s="607"/>
      <c r="I2"/>
      <c r="J2" s="631" t="s">
        <v>169</v>
      </c>
      <c r="K2" s="632"/>
      <c r="L2" s="632"/>
      <c r="M2" s="633"/>
    </row>
    <row r="3" spans="1:13">
      <c r="A3"/>
      <c r="B3" s="477" t="s">
        <v>170</v>
      </c>
      <c r="C3" s="478" t="s">
        <v>171</v>
      </c>
      <c r="D3" s="479" t="s">
        <v>172</v>
      </c>
      <c r="E3" s="479" t="s">
        <v>173</v>
      </c>
      <c r="F3" s="479" t="s">
        <v>174</v>
      </c>
      <c r="G3" s="479" t="s">
        <v>175</v>
      </c>
      <c r="H3" s="480" t="s">
        <v>176</v>
      </c>
      <c r="I3"/>
      <c r="J3" s="634" t="s">
        <v>177</v>
      </c>
      <c r="K3" s="635"/>
      <c r="L3" s="481" t="s">
        <v>178</v>
      </c>
      <c r="M3" s="482" t="s">
        <v>179</v>
      </c>
    </row>
    <row r="4" spans="1:13" ht="12.75" customHeight="1">
      <c r="A4"/>
      <c r="B4" s="483" t="s">
        <v>180</v>
      </c>
      <c r="C4" s="484" t="s">
        <v>170</v>
      </c>
      <c r="D4" s="485" t="s">
        <v>170</v>
      </c>
      <c r="E4" s="485" t="s">
        <v>170</v>
      </c>
      <c r="F4" s="485" t="s">
        <v>170</v>
      </c>
      <c r="G4" s="485" t="s">
        <v>170</v>
      </c>
      <c r="H4" s="486" t="s">
        <v>170</v>
      </c>
      <c r="I4"/>
      <c r="J4" s="487" t="s">
        <v>181</v>
      </c>
      <c r="K4" s="488">
        <v>0</v>
      </c>
      <c r="L4" s="488" t="s">
        <v>182</v>
      </c>
      <c r="M4" s="608" t="s">
        <v>183</v>
      </c>
    </row>
    <row r="5" spans="1:13" ht="25.5">
      <c r="A5"/>
      <c r="B5" s="489" t="s">
        <v>184</v>
      </c>
      <c r="C5" s="490" t="s">
        <v>185</v>
      </c>
      <c r="D5" s="491" t="s">
        <v>186</v>
      </c>
      <c r="E5" s="491" t="s">
        <v>187</v>
      </c>
      <c r="F5" s="491" t="s">
        <v>186</v>
      </c>
      <c r="G5" s="492" t="s">
        <v>170</v>
      </c>
      <c r="H5" s="493" t="s">
        <v>188</v>
      </c>
      <c r="I5"/>
      <c r="J5" s="487" t="s">
        <v>185</v>
      </c>
      <c r="K5" s="488">
        <v>1</v>
      </c>
      <c r="L5" s="488" t="s">
        <v>189</v>
      </c>
      <c r="M5" s="608"/>
    </row>
    <row r="6" spans="1:13" s="38" customFormat="1">
      <c r="A6"/>
      <c r="B6" s="489" t="s">
        <v>190</v>
      </c>
      <c r="C6" s="490" t="s">
        <v>181</v>
      </c>
      <c r="D6" s="491" t="s">
        <v>186</v>
      </c>
      <c r="E6" s="491" t="s">
        <v>187</v>
      </c>
      <c r="F6" s="491" t="s">
        <v>186</v>
      </c>
      <c r="G6" s="492" t="s">
        <v>170</v>
      </c>
      <c r="H6" s="493" t="s">
        <v>191</v>
      </c>
      <c r="I6"/>
      <c r="J6" s="487" t="s">
        <v>192</v>
      </c>
      <c r="K6" s="488">
        <v>2</v>
      </c>
      <c r="L6" s="488" t="s">
        <v>193</v>
      </c>
      <c r="M6" s="608"/>
    </row>
    <row r="7" spans="1:13" ht="25.5">
      <c r="A7"/>
      <c r="B7" s="489" t="s">
        <v>194</v>
      </c>
      <c r="C7" s="490" t="s">
        <v>192</v>
      </c>
      <c r="D7" s="491" t="s">
        <v>186</v>
      </c>
      <c r="E7" s="491" t="s">
        <v>195</v>
      </c>
      <c r="F7" s="491" t="s">
        <v>186</v>
      </c>
      <c r="G7" s="492" t="s">
        <v>170</v>
      </c>
      <c r="H7" s="493" t="s">
        <v>196</v>
      </c>
      <c r="I7"/>
      <c r="J7" s="494" t="s">
        <v>197</v>
      </c>
      <c r="K7" s="495">
        <v>3</v>
      </c>
      <c r="L7" s="495" t="s">
        <v>198</v>
      </c>
      <c r="M7" s="609"/>
    </row>
    <row r="8" spans="1:13" ht="25.5">
      <c r="A8"/>
      <c r="B8" s="489" t="s">
        <v>199</v>
      </c>
      <c r="C8" s="490" t="s">
        <v>181</v>
      </c>
      <c r="D8" s="491" t="s">
        <v>186</v>
      </c>
      <c r="E8" s="491" t="s">
        <v>187</v>
      </c>
      <c r="F8" s="491" t="s">
        <v>186</v>
      </c>
      <c r="G8" s="492" t="s">
        <v>170</v>
      </c>
      <c r="H8" s="493" t="s">
        <v>200</v>
      </c>
      <c r="I8"/>
      <c r="J8"/>
      <c r="K8"/>
      <c r="L8"/>
      <c r="M8"/>
    </row>
    <row r="9" spans="1:13">
      <c r="A9"/>
      <c r="B9" s="496" t="s">
        <v>201</v>
      </c>
      <c r="C9" s="490" t="s">
        <v>181</v>
      </c>
      <c r="D9" s="491" t="s">
        <v>186</v>
      </c>
      <c r="E9" s="491" t="s">
        <v>187</v>
      </c>
      <c r="F9" s="491" t="s">
        <v>202</v>
      </c>
      <c r="G9" s="497" t="s">
        <v>170</v>
      </c>
      <c r="H9" s="498" t="s">
        <v>170</v>
      </c>
      <c r="I9"/>
      <c r="J9" s="636" t="s">
        <v>203</v>
      </c>
      <c r="K9" s="637"/>
      <c r="L9" s="638"/>
      <c r="M9"/>
    </row>
    <row r="10" spans="1:13" ht="12.75" customHeight="1">
      <c r="A10"/>
      <c r="B10" s="483" t="s">
        <v>204</v>
      </c>
      <c r="C10" s="499" t="s">
        <v>170</v>
      </c>
      <c r="D10" s="500" t="s">
        <v>170</v>
      </c>
      <c r="E10" s="500" t="s">
        <v>170</v>
      </c>
      <c r="F10" s="500" t="s">
        <v>170</v>
      </c>
      <c r="G10" s="501" t="s">
        <v>170</v>
      </c>
      <c r="H10" s="502" t="s">
        <v>170</v>
      </c>
      <c r="I10"/>
      <c r="J10" s="639" t="s">
        <v>170</v>
      </c>
      <c r="K10" s="640"/>
      <c r="L10" s="641"/>
      <c r="M10"/>
    </row>
    <row r="11" spans="1:13">
      <c r="A11"/>
      <c r="B11" s="489" t="s">
        <v>205</v>
      </c>
      <c r="C11" s="490" t="s">
        <v>192</v>
      </c>
      <c r="D11" s="491" t="s">
        <v>206</v>
      </c>
      <c r="E11" s="491" t="s">
        <v>207</v>
      </c>
      <c r="F11" s="491" t="s">
        <v>206</v>
      </c>
      <c r="G11" s="503" t="s">
        <v>170</v>
      </c>
      <c r="H11" s="493" t="s">
        <v>208</v>
      </c>
      <c r="I11"/>
      <c r="J11" s="642" t="s">
        <v>170</v>
      </c>
      <c r="K11" s="643"/>
      <c r="L11" s="644"/>
      <c r="M11"/>
    </row>
    <row r="12" spans="1:13">
      <c r="A12"/>
      <c r="B12" s="489" t="s">
        <v>209</v>
      </c>
      <c r="C12" s="490" t="s">
        <v>181</v>
      </c>
      <c r="D12" s="491" t="s">
        <v>206</v>
      </c>
      <c r="E12" s="491" t="s">
        <v>195</v>
      </c>
      <c r="F12" s="491" t="s">
        <v>206</v>
      </c>
      <c r="G12" s="504" t="s">
        <v>170</v>
      </c>
      <c r="H12" s="493" t="s">
        <v>210</v>
      </c>
      <c r="I12"/>
      <c r="J12" s="645" t="s">
        <v>170</v>
      </c>
      <c r="K12" s="646"/>
      <c r="L12" s="647"/>
      <c r="M12"/>
    </row>
    <row r="13" spans="1:13">
      <c r="A13"/>
      <c r="B13" s="487" t="s">
        <v>211</v>
      </c>
      <c r="C13" s="490" t="s">
        <v>192</v>
      </c>
      <c r="D13" s="491" t="s">
        <v>186</v>
      </c>
      <c r="E13" s="491" t="s">
        <v>207</v>
      </c>
      <c r="F13" s="491" t="s">
        <v>206</v>
      </c>
      <c r="G13" s="524" t="s">
        <v>170</v>
      </c>
      <c r="H13" s="493" t="s">
        <v>212</v>
      </c>
      <c r="I13"/>
      <c r="J13"/>
      <c r="K13"/>
      <c r="L13"/>
      <c r="M13"/>
    </row>
    <row r="14" spans="1:13" ht="25.5">
      <c r="A14"/>
      <c r="B14" s="487" t="s">
        <v>213</v>
      </c>
      <c r="C14" s="490" t="s">
        <v>185</v>
      </c>
      <c r="D14" s="491" t="s">
        <v>186</v>
      </c>
      <c r="E14" s="491" t="s">
        <v>187</v>
      </c>
      <c r="F14" s="491" t="s">
        <v>186</v>
      </c>
      <c r="G14" s="538" t="s">
        <v>170</v>
      </c>
      <c r="H14" s="493" t="s">
        <v>214</v>
      </c>
      <c r="I14"/>
      <c r="J14"/>
      <c r="K14"/>
      <c r="L14"/>
      <c r="M14"/>
    </row>
    <row r="15" spans="1:13">
      <c r="A15"/>
      <c r="B15" s="489" t="s">
        <v>215</v>
      </c>
      <c r="C15" s="490" t="s">
        <v>185</v>
      </c>
      <c r="D15" s="491" t="s">
        <v>206</v>
      </c>
      <c r="E15" s="491" t="s">
        <v>187</v>
      </c>
      <c r="F15" s="491" t="s">
        <v>206</v>
      </c>
      <c r="G15" s="504" t="s">
        <v>170</v>
      </c>
      <c r="H15" s="493" t="s">
        <v>216</v>
      </c>
      <c r="I15"/>
      <c r="J15"/>
      <c r="K15"/>
      <c r="L15"/>
      <c r="M15"/>
    </row>
    <row r="16" spans="1:13">
      <c r="A16"/>
      <c r="B16" s="489" t="s">
        <v>217</v>
      </c>
      <c r="C16" s="505" t="s">
        <v>185</v>
      </c>
      <c r="D16" s="506" t="s">
        <v>206</v>
      </c>
      <c r="E16" s="506" t="s">
        <v>187</v>
      </c>
      <c r="F16" s="506" t="s">
        <v>206</v>
      </c>
      <c r="G16" s="504" t="s">
        <v>170</v>
      </c>
      <c r="H16" s="493" t="s">
        <v>218</v>
      </c>
      <c r="I16"/>
      <c r="J16"/>
      <c r="K16"/>
      <c r="L16"/>
      <c r="M16"/>
    </row>
    <row r="17" spans="1:13">
      <c r="A17"/>
      <c r="B17" s="489" t="s">
        <v>219</v>
      </c>
      <c r="C17" s="507" t="s">
        <v>170</v>
      </c>
      <c r="D17" s="491" t="s">
        <v>186</v>
      </c>
      <c r="E17" s="491" t="s">
        <v>187</v>
      </c>
      <c r="F17" s="491" t="s">
        <v>186</v>
      </c>
      <c r="G17" s="504" t="s">
        <v>170</v>
      </c>
      <c r="H17" s="493" t="s">
        <v>220</v>
      </c>
      <c r="I17"/>
      <c r="J17"/>
      <c r="K17"/>
      <c r="L17"/>
      <c r="M17"/>
    </row>
    <row r="18" spans="1:13">
      <c r="A18"/>
      <c r="B18" s="489" t="s">
        <v>221</v>
      </c>
      <c r="C18" s="490" t="s">
        <v>181</v>
      </c>
      <c r="D18" s="491" t="s">
        <v>186</v>
      </c>
      <c r="E18" s="491" t="s">
        <v>187</v>
      </c>
      <c r="F18" s="491" t="s">
        <v>186</v>
      </c>
      <c r="G18" s="504" t="s">
        <v>170</v>
      </c>
      <c r="H18" s="493" t="s">
        <v>222</v>
      </c>
      <c r="I18"/>
      <c r="J18"/>
      <c r="K18"/>
      <c r="L18"/>
      <c r="M18"/>
    </row>
    <row r="19" spans="1:13" ht="25.5">
      <c r="A19"/>
      <c r="B19" s="489" t="s">
        <v>223</v>
      </c>
      <c r="C19" s="490" t="s">
        <v>170</v>
      </c>
      <c r="D19" s="491" t="s">
        <v>170</v>
      </c>
      <c r="E19" s="491" t="s">
        <v>170</v>
      </c>
      <c r="F19" s="491" t="s">
        <v>170</v>
      </c>
      <c r="G19" s="504" t="s">
        <v>170</v>
      </c>
      <c r="H19" s="493" t="s">
        <v>224</v>
      </c>
      <c r="I19"/>
      <c r="J19"/>
      <c r="K19"/>
      <c r="L19"/>
      <c r="M19"/>
    </row>
    <row r="20" spans="1:13">
      <c r="A20"/>
      <c r="B20" s="489" t="s">
        <v>225</v>
      </c>
      <c r="C20" s="490" t="s">
        <v>197</v>
      </c>
      <c r="D20" s="491" t="s">
        <v>186</v>
      </c>
      <c r="E20" s="491" t="s">
        <v>187</v>
      </c>
      <c r="F20" s="491" t="s">
        <v>186</v>
      </c>
      <c r="G20" s="504" t="s">
        <v>170</v>
      </c>
      <c r="H20" s="493" t="s">
        <v>226</v>
      </c>
      <c r="I20"/>
      <c r="J20"/>
      <c r="K20"/>
      <c r="L20"/>
      <c r="M20"/>
    </row>
    <row r="21" spans="1:13">
      <c r="A21"/>
      <c r="B21" s="496" t="s">
        <v>227</v>
      </c>
      <c r="C21" s="508" t="s">
        <v>197</v>
      </c>
      <c r="D21" s="509" t="s">
        <v>186</v>
      </c>
      <c r="E21" s="509" t="s">
        <v>187</v>
      </c>
      <c r="F21" s="509" t="s">
        <v>186</v>
      </c>
      <c r="G21" s="510" t="s">
        <v>170</v>
      </c>
      <c r="H21" s="498" t="s">
        <v>228</v>
      </c>
      <c r="I21"/>
      <c r="J21"/>
      <c r="K21"/>
      <c r="L21"/>
      <c r="M21"/>
    </row>
    <row r="22" spans="1:13" ht="15">
      <c r="A22"/>
      <c r="B22" s="483" t="s">
        <v>229</v>
      </c>
      <c r="C22" s="511" t="s">
        <v>170</v>
      </c>
      <c r="D22" s="512" t="s">
        <v>170</v>
      </c>
      <c r="E22" s="501" t="s">
        <v>170</v>
      </c>
      <c r="F22" s="512" t="s">
        <v>170</v>
      </c>
      <c r="G22" s="501" t="s">
        <v>170</v>
      </c>
      <c r="H22" s="502" t="s">
        <v>170</v>
      </c>
      <c r="I22"/>
      <c r="J22"/>
      <c r="K22"/>
      <c r="L22"/>
      <c r="M22"/>
    </row>
    <row r="23" spans="1:13">
      <c r="A23"/>
      <c r="B23" s="489" t="s">
        <v>230</v>
      </c>
      <c r="C23" s="507" t="s">
        <v>170</v>
      </c>
      <c r="D23" s="501" t="s">
        <v>170</v>
      </c>
      <c r="E23" s="491" t="s">
        <v>195</v>
      </c>
      <c r="F23" s="491" t="s">
        <v>186</v>
      </c>
      <c r="G23" s="513" t="s">
        <v>170</v>
      </c>
      <c r="H23" s="514" t="s">
        <v>231</v>
      </c>
      <c r="I23"/>
      <c r="J23"/>
      <c r="K23"/>
      <c r="L23"/>
      <c r="M23"/>
    </row>
    <row r="24" spans="1:13">
      <c r="A24"/>
      <c r="B24" s="489" t="s">
        <v>232</v>
      </c>
      <c r="C24" s="507" t="s">
        <v>170</v>
      </c>
      <c r="D24" s="501" t="s">
        <v>170</v>
      </c>
      <c r="E24" s="491" t="s">
        <v>195</v>
      </c>
      <c r="F24" s="491" t="s">
        <v>186</v>
      </c>
      <c r="G24" s="525" t="s">
        <v>170</v>
      </c>
      <c r="H24" s="515" t="s">
        <v>233</v>
      </c>
      <c r="I24"/>
      <c r="J24"/>
      <c r="K24"/>
      <c r="L24"/>
      <c r="M24"/>
    </row>
    <row r="25" spans="1:13">
      <c r="A25"/>
      <c r="B25" s="489" t="s">
        <v>234</v>
      </c>
      <c r="C25" s="507" t="s">
        <v>170</v>
      </c>
      <c r="D25" s="501" t="s">
        <v>170</v>
      </c>
      <c r="E25" s="491" t="s">
        <v>195</v>
      </c>
      <c r="F25" s="491" t="s">
        <v>206</v>
      </c>
      <c r="G25" s="524" t="s">
        <v>170</v>
      </c>
      <c r="H25" s="493" t="s">
        <v>235</v>
      </c>
      <c r="I25"/>
      <c r="J25"/>
      <c r="K25"/>
      <c r="L25"/>
      <c r="M25"/>
    </row>
    <row r="26" spans="1:13">
      <c r="A26"/>
      <c r="B26" s="489" t="s">
        <v>236</v>
      </c>
      <c r="C26" s="507" t="s">
        <v>170</v>
      </c>
      <c r="D26" s="501" t="s">
        <v>170</v>
      </c>
      <c r="E26" s="491" t="s">
        <v>187</v>
      </c>
      <c r="F26" s="491" t="s">
        <v>202</v>
      </c>
      <c r="G26" s="504" t="s">
        <v>170</v>
      </c>
      <c r="H26" s="493" t="s">
        <v>237</v>
      </c>
      <c r="I26"/>
      <c r="J26"/>
      <c r="K26"/>
      <c r="L26"/>
      <c r="M26"/>
    </row>
    <row r="27" spans="1:13">
      <c r="A27"/>
      <c r="B27" s="489" t="s">
        <v>238</v>
      </c>
      <c r="C27" s="507" t="s">
        <v>170</v>
      </c>
      <c r="D27" s="501" t="s">
        <v>170</v>
      </c>
      <c r="E27" s="491" t="s">
        <v>187</v>
      </c>
      <c r="F27" s="491" t="s">
        <v>202</v>
      </c>
      <c r="G27" s="513" t="s">
        <v>170</v>
      </c>
      <c r="H27" s="493" t="s">
        <v>239</v>
      </c>
      <c r="I27"/>
      <c r="J27"/>
      <c r="K27"/>
      <c r="L27"/>
      <c r="M27"/>
    </row>
    <row r="28" spans="1:13">
      <c r="A28"/>
      <c r="B28" s="489" t="s">
        <v>240</v>
      </c>
      <c r="C28" s="507" t="s">
        <v>170</v>
      </c>
      <c r="D28" s="501" t="s">
        <v>170</v>
      </c>
      <c r="E28" s="491" t="s">
        <v>187</v>
      </c>
      <c r="F28" s="491" t="s">
        <v>202</v>
      </c>
      <c r="G28" s="516" t="s">
        <v>170</v>
      </c>
      <c r="H28" s="493" t="s">
        <v>170</v>
      </c>
      <c r="I28"/>
      <c r="J28"/>
      <c r="K28"/>
      <c r="L28"/>
      <c r="M28"/>
    </row>
    <row r="29" spans="1:13">
      <c r="A29"/>
      <c r="B29" s="489" t="s">
        <v>241</v>
      </c>
      <c r="C29" s="507" t="s">
        <v>170</v>
      </c>
      <c r="D29" s="501" t="s">
        <v>170</v>
      </c>
      <c r="E29" s="491" t="s">
        <v>187</v>
      </c>
      <c r="F29" s="491" t="s">
        <v>202</v>
      </c>
      <c r="G29" s="516" t="s">
        <v>170</v>
      </c>
      <c r="H29" s="493" t="s">
        <v>242</v>
      </c>
      <c r="I29"/>
      <c r="J29"/>
      <c r="K29"/>
      <c r="L29"/>
      <c r="M29"/>
    </row>
    <row r="30" spans="1:13">
      <c r="A30"/>
      <c r="B30" s="489" t="s">
        <v>243</v>
      </c>
      <c r="C30" s="507" t="s">
        <v>170</v>
      </c>
      <c r="D30" s="501" t="s">
        <v>170</v>
      </c>
      <c r="E30" s="491" t="s">
        <v>193</v>
      </c>
      <c r="F30" s="491" t="s">
        <v>206</v>
      </c>
      <c r="G30" s="524" t="s">
        <v>170</v>
      </c>
      <c r="H30" s="493" t="s">
        <v>244</v>
      </c>
      <c r="I30"/>
      <c r="J30"/>
      <c r="K30"/>
      <c r="L30"/>
      <c r="M30"/>
    </row>
    <row r="31" spans="1:13">
      <c r="A31"/>
      <c r="B31" s="487" t="s">
        <v>245</v>
      </c>
      <c r="C31" s="507" t="s">
        <v>170</v>
      </c>
      <c r="D31" s="491" t="s">
        <v>170</v>
      </c>
      <c r="E31" s="491" t="s">
        <v>170</v>
      </c>
      <c r="F31" s="491" t="s">
        <v>170</v>
      </c>
      <c r="G31" s="523" t="s">
        <v>170</v>
      </c>
      <c r="H31" s="493" t="s">
        <v>246</v>
      </c>
      <c r="I31"/>
      <c r="J31"/>
      <c r="K31"/>
      <c r="L31"/>
      <c r="M31"/>
    </row>
    <row r="32" spans="1:13">
      <c r="A32"/>
      <c r="B32" s="494" t="s">
        <v>247</v>
      </c>
      <c r="C32" s="517" t="s">
        <v>185</v>
      </c>
      <c r="D32" s="518" t="s">
        <v>186</v>
      </c>
      <c r="E32" s="519" t="s">
        <v>195</v>
      </c>
      <c r="F32" s="519" t="s">
        <v>186</v>
      </c>
      <c r="G32" s="520" t="s">
        <v>170</v>
      </c>
      <c r="H32" s="521" t="s">
        <v>248</v>
      </c>
      <c r="I32"/>
      <c r="J32"/>
      <c r="K32"/>
      <c r="L32"/>
      <c r="M32"/>
    </row>
    <row r="33" spans="1:13" ht="15.75" customHeight="1">
      <c r="A33"/>
      <c r="B33" s="522"/>
      <c r="C33"/>
      <c r="D33"/>
      <c r="E33"/>
      <c r="F33"/>
      <c r="G33"/>
      <c r="H33"/>
      <c r="I33"/>
      <c r="J33"/>
      <c r="K33"/>
      <c r="L33"/>
      <c r="M33"/>
    </row>
    <row r="34" spans="1:13">
      <c r="A34" s="71"/>
      <c r="B34" s="71"/>
      <c r="C34" s="71"/>
      <c r="D34" s="71"/>
      <c r="E34"/>
      <c r="F34"/>
      <c r="G34"/>
      <c r="H34"/>
      <c r="I34"/>
      <c r="J34" s="71"/>
      <c r="K34" s="71"/>
      <c r="L34" s="71"/>
      <c r="M34" s="71"/>
    </row>
    <row r="35" spans="1:13">
      <c r="A35" s="71"/>
      <c r="B35" s="71"/>
      <c r="C35" s="71"/>
      <c r="D35" s="71"/>
      <c r="E35"/>
      <c r="F35"/>
      <c r="G35"/>
      <c r="H35"/>
      <c r="I35"/>
      <c r="J35" s="71"/>
      <c r="K35" s="71"/>
      <c r="L35" s="71"/>
      <c r="M35" s="71"/>
    </row>
    <row r="36" spans="1:13">
      <c r="A36" s="71"/>
      <c r="B36" s="71"/>
      <c r="C36" s="71"/>
      <c r="D36" s="71"/>
      <c r="E36"/>
      <c r="F36"/>
      <c r="G36"/>
      <c r="H36"/>
      <c r="I36"/>
      <c r="J36" s="71"/>
      <c r="K36" s="71"/>
      <c r="L36" s="71"/>
      <c r="M36" s="71"/>
    </row>
    <row r="37" spans="1:13">
      <c r="A37" s="71"/>
      <c r="B37" s="71"/>
      <c r="C37" s="71"/>
      <c r="D37" s="71"/>
      <c r="E37"/>
      <c r="F37"/>
      <c r="G37"/>
      <c r="H37"/>
      <c r="I37"/>
      <c r="J37" s="71"/>
      <c r="K37" s="71"/>
      <c r="L37" s="71"/>
      <c r="M37" s="71"/>
    </row>
    <row r="38" spans="1:13">
      <c r="A38" s="71"/>
      <c r="B38" s="71"/>
      <c r="C38" s="71"/>
      <c r="D38" s="71"/>
      <c r="E38"/>
      <c r="F38"/>
      <c r="G38"/>
      <c r="H38"/>
      <c r="I38"/>
      <c r="J38" s="71"/>
      <c r="K38" s="71"/>
      <c r="L38" s="71"/>
      <c r="M38" s="71"/>
    </row>
    <row r="39" spans="1:13">
      <c r="A39" s="71"/>
      <c r="B39" s="71"/>
      <c r="C39" s="71"/>
      <c r="D39" s="71"/>
      <c r="E39"/>
      <c r="F39"/>
      <c r="G39"/>
      <c r="H39"/>
      <c r="I39"/>
      <c r="J39" s="71"/>
      <c r="K39" s="71"/>
      <c r="L39" s="71"/>
      <c r="M39" s="71"/>
    </row>
    <row r="40" spans="1:13">
      <c r="A40" s="71"/>
      <c r="B40" s="71"/>
      <c r="C40" s="71"/>
      <c r="D40" s="71"/>
      <c r="E40"/>
      <c r="F40"/>
      <c r="G40"/>
      <c r="H40"/>
      <c r="I40"/>
      <c r="J40" s="71"/>
      <c r="K40" s="71"/>
      <c r="L40" s="71"/>
      <c r="M40" s="71"/>
    </row>
    <row r="41" spans="1:13">
      <c r="A41" s="71"/>
      <c r="B41" s="71"/>
      <c r="C41" s="71"/>
      <c r="D41" s="71"/>
      <c r="E41"/>
      <c r="F41"/>
      <c r="G41"/>
      <c r="H41"/>
      <c r="I41"/>
      <c r="J41" s="71"/>
      <c r="K41" s="71"/>
      <c r="L41" s="71"/>
      <c r="M41" s="71"/>
    </row>
    <row r="42" spans="1:13">
      <c r="A42" s="71"/>
      <c r="B42" s="71"/>
      <c r="C42" s="71"/>
      <c r="D42" s="71"/>
      <c r="E42"/>
      <c r="F42"/>
      <c r="G42"/>
      <c r="H42"/>
      <c r="I42"/>
      <c r="J42" s="71"/>
      <c r="K42" s="71"/>
      <c r="L42" s="71"/>
      <c r="M42" s="71"/>
    </row>
    <row r="43" spans="1:13">
      <c r="A43" s="71"/>
      <c r="B43" s="71"/>
      <c r="C43" s="71"/>
      <c r="D43" s="71"/>
      <c r="E43"/>
      <c r="F43"/>
      <c r="G43"/>
      <c r="H43"/>
      <c r="I43"/>
      <c r="J43" s="71"/>
      <c r="K43" s="71"/>
      <c r="L43" s="71"/>
      <c r="M43" s="71"/>
    </row>
    <row r="44" spans="1:13">
      <c r="A44" s="71"/>
      <c r="B44" s="71"/>
      <c r="C44" s="71"/>
      <c r="D44" s="71"/>
      <c r="E44"/>
      <c r="F44"/>
      <c r="G44"/>
      <c r="H44"/>
      <c r="I44"/>
      <c r="J44" s="71"/>
      <c r="K44" s="71"/>
      <c r="L44" s="71"/>
      <c r="M44" s="71"/>
    </row>
  </sheetData>
  <mergeCells count="8">
    <mergeCell ref="J10:L10"/>
    <mergeCell ref="J11:L11"/>
    <mergeCell ref="J12:L12"/>
    <mergeCell ref="J2:M2"/>
    <mergeCell ref="B2:H2"/>
    <mergeCell ref="J3:K3"/>
    <mergeCell ref="M4:M7"/>
    <mergeCell ref="J9:L9"/>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70C0"/>
  </sheetPr>
  <dimension ref="A1:AD88"/>
  <sheetViews>
    <sheetView topLeftCell="P25" zoomScaleNormal="100" workbookViewId="0">
      <pane xSplit="15555" topLeftCell="Y1" activePane="topRight"/>
      <selection pane="topRight" activeCell="AB41" sqref="AB41"/>
      <selection activeCell="AC36" sqref="AC36"/>
    </sheetView>
  </sheetViews>
  <sheetFormatPr defaultColWidth="11.28515625" defaultRowHeight="12.75"/>
  <cols>
    <col min="1" max="1" width="24.28515625" bestFit="1" customWidth="1"/>
    <col min="2" max="2" width="11.28515625" customWidth="1"/>
    <col min="3" max="3" width="20" bestFit="1" customWidth="1"/>
    <col min="4" max="9" width="11.140625" style="4" customWidth="1"/>
    <col min="10" max="11" width="8.85546875" style="4" bestFit="1" customWidth="1"/>
    <col min="12" max="12" width="9.28515625" style="4" bestFit="1" customWidth="1"/>
    <col min="13" max="13" width="9.140625" style="4" bestFit="1" customWidth="1"/>
    <col min="14" max="20" width="9.28515625" style="4" bestFit="1" customWidth="1"/>
    <col min="21" max="21" width="10" style="4" bestFit="1" customWidth="1"/>
    <col min="22" max="22" width="9.85546875" style="4" bestFit="1" customWidth="1"/>
    <col min="23" max="23" width="10" style="4" bestFit="1" customWidth="1"/>
    <col min="24" max="25" width="9.85546875" style="4" bestFit="1" customWidth="1"/>
    <col min="26" max="26" width="10.140625" style="4" bestFit="1" customWidth="1"/>
    <col min="27" max="28" width="10" style="4" bestFit="1" customWidth="1"/>
    <col min="29" max="29" width="10.28515625" style="4" bestFit="1" customWidth="1"/>
  </cols>
  <sheetData>
    <row r="1" spans="1:30" ht="20.25">
      <c r="A1" s="611" t="s">
        <v>249</v>
      </c>
      <c r="B1" s="611"/>
      <c r="C1" s="611"/>
      <c r="D1" s="611"/>
      <c r="E1" s="611"/>
      <c r="F1" s="611"/>
      <c r="G1" s="611"/>
      <c r="H1" s="611"/>
      <c r="I1" s="611"/>
      <c r="J1" s="611"/>
      <c r="K1" s="611"/>
      <c r="L1" s="611"/>
    </row>
    <row r="2" spans="1:30">
      <c r="A2" s="43"/>
      <c r="B2" s="43"/>
      <c r="C2" s="43"/>
      <c r="D2" s="43"/>
      <c r="E2" s="43"/>
      <c r="F2" s="43"/>
      <c r="G2" s="43"/>
      <c r="H2" s="43"/>
      <c r="I2" s="43"/>
      <c r="J2" s="43"/>
      <c r="K2" s="43"/>
      <c r="L2" s="43"/>
    </row>
    <row r="3" spans="1:30">
      <c r="A3" s="43" t="s">
        <v>142</v>
      </c>
      <c r="B3" s="43"/>
      <c r="C3" s="43"/>
      <c r="D3" s="43"/>
      <c r="E3" s="43" t="s">
        <v>75</v>
      </c>
      <c r="F3" s="43"/>
      <c r="G3" s="43"/>
      <c r="H3" s="43"/>
      <c r="I3" s="43"/>
      <c r="J3" s="43"/>
      <c r="K3" s="43"/>
      <c r="L3" s="43"/>
    </row>
    <row r="4" spans="1:30">
      <c r="A4" s="43"/>
      <c r="B4" s="43"/>
      <c r="C4" s="43"/>
      <c r="D4" s="43"/>
      <c r="E4" s="43"/>
      <c r="F4" s="43"/>
      <c r="G4" s="43"/>
      <c r="H4" s="43"/>
      <c r="I4" s="43"/>
      <c r="J4" s="43"/>
      <c r="K4" s="43"/>
      <c r="L4" s="43"/>
    </row>
    <row r="5" spans="1:30">
      <c r="A5" s="43"/>
      <c r="B5" s="43"/>
      <c r="C5" s="43"/>
      <c r="D5" s="43"/>
      <c r="E5" s="43"/>
      <c r="F5" s="43"/>
      <c r="G5" s="43"/>
      <c r="H5" s="43"/>
      <c r="I5" s="43"/>
      <c r="J5" s="43"/>
      <c r="K5" s="43"/>
      <c r="L5" s="43"/>
    </row>
    <row r="6" spans="1:30">
      <c r="A6" s="43"/>
      <c r="B6" s="43"/>
      <c r="C6" s="43"/>
      <c r="D6" s="43"/>
      <c r="E6" s="43"/>
      <c r="F6" s="43"/>
      <c r="G6" s="43"/>
      <c r="H6" s="43"/>
      <c r="I6" s="43"/>
      <c r="J6" s="43"/>
      <c r="K6" s="43"/>
      <c r="L6" s="43"/>
    </row>
    <row r="7" spans="1:30">
      <c r="A7" s="43"/>
      <c r="B7" s="43"/>
      <c r="C7" s="43"/>
      <c r="D7" s="43"/>
      <c r="E7" s="43"/>
      <c r="F7" s="43"/>
      <c r="G7" s="43"/>
      <c r="H7" s="43"/>
      <c r="I7" s="43"/>
      <c r="J7" s="43"/>
      <c r="K7" s="43"/>
      <c r="L7" s="43"/>
    </row>
    <row r="8" spans="1:30">
      <c r="A8" s="43"/>
      <c r="B8" s="43"/>
      <c r="C8" s="43"/>
      <c r="D8" s="43"/>
      <c r="E8" s="43"/>
      <c r="F8" s="43"/>
      <c r="G8" s="43"/>
      <c r="H8" s="43"/>
      <c r="I8" s="43"/>
      <c r="J8" s="43"/>
      <c r="K8" s="43"/>
      <c r="L8" s="43"/>
    </row>
    <row r="9" spans="1:30">
      <c r="A9" s="43"/>
      <c r="B9" s="43"/>
      <c r="C9" s="43"/>
      <c r="D9" s="43"/>
      <c r="E9" s="43"/>
      <c r="F9" s="43"/>
      <c r="G9" s="43"/>
      <c r="H9" s="43"/>
      <c r="I9" s="43"/>
      <c r="J9" s="43"/>
      <c r="K9" s="43"/>
      <c r="L9" s="43"/>
    </row>
    <row r="10" spans="1:30">
      <c r="A10" s="43"/>
      <c r="B10" s="43"/>
      <c r="C10" s="43"/>
      <c r="D10" s="43"/>
      <c r="E10" s="43"/>
      <c r="F10" s="43"/>
      <c r="G10" s="43"/>
      <c r="H10" s="43"/>
      <c r="I10" s="43"/>
      <c r="J10" s="43"/>
      <c r="K10" s="43"/>
      <c r="L10" s="43"/>
    </row>
    <row r="11" spans="1:30">
      <c r="A11" s="43"/>
      <c r="B11" s="43"/>
      <c r="C11" s="43"/>
      <c r="D11" s="43"/>
      <c r="E11" s="43"/>
      <c r="F11" s="43"/>
      <c r="G11" s="43"/>
      <c r="H11" s="43"/>
      <c r="I11" s="43"/>
      <c r="J11" s="43"/>
      <c r="K11" s="43"/>
      <c r="L11" s="43"/>
    </row>
    <row r="12" spans="1:30">
      <c r="A12" s="43"/>
      <c r="B12" s="43"/>
      <c r="C12" s="43"/>
      <c r="D12" s="43"/>
      <c r="E12" s="43"/>
      <c r="F12" s="43"/>
      <c r="G12" s="43"/>
      <c r="H12" s="43"/>
      <c r="I12" s="43"/>
      <c r="J12" s="43"/>
      <c r="K12" s="43"/>
      <c r="L12" s="43"/>
      <c r="Z12" s="1"/>
    </row>
    <row r="13" spans="1:30">
      <c r="A13" s="43"/>
      <c r="B13" s="43"/>
      <c r="C13" s="43"/>
      <c r="D13" s="43"/>
      <c r="E13" s="43"/>
      <c r="F13" s="43"/>
      <c r="G13" s="43"/>
      <c r="H13" s="43"/>
      <c r="I13" s="43"/>
      <c r="J13" s="43"/>
      <c r="K13" s="43"/>
      <c r="L13" s="43"/>
    </row>
    <row r="14" spans="1:30">
      <c r="A14" s="43"/>
      <c r="B14" s="43"/>
      <c r="C14" s="43"/>
      <c r="D14" s="43"/>
      <c r="E14" s="43"/>
      <c r="F14" s="43"/>
      <c r="G14" s="43"/>
      <c r="H14" s="43"/>
      <c r="I14" s="43"/>
      <c r="J14" s="43"/>
      <c r="K14" s="43"/>
      <c r="L14" s="43"/>
    </row>
    <row r="15" spans="1:30">
      <c r="A15" s="43"/>
      <c r="B15" s="43"/>
      <c r="C15" s="43"/>
      <c r="D15" s="43"/>
      <c r="E15" s="43"/>
      <c r="F15" s="43"/>
      <c r="G15" s="43"/>
      <c r="H15" s="43"/>
      <c r="I15" s="43"/>
      <c r="J15" s="43"/>
      <c r="K15" s="43"/>
      <c r="L15" s="43"/>
      <c r="AD15" s="71"/>
    </row>
    <row r="16" spans="1:30">
      <c r="A16" s="43" t="s">
        <v>250</v>
      </c>
      <c r="B16" s="43"/>
      <c r="C16" s="43"/>
      <c r="D16" s="43"/>
      <c r="E16" s="43" t="s">
        <v>38</v>
      </c>
      <c r="F16" s="43"/>
      <c r="G16" s="43"/>
      <c r="H16" s="43"/>
      <c r="I16" s="43"/>
      <c r="J16" s="43"/>
      <c r="K16" s="43"/>
      <c r="L16" s="43"/>
      <c r="AD16" s="71"/>
    </row>
    <row r="17" spans="4:30">
      <c r="AD17" s="71"/>
    </row>
    <row r="18" spans="4:30">
      <c r="AD18" s="71"/>
    </row>
    <row r="19" spans="4:30">
      <c r="AD19" s="71"/>
    </row>
    <row r="20" spans="4:30">
      <c r="AD20" s="71"/>
    </row>
    <row r="21" spans="4:30">
      <c r="AD21" s="71"/>
    </row>
    <row r="22" spans="4:30">
      <c r="AD22" s="71"/>
    </row>
    <row r="23" spans="4:30">
      <c r="AD23" s="71"/>
    </row>
    <row r="24" spans="4:30">
      <c r="AD24" s="71"/>
    </row>
    <row r="25" spans="4:30">
      <c r="AD25" s="71"/>
    </row>
    <row r="26" spans="4:30">
      <c r="K26" s="126"/>
      <c r="AD26" s="71"/>
    </row>
    <row r="27" spans="4:30">
      <c r="K27" s="126"/>
      <c r="AD27" s="71"/>
    </row>
    <row r="31" spans="4:30">
      <c r="D31" s="167">
        <v>1E-3</v>
      </c>
      <c r="E31" s="168">
        <f>1/((1+$B$59+$D31)^(E35-2021))</f>
        <v>0.92250922509225108</v>
      </c>
      <c r="F31" s="168">
        <f t="shared" ref="F31:AC31" si="0">1/((1+$B$59+$D31)^(F35-2021))</f>
        <v>0.85102327038030556</v>
      </c>
      <c r="G31" s="168">
        <f t="shared" si="0"/>
        <v>0.78507681769400894</v>
      </c>
      <c r="H31" s="168">
        <f t="shared" si="0"/>
        <v>0.72424060672879054</v>
      </c>
      <c r="I31" s="168">
        <f t="shared" si="0"/>
        <v>0.66811864089371831</v>
      </c>
      <c r="J31" s="168">
        <f t="shared" si="0"/>
        <v>0.61634560968055208</v>
      </c>
      <c r="K31" s="168">
        <f t="shared" si="0"/>
        <v>0.56858451077541716</v>
      </c>
      <c r="L31" s="168">
        <f t="shared" si="0"/>
        <v>0.52452445643488677</v>
      </c>
      <c r="M31" s="168">
        <f t="shared" si="0"/>
        <v>0.48387864984768159</v>
      </c>
      <c r="N31" s="168">
        <f t="shared" si="0"/>
        <v>0.44638251830966935</v>
      </c>
      <c r="O31" s="168">
        <f t="shared" si="0"/>
        <v>0.41179199106058068</v>
      </c>
      <c r="P31" s="168">
        <f t="shared" si="0"/>
        <v>0.37988191057249149</v>
      </c>
      <c r="Q31" s="168">
        <f t="shared" si="0"/>
        <v>0.35044456694879283</v>
      </c>
      <c r="R31" s="168">
        <f t="shared" si="0"/>
        <v>0.32328834589372041</v>
      </c>
      <c r="S31" s="168">
        <f t="shared" si="0"/>
        <v>0.29823648145177167</v>
      </c>
      <c r="T31" s="168">
        <f t="shared" si="0"/>
        <v>0.27512590539831339</v>
      </c>
      <c r="U31" s="168">
        <f t="shared" si="0"/>
        <v>0.25380618579180203</v>
      </c>
      <c r="V31" s="168">
        <f t="shared" si="0"/>
        <v>0.2341385477784152</v>
      </c>
      <c r="W31" s="168">
        <f t="shared" si="0"/>
        <v>0.21599497027529083</v>
      </c>
      <c r="X31" s="168">
        <f t="shared" si="0"/>
        <v>0.19925735265248232</v>
      </c>
      <c r="Y31" s="168">
        <f t="shared" si="0"/>
        <v>0.18381674598937486</v>
      </c>
      <c r="Z31" s="168">
        <f t="shared" si="0"/>
        <v>0.16957264390163737</v>
      </c>
      <c r="AA31" s="168">
        <f t="shared" si="0"/>
        <v>0.1564323283225437</v>
      </c>
      <c r="AB31" s="168">
        <f t="shared" si="0"/>
        <v>0.14431026598020638</v>
      </c>
      <c r="AC31" s="168">
        <f t="shared" si="0"/>
        <v>0.13312755164225684</v>
      </c>
    </row>
    <row r="32" spans="4:30">
      <c r="D32" s="169">
        <v>5.0000000000000001E-3</v>
      </c>
      <c r="E32" s="168">
        <f>1/((1+$B$59+$D32)^(E35-2021))</f>
        <v>0.91911764705882371</v>
      </c>
      <c r="F32" s="168">
        <f t="shared" ref="F32:AC32" si="1">1/((1+$B$59+$D32)^(F35-2021))</f>
        <v>0.84477724913494834</v>
      </c>
      <c r="G32" s="168">
        <f t="shared" si="1"/>
        <v>0.77644967751373939</v>
      </c>
      <c r="H32" s="168">
        <f t="shared" si="1"/>
        <v>0.71364860065601055</v>
      </c>
      <c r="I32" s="168">
        <f t="shared" si="1"/>
        <v>0.65592702266177449</v>
      </c>
      <c r="J32" s="168">
        <f t="shared" si="1"/>
        <v>0.60287410171118994</v>
      </c>
      <c r="K32" s="168">
        <f t="shared" si="1"/>
        <v>0.55411222583749076</v>
      </c>
      <c r="L32" s="168">
        <f t="shared" si="1"/>
        <v>0.509294325218282</v>
      </c>
      <c r="M32" s="168">
        <f t="shared" si="1"/>
        <v>0.46810140185503862</v>
      </c>
      <c r="N32" s="168">
        <f t="shared" si="1"/>
        <v>0.43024025905793994</v>
      </c>
      <c r="O32" s="168">
        <f t="shared" si="1"/>
        <v>0.39544141457531257</v>
      </c>
      <c r="P32" s="168">
        <f t="shared" si="1"/>
        <v>0.36345718251407405</v>
      </c>
      <c r="Q32" s="168">
        <f t="shared" si="1"/>
        <v>0.33405991039896515</v>
      </c>
      <c r="R32" s="168">
        <f t="shared" si="1"/>
        <v>0.30704035882257835</v>
      </c>
      <c r="S32" s="168">
        <f t="shared" si="1"/>
        <v>0.28220621215310515</v>
      </c>
      <c r="T32" s="168">
        <f t="shared" si="1"/>
        <v>0.25938070969954519</v>
      </c>
      <c r="U32" s="168">
        <f t="shared" si="1"/>
        <v>0.23840138759149374</v>
      </c>
      <c r="V32" s="168">
        <f t="shared" si="1"/>
        <v>0.21911892241865238</v>
      </c>
      <c r="W32" s="168">
        <f t="shared" si="1"/>
        <v>0.2013960683994967</v>
      </c>
      <c r="X32" s="168">
        <f t="shared" si="1"/>
        <v>0.18510668051424331</v>
      </c>
      <c r="Y32" s="168">
        <f t="shared" si="1"/>
        <v>0.17013481664912072</v>
      </c>
      <c r="Z32" s="168">
        <f t="shared" si="1"/>
        <v>0.15637391236132422</v>
      </c>
      <c r="AA32" s="168">
        <f t="shared" si="1"/>
        <v>0.143726022390923</v>
      </c>
      <c r="AB32" s="168">
        <f t="shared" si="1"/>
        <v>0.13210112352106895</v>
      </c>
      <c r="AC32" s="168">
        <f t="shared" si="1"/>
        <v>0.1214164738245119</v>
      </c>
    </row>
    <row r="33" spans="1:30">
      <c r="D33" s="84" t="s">
        <v>251</v>
      </c>
      <c r="E33" s="168">
        <f>1/((1+$B$59)^(E35-2021))</f>
        <v>0.92336103416435833</v>
      </c>
      <c r="F33" s="168">
        <f t="shared" ref="F33:AC33" si="2">1/((1+$B$59)^(F35-2021))</f>
        <v>0.85259559941307328</v>
      </c>
      <c r="G33" s="168">
        <f t="shared" si="2"/>
        <v>0.78725355439803635</v>
      </c>
      <c r="H33" s="168">
        <f t="shared" si="2"/>
        <v>0.72691925613853769</v>
      </c>
      <c r="I33" s="168">
        <f t="shared" si="2"/>
        <v>0.67120891610206623</v>
      </c>
      <c r="J33" s="168">
        <f t="shared" si="2"/>
        <v>0.61976815891234194</v>
      </c>
      <c r="K33" s="168">
        <f t="shared" si="2"/>
        <v>0.57226976815544039</v>
      </c>
      <c r="L33" s="168">
        <f t="shared" si="2"/>
        <v>0.52841160494500505</v>
      </c>
      <c r="M33" s="168">
        <f t="shared" si="2"/>
        <v>0.48791468600646815</v>
      </c>
      <c r="N33" s="168">
        <f t="shared" si="2"/>
        <v>0.45052140905491062</v>
      </c>
      <c r="O33" s="168">
        <f t="shared" si="2"/>
        <v>0.4159939141781262</v>
      </c>
      <c r="P33" s="168">
        <f t="shared" si="2"/>
        <v>0.38411257080159389</v>
      </c>
      <c r="Q33" s="168">
        <f t="shared" si="2"/>
        <v>0.35467458061089008</v>
      </c>
      <c r="R33" s="168">
        <f t="shared" si="2"/>
        <v>0.32749268754468147</v>
      </c>
      <c r="S33" s="168">
        <f t="shared" si="2"/>
        <v>0.30239398665252215</v>
      </c>
      <c r="T33" s="168">
        <f t="shared" si="2"/>
        <v>0.27921882424055605</v>
      </c>
      <c r="U33" s="168">
        <f t="shared" si="2"/>
        <v>0.25781978230891606</v>
      </c>
      <c r="V33" s="168">
        <f t="shared" si="2"/>
        <v>0.23806074082079043</v>
      </c>
      <c r="W33" s="168">
        <f t="shared" si="2"/>
        <v>0.21981601183821831</v>
      </c>
      <c r="X33" s="168">
        <f t="shared" si="2"/>
        <v>0.2029695400168221</v>
      </c>
      <c r="Y33" s="168">
        <f t="shared" si="2"/>
        <v>0.18741416437379693</v>
      </c>
      <c r="Z33" s="168">
        <f t="shared" si="2"/>
        <v>0.1730509366332382</v>
      </c>
      <c r="AA33" s="168">
        <f t="shared" si="2"/>
        <v>0.15978849181277768</v>
      </c>
      <c r="AB33" s="168">
        <f t="shared" si="2"/>
        <v>0.14754246704780949</v>
      </c>
      <c r="AC33" s="168">
        <f t="shared" si="2"/>
        <v>0.13623496495642612</v>
      </c>
    </row>
    <row r="35" spans="1:30">
      <c r="B35" s="28" t="s">
        <v>252</v>
      </c>
      <c r="C35" s="28" t="s">
        <v>253</v>
      </c>
      <c r="D35" s="13">
        <v>2021</v>
      </c>
      <c r="E35" s="13">
        <f>D35+1</f>
        <v>2022</v>
      </c>
      <c r="F35" s="13">
        <f t="shared" ref="F35:AC35" si="3">E35+1</f>
        <v>2023</v>
      </c>
      <c r="G35" s="13">
        <f t="shared" si="3"/>
        <v>2024</v>
      </c>
      <c r="H35" s="13">
        <f t="shared" si="3"/>
        <v>2025</v>
      </c>
      <c r="I35" s="13">
        <f t="shared" si="3"/>
        <v>2026</v>
      </c>
      <c r="J35" s="13">
        <f t="shared" si="3"/>
        <v>2027</v>
      </c>
      <c r="K35" s="13">
        <f t="shared" si="3"/>
        <v>2028</v>
      </c>
      <c r="L35" s="13">
        <f t="shared" si="3"/>
        <v>2029</v>
      </c>
      <c r="M35" s="13">
        <f t="shared" si="3"/>
        <v>2030</v>
      </c>
      <c r="N35" s="13">
        <f t="shared" si="3"/>
        <v>2031</v>
      </c>
      <c r="O35" s="13">
        <f t="shared" si="3"/>
        <v>2032</v>
      </c>
      <c r="P35" s="13">
        <f t="shared" si="3"/>
        <v>2033</v>
      </c>
      <c r="Q35" s="13">
        <f t="shared" si="3"/>
        <v>2034</v>
      </c>
      <c r="R35" s="13">
        <f t="shared" si="3"/>
        <v>2035</v>
      </c>
      <c r="S35" s="13">
        <f t="shared" si="3"/>
        <v>2036</v>
      </c>
      <c r="T35" s="13">
        <f t="shared" si="3"/>
        <v>2037</v>
      </c>
      <c r="U35" s="13">
        <f t="shared" si="3"/>
        <v>2038</v>
      </c>
      <c r="V35" s="13">
        <f t="shared" si="3"/>
        <v>2039</v>
      </c>
      <c r="W35" s="13">
        <f t="shared" si="3"/>
        <v>2040</v>
      </c>
      <c r="X35" s="13">
        <f t="shared" si="3"/>
        <v>2041</v>
      </c>
      <c r="Y35" s="13">
        <f t="shared" si="3"/>
        <v>2042</v>
      </c>
      <c r="Z35" s="13">
        <f t="shared" si="3"/>
        <v>2043</v>
      </c>
      <c r="AA35" s="13">
        <f t="shared" si="3"/>
        <v>2044</v>
      </c>
      <c r="AB35" s="13">
        <f t="shared" si="3"/>
        <v>2045</v>
      </c>
      <c r="AC35" s="13">
        <f t="shared" si="3"/>
        <v>2046</v>
      </c>
    </row>
    <row r="36" spans="1:30" s="14" customFormat="1">
      <c r="A36" s="25" t="s">
        <v>254</v>
      </c>
      <c r="B36" s="37" t="e">
        <f>#REF!</f>
        <v>#REF!</v>
      </c>
      <c r="C36" s="37" t="e">
        <f>#REF!</f>
        <v>#REF!</v>
      </c>
      <c r="D36" s="128">
        <v>0.35</v>
      </c>
      <c r="E36" s="128">
        <v>3.4000000000000002E-2</v>
      </c>
      <c r="F36" s="128">
        <v>9.5000000000000001E-2</v>
      </c>
      <c r="G36" s="128">
        <v>9.5000000000000001E-2</v>
      </c>
      <c r="H36" s="128">
        <v>9.5000000000000001E-2</v>
      </c>
      <c r="I36" s="128">
        <v>9.5000000000000001E-2</v>
      </c>
      <c r="J36" s="128">
        <v>9.5000000000000001E-2</v>
      </c>
      <c r="K36" s="37">
        <v>0.08</v>
      </c>
      <c r="L36" s="37">
        <v>0.06</v>
      </c>
      <c r="M36" s="37">
        <v>0.05</v>
      </c>
      <c r="N36" s="37">
        <v>0.04</v>
      </c>
      <c r="O36" s="37">
        <v>3.5000000000000003E-2</v>
      </c>
      <c r="P36" s="37">
        <v>3.5000000000000003E-2</v>
      </c>
      <c r="Q36" s="37">
        <v>3.5000000000000003E-2</v>
      </c>
      <c r="R36" s="37">
        <v>3.5000000000000003E-2</v>
      </c>
      <c r="S36" s="37">
        <v>3.5000000000000003E-2</v>
      </c>
      <c r="T36" s="37">
        <v>3.5000000000000003E-2</v>
      </c>
      <c r="U36" s="37">
        <v>3.5000000000000003E-2</v>
      </c>
      <c r="V36" s="37">
        <v>3.5000000000000003E-2</v>
      </c>
      <c r="W36" s="37">
        <v>3.5000000000000003E-2</v>
      </c>
      <c r="X36" s="37">
        <v>3.5000000000000003E-2</v>
      </c>
      <c r="Y36" s="37">
        <v>3.5000000000000003E-2</v>
      </c>
      <c r="Z36" s="37">
        <v>3.5000000000000003E-2</v>
      </c>
      <c r="AA36" s="37">
        <v>3.5000000000000003E-2</v>
      </c>
      <c r="AB36" s="37">
        <v>3.5000000000000003E-2</v>
      </c>
      <c r="AC36" s="37">
        <v>3.5000000000000003E-2</v>
      </c>
    </row>
    <row r="37" spans="1:30" s="7" customFormat="1">
      <c r="A37" s="97" t="s">
        <v>142</v>
      </c>
      <c r="B37" s="51" t="e">
        <f>#REF!</f>
        <v>#REF!</v>
      </c>
      <c r="C37" s="51" t="e">
        <f>#REF!</f>
        <v>#REF!</v>
      </c>
      <c r="D37" s="1" t="e">
        <f>#REF!*(1+D36)</f>
        <v>#REF!</v>
      </c>
      <c r="E37" s="1" t="e">
        <f t="shared" ref="E37:AC37" si="4">D37*(1+E36)</f>
        <v>#REF!</v>
      </c>
      <c r="F37" s="1" t="e">
        <f t="shared" si="4"/>
        <v>#REF!</v>
      </c>
      <c r="G37" s="1" t="e">
        <f t="shared" si="4"/>
        <v>#REF!</v>
      </c>
      <c r="H37" s="1" t="e">
        <f t="shared" si="4"/>
        <v>#REF!</v>
      </c>
      <c r="I37" s="1" t="e">
        <f t="shared" si="4"/>
        <v>#REF!</v>
      </c>
      <c r="J37" s="1" t="e">
        <f t="shared" si="4"/>
        <v>#REF!</v>
      </c>
      <c r="K37" s="1" t="e">
        <f t="shared" si="4"/>
        <v>#REF!</v>
      </c>
      <c r="L37" s="1" t="e">
        <f t="shared" si="4"/>
        <v>#REF!</v>
      </c>
      <c r="M37" s="1" t="e">
        <f t="shared" si="4"/>
        <v>#REF!</v>
      </c>
      <c r="N37" s="1" t="e">
        <f t="shared" si="4"/>
        <v>#REF!</v>
      </c>
      <c r="O37" s="1" t="e">
        <f t="shared" si="4"/>
        <v>#REF!</v>
      </c>
      <c r="P37" s="1" t="e">
        <f t="shared" si="4"/>
        <v>#REF!</v>
      </c>
      <c r="Q37" s="1" t="e">
        <f t="shared" si="4"/>
        <v>#REF!</v>
      </c>
      <c r="R37" s="1" t="e">
        <f t="shared" si="4"/>
        <v>#REF!</v>
      </c>
      <c r="S37" s="1" t="e">
        <f t="shared" si="4"/>
        <v>#REF!</v>
      </c>
      <c r="T37" s="1" t="e">
        <f t="shared" si="4"/>
        <v>#REF!</v>
      </c>
      <c r="U37" s="1" t="e">
        <f t="shared" si="4"/>
        <v>#REF!</v>
      </c>
      <c r="V37" s="1" t="e">
        <f t="shared" si="4"/>
        <v>#REF!</v>
      </c>
      <c r="W37" s="1" t="e">
        <f t="shared" si="4"/>
        <v>#REF!</v>
      </c>
      <c r="X37" s="1" t="e">
        <f t="shared" si="4"/>
        <v>#REF!</v>
      </c>
      <c r="Y37" s="1" t="e">
        <f t="shared" si="4"/>
        <v>#REF!</v>
      </c>
      <c r="Z37" s="1" t="e">
        <f t="shared" si="4"/>
        <v>#REF!</v>
      </c>
      <c r="AA37" s="1" t="e">
        <f t="shared" si="4"/>
        <v>#REF!</v>
      </c>
      <c r="AB37" s="1" t="e">
        <f t="shared" si="4"/>
        <v>#REF!</v>
      </c>
      <c r="AC37" s="1" t="e">
        <f t="shared" si="4"/>
        <v>#REF!</v>
      </c>
    </row>
    <row r="38" spans="1:30" s="14" customFormat="1">
      <c r="A38" s="25" t="s">
        <v>75</v>
      </c>
      <c r="B38" s="61" t="e">
        <f>+#REF!</f>
        <v>#REF!</v>
      </c>
      <c r="C38" s="61" t="e">
        <f>+#REF!</f>
        <v>#REF!</v>
      </c>
      <c r="D38" s="128">
        <f>108166.4/365513.2</f>
        <v>0.29593021537936248</v>
      </c>
      <c r="E38" s="128">
        <f>108162.8/377959.8</f>
        <v>0.28617540807249875</v>
      </c>
      <c r="F38" s="128">
        <v>0.27</v>
      </c>
      <c r="G38" s="128">
        <v>0.27500000000000002</v>
      </c>
      <c r="H38" s="128">
        <v>0.26</v>
      </c>
      <c r="I38" s="128">
        <v>0.255</v>
      </c>
      <c r="J38" s="128">
        <v>0.25</v>
      </c>
      <c r="K38" s="37">
        <v>0.25</v>
      </c>
      <c r="L38" s="37">
        <v>0.25</v>
      </c>
      <c r="M38" s="37">
        <v>0.25</v>
      </c>
      <c r="N38" s="37">
        <v>0.25</v>
      </c>
      <c r="O38" s="37">
        <v>0.25</v>
      </c>
      <c r="P38" s="37">
        <v>0.25</v>
      </c>
      <c r="Q38" s="37">
        <v>0.25</v>
      </c>
      <c r="R38" s="37">
        <v>0.25</v>
      </c>
      <c r="S38" s="37">
        <v>0.25</v>
      </c>
      <c r="T38" s="37">
        <v>0.25</v>
      </c>
      <c r="U38" s="37">
        <v>0.25</v>
      </c>
      <c r="V38" s="37">
        <v>0.25</v>
      </c>
      <c r="W38" s="37">
        <v>0.25</v>
      </c>
      <c r="X38" s="37">
        <v>0.25</v>
      </c>
      <c r="Y38" s="37">
        <v>0.25</v>
      </c>
      <c r="Z38" s="37">
        <v>0.25</v>
      </c>
      <c r="AA38" s="37">
        <v>0.25</v>
      </c>
      <c r="AB38" s="37">
        <v>0.25</v>
      </c>
      <c r="AC38" s="37">
        <v>0.25</v>
      </c>
    </row>
    <row r="39" spans="1:30">
      <c r="A39" s="71" t="s">
        <v>24</v>
      </c>
      <c r="B39" s="51">
        <v>63930</v>
      </c>
      <c r="C39" s="51">
        <v>66288</v>
      </c>
      <c r="D39" s="1" t="e">
        <f t="shared" ref="D39:AC39" si="5">D37*D38</f>
        <v>#REF!</v>
      </c>
      <c r="E39" s="1" t="e">
        <f t="shared" si="5"/>
        <v>#REF!</v>
      </c>
      <c r="F39" s="1" t="e">
        <f t="shared" si="5"/>
        <v>#REF!</v>
      </c>
      <c r="G39" s="1" t="e">
        <f t="shared" si="5"/>
        <v>#REF!</v>
      </c>
      <c r="H39" s="1" t="e">
        <f t="shared" si="5"/>
        <v>#REF!</v>
      </c>
      <c r="I39" s="1" t="e">
        <f t="shared" si="5"/>
        <v>#REF!</v>
      </c>
      <c r="J39" s="1" t="e">
        <f t="shared" si="5"/>
        <v>#REF!</v>
      </c>
      <c r="K39" s="1" t="e">
        <f t="shared" si="5"/>
        <v>#REF!</v>
      </c>
      <c r="L39" s="1" t="e">
        <f t="shared" si="5"/>
        <v>#REF!</v>
      </c>
      <c r="M39" s="1" t="e">
        <f t="shared" si="5"/>
        <v>#REF!</v>
      </c>
      <c r="N39" s="1" t="e">
        <f t="shared" si="5"/>
        <v>#REF!</v>
      </c>
      <c r="O39" s="1" t="e">
        <f t="shared" si="5"/>
        <v>#REF!</v>
      </c>
      <c r="P39" s="1" t="e">
        <f t="shared" si="5"/>
        <v>#REF!</v>
      </c>
      <c r="Q39" s="1" t="e">
        <f t="shared" si="5"/>
        <v>#REF!</v>
      </c>
      <c r="R39" s="1" t="e">
        <f t="shared" si="5"/>
        <v>#REF!</v>
      </c>
      <c r="S39" s="1" t="e">
        <f t="shared" si="5"/>
        <v>#REF!</v>
      </c>
      <c r="T39" s="1" t="e">
        <f t="shared" si="5"/>
        <v>#REF!</v>
      </c>
      <c r="U39" s="1" t="e">
        <f t="shared" si="5"/>
        <v>#REF!</v>
      </c>
      <c r="V39" s="1" t="e">
        <f t="shared" si="5"/>
        <v>#REF!</v>
      </c>
      <c r="W39" s="1" t="e">
        <f t="shared" si="5"/>
        <v>#REF!</v>
      </c>
      <c r="X39" s="1" t="e">
        <f t="shared" si="5"/>
        <v>#REF!</v>
      </c>
      <c r="Y39" s="1" t="e">
        <f t="shared" si="5"/>
        <v>#REF!</v>
      </c>
      <c r="Z39" s="1" t="e">
        <f t="shared" si="5"/>
        <v>#REF!</v>
      </c>
      <c r="AA39" s="1" t="e">
        <f t="shared" si="5"/>
        <v>#REF!</v>
      </c>
      <c r="AB39" s="1" t="e">
        <f t="shared" si="5"/>
        <v>#REF!</v>
      </c>
      <c r="AC39" s="1" t="e">
        <f t="shared" si="5"/>
        <v>#REF!</v>
      </c>
    </row>
    <row r="40" spans="1:30">
      <c r="A40" s="71" t="s">
        <v>255</v>
      </c>
      <c r="B40" s="51" t="e">
        <f>#REF!</f>
        <v>#REF!</v>
      </c>
      <c r="C40" s="51" t="e">
        <f>#REF!</f>
        <v>#REF!</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c r="A41" s="97" t="s">
        <v>256</v>
      </c>
      <c r="B41" s="51" t="e">
        <f>+B39+B40</f>
        <v>#REF!</v>
      </c>
      <c r="C41" s="51" t="e">
        <f>+C39+C40</f>
        <v>#REF!</v>
      </c>
      <c r="D41" s="1" t="e">
        <f>D39+D40</f>
        <v>#REF!</v>
      </c>
      <c r="E41" s="1" t="e">
        <f t="shared" ref="E41:AC41" si="7">E39+E40</f>
        <v>#REF!</v>
      </c>
      <c r="F41" s="1" t="e">
        <f t="shared" si="7"/>
        <v>#REF!</v>
      </c>
      <c r="G41" s="1" t="e">
        <f t="shared" si="7"/>
        <v>#REF!</v>
      </c>
      <c r="H41" s="1" t="e">
        <f t="shared" si="7"/>
        <v>#REF!</v>
      </c>
      <c r="I41" s="1" t="e">
        <f t="shared" si="7"/>
        <v>#REF!</v>
      </c>
      <c r="J41" s="1" t="e">
        <f t="shared" si="7"/>
        <v>#REF!</v>
      </c>
      <c r="K41" s="1" t="e">
        <f t="shared" si="7"/>
        <v>#REF!</v>
      </c>
      <c r="L41" s="1" t="e">
        <f t="shared" si="7"/>
        <v>#REF!</v>
      </c>
      <c r="M41" s="1" t="e">
        <f t="shared" si="7"/>
        <v>#REF!</v>
      </c>
      <c r="N41" s="1" t="e">
        <f t="shared" si="7"/>
        <v>#REF!</v>
      </c>
      <c r="O41" s="1" t="e">
        <f t="shared" si="7"/>
        <v>#REF!</v>
      </c>
      <c r="P41" s="1" t="e">
        <f t="shared" si="7"/>
        <v>#REF!</v>
      </c>
      <c r="Q41" s="1" t="e">
        <f t="shared" si="7"/>
        <v>#REF!</v>
      </c>
      <c r="R41" s="1" t="e">
        <f t="shared" si="7"/>
        <v>#REF!</v>
      </c>
      <c r="S41" s="1" t="e">
        <f t="shared" si="7"/>
        <v>#REF!</v>
      </c>
      <c r="T41" s="1" t="e">
        <f t="shared" si="7"/>
        <v>#REF!</v>
      </c>
      <c r="U41" s="1" t="e">
        <f t="shared" si="7"/>
        <v>#REF!</v>
      </c>
      <c r="V41" s="1" t="e">
        <f t="shared" si="7"/>
        <v>#REF!</v>
      </c>
      <c r="W41" s="1" t="e">
        <f t="shared" si="7"/>
        <v>#REF!</v>
      </c>
      <c r="X41" s="1" t="e">
        <f t="shared" si="7"/>
        <v>#REF!</v>
      </c>
      <c r="Y41" s="1" t="e">
        <f t="shared" si="7"/>
        <v>#REF!</v>
      </c>
      <c r="Z41" s="1" t="e">
        <f t="shared" si="7"/>
        <v>#REF!</v>
      </c>
      <c r="AA41" s="1" t="e">
        <f t="shared" si="7"/>
        <v>#REF!</v>
      </c>
      <c r="AB41" s="1" t="e">
        <f t="shared" si="7"/>
        <v>#REF!</v>
      </c>
      <c r="AC41" s="1" t="e">
        <f t="shared" si="7"/>
        <v>#REF!</v>
      </c>
    </row>
    <row r="42" spans="1:30" s="14" customFormat="1">
      <c r="A42" s="26" t="s">
        <v>257</v>
      </c>
      <c r="B42" s="27">
        <v>-1385</v>
      </c>
      <c r="C42" s="27">
        <v>-890</v>
      </c>
      <c r="D42" s="27">
        <f t="shared" ref="D42:AC42" si="8">(C48)*$H$60</f>
        <v>-1124.3600000000001</v>
      </c>
      <c r="E42" s="27">
        <f t="shared" si="8"/>
        <v>-1113.1164000000001</v>
      </c>
      <c r="F42" s="27">
        <f t="shared" si="8"/>
        <v>-1113.1164000000001</v>
      </c>
      <c r="G42" s="27">
        <f t="shared" si="8"/>
        <v>-1113.1164000000001</v>
      </c>
      <c r="H42" s="27">
        <f t="shared" si="8"/>
        <v>-1113.1164000000001</v>
      </c>
      <c r="I42" s="27">
        <f t="shared" si="8"/>
        <v>-1113.1164000000001</v>
      </c>
      <c r="J42" s="27">
        <f t="shared" si="8"/>
        <v>-1113.1164000000001</v>
      </c>
      <c r="K42" s="27">
        <f t="shared" si="8"/>
        <v>-1113.1164000000001</v>
      </c>
      <c r="L42" s="27">
        <f t="shared" si="8"/>
        <v>-1113.1164000000001</v>
      </c>
      <c r="M42" s="27">
        <f t="shared" si="8"/>
        <v>-1113.1164000000001</v>
      </c>
      <c r="N42" s="27">
        <f t="shared" si="8"/>
        <v>-1113.1164000000001</v>
      </c>
      <c r="O42" s="27">
        <f t="shared" si="8"/>
        <v>-1113.1164000000001</v>
      </c>
      <c r="P42" s="27">
        <f t="shared" si="8"/>
        <v>-1113.1164000000001</v>
      </c>
      <c r="Q42" s="27">
        <f t="shared" si="8"/>
        <v>-1113.1164000000001</v>
      </c>
      <c r="R42" s="27">
        <f t="shared" si="8"/>
        <v>-1113.1164000000001</v>
      </c>
      <c r="S42" s="27">
        <f t="shared" si="8"/>
        <v>-1113.1164000000001</v>
      </c>
      <c r="T42" s="27">
        <f t="shared" si="8"/>
        <v>-1113.1164000000001</v>
      </c>
      <c r="U42" s="27">
        <f t="shared" si="8"/>
        <v>-1113.1164000000001</v>
      </c>
      <c r="V42" s="27">
        <f t="shared" si="8"/>
        <v>-1113.1164000000001</v>
      </c>
      <c r="W42" s="27">
        <f t="shared" si="8"/>
        <v>-1113.1164000000001</v>
      </c>
      <c r="X42" s="27">
        <f t="shared" si="8"/>
        <v>-1113.1164000000001</v>
      </c>
      <c r="Y42" s="27">
        <f t="shared" si="8"/>
        <v>-1113.1164000000001</v>
      </c>
      <c r="Z42" s="27">
        <f t="shared" si="8"/>
        <v>-1113.1164000000001</v>
      </c>
      <c r="AA42" s="27">
        <f t="shared" si="8"/>
        <v>-1113.1164000000001</v>
      </c>
      <c r="AB42" s="27">
        <f t="shared" si="8"/>
        <v>-1113.1164000000001</v>
      </c>
      <c r="AC42" s="27">
        <f t="shared" si="8"/>
        <v>-1113.1164000000001</v>
      </c>
    </row>
    <row r="43" spans="1:30">
      <c r="A43" s="97" t="s">
        <v>258</v>
      </c>
      <c r="B43" s="51">
        <f>-422-2817</f>
        <v>-3239</v>
      </c>
      <c r="C43" s="51">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c r="A44" s="97" t="s">
        <v>259</v>
      </c>
      <c r="B44" s="51">
        <f>B39-B42-B43</f>
        <v>68554</v>
      </c>
      <c r="C44" s="51">
        <f>C39-C42-C43</f>
        <v>70725</v>
      </c>
      <c r="D44" s="1" t="e">
        <f>D39-D42-D43</f>
        <v>#REF!</v>
      </c>
      <c r="E44" s="1" t="e">
        <f t="shared" ref="E44:AC44" si="10">E39-E42-E43</f>
        <v>#REF!</v>
      </c>
      <c r="F44" s="1" t="e">
        <f t="shared" si="10"/>
        <v>#REF!</v>
      </c>
      <c r="G44" s="1" t="e">
        <f t="shared" si="10"/>
        <v>#REF!</v>
      </c>
      <c r="H44" s="1" t="e">
        <f t="shared" si="10"/>
        <v>#REF!</v>
      </c>
      <c r="I44" s="1" t="e">
        <f t="shared" si="10"/>
        <v>#REF!</v>
      </c>
      <c r="J44" s="1" t="e">
        <f t="shared" si="10"/>
        <v>#REF!</v>
      </c>
      <c r="K44" s="1" t="e">
        <f t="shared" si="10"/>
        <v>#REF!</v>
      </c>
      <c r="L44" s="1" t="e">
        <f t="shared" si="10"/>
        <v>#REF!</v>
      </c>
      <c r="M44" s="1" t="e">
        <f t="shared" si="10"/>
        <v>#REF!</v>
      </c>
      <c r="N44" s="1" t="e">
        <f t="shared" si="10"/>
        <v>#REF!</v>
      </c>
      <c r="O44" s="1" t="e">
        <f t="shared" si="10"/>
        <v>#REF!</v>
      </c>
      <c r="P44" s="1" t="e">
        <f t="shared" si="10"/>
        <v>#REF!</v>
      </c>
      <c r="Q44" s="1" t="e">
        <f t="shared" si="10"/>
        <v>#REF!</v>
      </c>
      <c r="R44" s="1" t="e">
        <f t="shared" si="10"/>
        <v>#REF!</v>
      </c>
      <c r="S44" s="1" t="e">
        <f t="shared" si="10"/>
        <v>#REF!</v>
      </c>
      <c r="T44" s="1" t="e">
        <f t="shared" si="10"/>
        <v>#REF!</v>
      </c>
      <c r="U44" s="1" t="e">
        <f t="shared" si="10"/>
        <v>#REF!</v>
      </c>
      <c r="V44" s="1" t="e">
        <f t="shared" si="10"/>
        <v>#REF!</v>
      </c>
      <c r="W44" s="1" t="e">
        <f t="shared" si="10"/>
        <v>#REF!</v>
      </c>
      <c r="X44" s="1" t="e">
        <f t="shared" si="10"/>
        <v>#REF!</v>
      </c>
      <c r="Y44" s="1" t="e">
        <f t="shared" si="10"/>
        <v>#REF!</v>
      </c>
      <c r="Z44" s="1" t="e">
        <f t="shared" si="10"/>
        <v>#REF!</v>
      </c>
      <c r="AA44" s="1" t="e">
        <f t="shared" si="10"/>
        <v>#REF!</v>
      </c>
      <c r="AB44" s="1" t="e">
        <f t="shared" si="10"/>
        <v>#REF!</v>
      </c>
      <c r="AC44" s="1" t="e">
        <f t="shared" si="10"/>
        <v>#REF!</v>
      </c>
    </row>
    <row r="45" spans="1:30">
      <c r="A45" s="97" t="s">
        <v>260</v>
      </c>
      <c r="B45" s="51">
        <v>10481</v>
      </c>
      <c r="C45" s="51">
        <v>9680</v>
      </c>
      <c r="D45" s="1" t="e">
        <f>$H$61*D44</f>
        <v>#REF!</v>
      </c>
      <c r="E45" s="1" t="e">
        <f>$H$61*E44</f>
        <v>#REF!</v>
      </c>
      <c r="F45" s="1" t="e">
        <f>$H$61*F44</f>
        <v>#REF!</v>
      </c>
      <c r="G45" s="1" t="e">
        <f t="shared" ref="G45:AC45" si="11">$I$61*G44</f>
        <v>#REF!</v>
      </c>
      <c r="H45" s="1" t="e">
        <f t="shared" si="11"/>
        <v>#REF!</v>
      </c>
      <c r="I45" s="1" t="e">
        <f t="shared" si="11"/>
        <v>#REF!</v>
      </c>
      <c r="J45" s="1" t="e">
        <f t="shared" si="11"/>
        <v>#REF!</v>
      </c>
      <c r="K45" s="1" t="e">
        <f t="shared" si="11"/>
        <v>#REF!</v>
      </c>
      <c r="L45" s="1" t="e">
        <f t="shared" si="11"/>
        <v>#REF!</v>
      </c>
      <c r="M45" s="1" t="e">
        <f t="shared" si="11"/>
        <v>#REF!</v>
      </c>
      <c r="N45" s="1" t="e">
        <f t="shared" si="11"/>
        <v>#REF!</v>
      </c>
      <c r="O45" s="1" t="e">
        <f t="shared" si="11"/>
        <v>#REF!</v>
      </c>
      <c r="P45" s="1" t="e">
        <f t="shared" si="11"/>
        <v>#REF!</v>
      </c>
      <c r="Q45" s="1" t="e">
        <f t="shared" si="11"/>
        <v>#REF!</v>
      </c>
      <c r="R45" s="1" t="e">
        <f t="shared" si="11"/>
        <v>#REF!</v>
      </c>
      <c r="S45" s="1" t="e">
        <f t="shared" si="11"/>
        <v>#REF!</v>
      </c>
      <c r="T45" s="1" t="e">
        <f t="shared" si="11"/>
        <v>#REF!</v>
      </c>
      <c r="U45" s="1" t="e">
        <f t="shared" si="11"/>
        <v>#REF!</v>
      </c>
      <c r="V45" s="1" t="e">
        <f t="shared" si="11"/>
        <v>#REF!</v>
      </c>
      <c r="W45" s="1" t="e">
        <f t="shared" si="11"/>
        <v>#REF!</v>
      </c>
      <c r="X45" s="1" t="e">
        <f t="shared" si="11"/>
        <v>#REF!</v>
      </c>
      <c r="Y45" s="1" t="e">
        <f t="shared" si="11"/>
        <v>#REF!</v>
      </c>
      <c r="Z45" s="1" t="e">
        <f t="shared" si="11"/>
        <v>#REF!</v>
      </c>
      <c r="AA45" s="1" t="e">
        <f t="shared" si="11"/>
        <v>#REF!</v>
      </c>
      <c r="AB45" s="1" t="e">
        <f t="shared" si="11"/>
        <v>#REF!</v>
      </c>
      <c r="AC45" s="1" t="e">
        <f t="shared" si="11"/>
        <v>#REF!</v>
      </c>
    </row>
    <row r="46" spans="1:30">
      <c r="A46" s="97" t="s">
        <v>38</v>
      </c>
      <c r="B46" s="51">
        <f t="shared" ref="B46:AC46" si="12">B44-B45</f>
        <v>58073</v>
      </c>
      <c r="C46" s="51">
        <f t="shared" si="12"/>
        <v>61045</v>
      </c>
      <c r="D46" s="113" t="e">
        <f>D44-D45</f>
        <v>#REF!</v>
      </c>
      <c r="E46" s="113" t="e">
        <f t="shared" si="12"/>
        <v>#REF!</v>
      </c>
      <c r="F46" s="113" t="e">
        <f t="shared" si="12"/>
        <v>#REF!</v>
      </c>
      <c r="G46" s="113" t="e">
        <f t="shared" si="12"/>
        <v>#REF!</v>
      </c>
      <c r="H46" s="113" t="e">
        <f t="shared" si="12"/>
        <v>#REF!</v>
      </c>
      <c r="I46" s="113" t="e">
        <f t="shared" si="12"/>
        <v>#REF!</v>
      </c>
      <c r="J46" s="113" t="e">
        <f t="shared" si="12"/>
        <v>#REF!</v>
      </c>
      <c r="K46" s="113" t="e">
        <f t="shared" si="12"/>
        <v>#REF!</v>
      </c>
      <c r="L46" s="113" t="e">
        <f t="shared" si="12"/>
        <v>#REF!</v>
      </c>
      <c r="M46" s="113" t="e">
        <f t="shared" si="12"/>
        <v>#REF!</v>
      </c>
      <c r="N46" s="113" t="e">
        <f t="shared" si="12"/>
        <v>#REF!</v>
      </c>
      <c r="O46" s="113" t="e">
        <f t="shared" si="12"/>
        <v>#REF!</v>
      </c>
      <c r="P46" s="113" t="e">
        <f t="shared" si="12"/>
        <v>#REF!</v>
      </c>
      <c r="Q46" s="113" t="e">
        <f t="shared" si="12"/>
        <v>#REF!</v>
      </c>
      <c r="R46" s="113" t="e">
        <f t="shared" si="12"/>
        <v>#REF!</v>
      </c>
      <c r="S46" s="113" t="e">
        <f t="shared" si="12"/>
        <v>#REF!</v>
      </c>
      <c r="T46" s="113" t="e">
        <f t="shared" si="12"/>
        <v>#REF!</v>
      </c>
      <c r="U46" s="113" t="e">
        <f t="shared" si="12"/>
        <v>#REF!</v>
      </c>
      <c r="V46" s="113" t="e">
        <f t="shared" si="12"/>
        <v>#REF!</v>
      </c>
      <c r="W46" s="113" t="e">
        <f t="shared" si="12"/>
        <v>#REF!</v>
      </c>
      <c r="X46" s="113" t="e">
        <f t="shared" si="12"/>
        <v>#REF!</v>
      </c>
      <c r="Y46" s="113" t="e">
        <f t="shared" si="12"/>
        <v>#REF!</v>
      </c>
      <c r="Z46" s="113" t="e">
        <f t="shared" si="12"/>
        <v>#REF!</v>
      </c>
      <c r="AA46" s="113" t="e">
        <f t="shared" si="12"/>
        <v>#REF!</v>
      </c>
      <c r="AB46" s="113" t="e">
        <f t="shared" si="12"/>
        <v>#REF!</v>
      </c>
      <c r="AC46" s="113" t="e">
        <f t="shared" si="12"/>
        <v>#REF!</v>
      </c>
    </row>
    <row r="47" spans="1:30">
      <c r="A47" s="97" t="s">
        <v>261</v>
      </c>
      <c r="B47" s="51" t="e">
        <f>#REF!</f>
        <v>#REF!</v>
      </c>
      <c r="C47" s="51" t="e">
        <f>#REF!</f>
        <v>#REF!</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4" customFormat="1">
      <c r="A48" s="26" t="s">
        <v>262</v>
      </c>
      <c r="B48" s="27">
        <v>108047</v>
      </c>
      <c r="C48" s="27">
        <v>112436</v>
      </c>
      <c r="D48" s="27">
        <f>C48*0.99</f>
        <v>111311.64</v>
      </c>
      <c r="E48" s="27">
        <f>D48</f>
        <v>111311.64</v>
      </c>
      <c r="F48" s="27">
        <f t="shared" ref="F48:AC48" si="14">E48</f>
        <v>111311.64</v>
      </c>
      <c r="G48" s="27">
        <f t="shared" si="14"/>
        <v>111311.64</v>
      </c>
      <c r="H48" s="27">
        <f t="shared" si="14"/>
        <v>111311.64</v>
      </c>
      <c r="I48" s="27">
        <f t="shared" si="14"/>
        <v>111311.64</v>
      </c>
      <c r="J48" s="27">
        <f t="shared" si="14"/>
        <v>111311.64</v>
      </c>
      <c r="K48" s="27">
        <f t="shared" si="14"/>
        <v>111311.64</v>
      </c>
      <c r="L48" s="27">
        <f t="shared" si="14"/>
        <v>111311.64</v>
      </c>
      <c r="M48" s="27">
        <f t="shared" si="14"/>
        <v>111311.64</v>
      </c>
      <c r="N48" s="27">
        <f t="shared" si="14"/>
        <v>111311.64</v>
      </c>
      <c r="O48" s="27">
        <f t="shared" si="14"/>
        <v>111311.64</v>
      </c>
      <c r="P48" s="27">
        <f t="shared" si="14"/>
        <v>111311.64</v>
      </c>
      <c r="Q48" s="27">
        <f t="shared" si="14"/>
        <v>111311.64</v>
      </c>
      <c r="R48" s="27">
        <f t="shared" si="14"/>
        <v>111311.64</v>
      </c>
      <c r="S48" s="27">
        <f t="shared" si="14"/>
        <v>111311.64</v>
      </c>
      <c r="T48" s="27">
        <f t="shared" si="14"/>
        <v>111311.64</v>
      </c>
      <c r="U48" s="27">
        <f t="shared" si="14"/>
        <v>111311.64</v>
      </c>
      <c r="V48" s="27">
        <f t="shared" si="14"/>
        <v>111311.64</v>
      </c>
      <c r="W48" s="27">
        <f t="shared" si="14"/>
        <v>111311.64</v>
      </c>
      <c r="X48" s="27">
        <f t="shared" si="14"/>
        <v>111311.64</v>
      </c>
      <c r="Y48" s="27">
        <f t="shared" si="14"/>
        <v>111311.64</v>
      </c>
      <c r="Z48" s="27">
        <f t="shared" si="14"/>
        <v>111311.64</v>
      </c>
      <c r="AA48" s="27">
        <f t="shared" si="14"/>
        <v>111311.64</v>
      </c>
      <c r="AB48" s="27">
        <f t="shared" si="14"/>
        <v>111311.64</v>
      </c>
      <c r="AC48" s="27">
        <f t="shared" si="14"/>
        <v>111311.64</v>
      </c>
    </row>
    <row r="49" spans="1:29" s="14" customFormat="1">
      <c r="A49" s="97" t="s">
        <v>148</v>
      </c>
      <c r="B49" s="280" t="e">
        <f>B48/B41</f>
        <v>#REF!</v>
      </c>
      <c r="C49" s="280" t="e">
        <f t="shared" ref="C49:E49" si="15">C48/C41</f>
        <v>#REF!</v>
      </c>
      <c r="D49" s="281" t="e">
        <f t="shared" si="15"/>
        <v>#REF!</v>
      </c>
      <c r="E49" s="281" t="e">
        <f t="shared" si="15"/>
        <v>#REF!</v>
      </c>
      <c r="F49" s="2"/>
      <c r="G49" s="2"/>
      <c r="H49" s="2"/>
      <c r="I49" s="2"/>
      <c r="J49" s="2"/>
      <c r="K49" s="2"/>
      <c r="L49" s="2"/>
      <c r="M49" s="2"/>
      <c r="N49" s="2"/>
      <c r="O49" s="2"/>
      <c r="P49" s="2"/>
      <c r="Q49" s="2"/>
      <c r="R49" s="2"/>
      <c r="S49" s="2"/>
      <c r="T49" s="2"/>
      <c r="U49" s="2"/>
      <c r="V49" s="2"/>
      <c r="W49" s="2"/>
      <c r="X49" s="2"/>
      <c r="Y49" s="2"/>
      <c r="Z49" s="2"/>
      <c r="AA49" s="2"/>
      <c r="AB49" s="2"/>
      <c r="AC49" s="2"/>
    </row>
    <row r="50" spans="1:29">
      <c r="A50" s="97" t="s">
        <v>77</v>
      </c>
      <c r="B50" s="282" t="e">
        <f>#REF!</f>
        <v>#REF!</v>
      </c>
      <c r="C50" s="282" t="e">
        <f>#REF!</f>
        <v>#REF!</v>
      </c>
      <c r="D50" s="1" t="e">
        <f t="shared" ref="D50:AC50" si="16">D41-D42-D43-D45-D47+D48-C48</f>
        <v>#REF!</v>
      </c>
      <c r="E50" s="1" t="e">
        <f t="shared" si="16"/>
        <v>#REF!</v>
      </c>
      <c r="F50" s="1" t="e">
        <f t="shared" si="16"/>
        <v>#REF!</v>
      </c>
      <c r="G50" s="1" t="e">
        <f t="shared" si="16"/>
        <v>#REF!</v>
      </c>
      <c r="H50" s="1" t="e">
        <f t="shared" si="16"/>
        <v>#REF!</v>
      </c>
      <c r="I50" s="1" t="e">
        <f t="shared" si="16"/>
        <v>#REF!</v>
      </c>
      <c r="J50" s="1" t="e">
        <f t="shared" si="16"/>
        <v>#REF!</v>
      </c>
      <c r="K50" s="1" t="e">
        <f t="shared" si="16"/>
        <v>#REF!</v>
      </c>
      <c r="L50" s="1" t="e">
        <f t="shared" si="16"/>
        <v>#REF!</v>
      </c>
      <c r="M50" s="1" t="e">
        <f t="shared" si="16"/>
        <v>#REF!</v>
      </c>
      <c r="N50" s="1" t="e">
        <f t="shared" si="16"/>
        <v>#REF!</v>
      </c>
      <c r="O50" s="1" t="e">
        <f t="shared" si="16"/>
        <v>#REF!</v>
      </c>
      <c r="P50" s="1" t="e">
        <f t="shared" si="16"/>
        <v>#REF!</v>
      </c>
      <c r="Q50" s="1" t="e">
        <f t="shared" si="16"/>
        <v>#REF!</v>
      </c>
      <c r="R50" s="1" t="e">
        <f t="shared" si="16"/>
        <v>#REF!</v>
      </c>
      <c r="S50" s="1" t="e">
        <f t="shared" si="16"/>
        <v>#REF!</v>
      </c>
      <c r="T50" s="1" t="e">
        <f t="shared" si="16"/>
        <v>#REF!</v>
      </c>
      <c r="U50" s="1" t="e">
        <f t="shared" si="16"/>
        <v>#REF!</v>
      </c>
      <c r="V50" s="1" t="e">
        <f t="shared" si="16"/>
        <v>#REF!</v>
      </c>
      <c r="W50" s="1" t="e">
        <f t="shared" si="16"/>
        <v>#REF!</v>
      </c>
      <c r="X50" s="1" t="e">
        <f t="shared" si="16"/>
        <v>#REF!</v>
      </c>
      <c r="Y50" s="1" t="e">
        <f t="shared" si="16"/>
        <v>#REF!</v>
      </c>
      <c r="Z50" s="1" t="e">
        <f t="shared" si="16"/>
        <v>#REF!</v>
      </c>
      <c r="AA50" s="1" t="e">
        <f t="shared" si="16"/>
        <v>#REF!</v>
      </c>
      <c r="AB50" s="1" t="e">
        <f t="shared" si="16"/>
        <v>#REF!</v>
      </c>
      <c r="AC50" s="1" t="e">
        <f t="shared" si="16"/>
        <v>#REF!</v>
      </c>
    </row>
    <row r="51" spans="1:29">
      <c r="A51" s="97" t="s">
        <v>263</v>
      </c>
      <c r="B51" s="282">
        <v>0</v>
      </c>
      <c r="C51" s="282">
        <v>0</v>
      </c>
      <c r="D51" s="1" t="e">
        <f t="shared" ref="D51:AC51" si="17">C51*(1+$B$59)+D50</f>
        <v>#REF!</v>
      </c>
      <c r="E51" s="1" t="e">
        <f t="shared" si="17"/>
        <v>#REF!</v>
      </c>
      <c r="F51" s="1" t="e">
        <f t="shared" si="17"/>
        <v>#REF!</v>
      </c>
      <c r="G51" s="1" t="e">
        <f t="shared" si="17"/>
        <v>#REF!</v>
      </c>
      <c r="H51" s="1" t="e">
        <f t="shared" si="17"/>
        <v>#REF!</v>
      </c>
      <c r="I51" s="1" t="e">
        <f t="shared" si="17"/>
        <v>#REF!</v>
      </c>
      <c r="J51" s="1" t="e">
        <f t="shared" si="17"/>
        <v>#REF!</v>
      </c>
      <c r="K51" s="1" t="e">
        <f t="shared" si="17"/>
        <v>#REF!</v>
      </c>
      <c r="L51" s="1" t="e">
        <f t="shared" si="17"/>
        <v>#REF!</v>
      </c>
      <c r="M51" s="1" t="e">
        <f t="shared" si="17"/>
        <v>#REF!</v>
      </c>
      <c r="N51" s="1" t="e">
        <f t="shared" si="17"/>
        <v>#REF!</v>
      </c>
      <c r="O51" s="1" t="e">
        <f t="shared" si="17"/>
        <v>#REF!</v>
      </c>
      <c r="P51" s="1" t="e">
        <f t="shared" si="17"/>
        <v>#REF!</v>
      </c>
      <c r="Q51" s="1" t="e">
        <f t="shared" si="17"/>
        <v>#REF!</v>
      </c>
      <c r="R51" s="1" t="e">
        <f t="shared" si="17"/>
        <v>#REF!</v>
      </c>
      <c r="S51" s="1" t="e">
        <f t="shared" si="17"/>
        <v>#REF!</v>
      </c>
      <c r="T51" s="1" t="e">
        <f t="shared" si="17"/>
        <v>#REF!</v>
      </c>
      <c r="U51" s="1" t="e">
        <f t="shared" si="17"/>
        <v>#REF!</v>
      </c>
      <c r="V51" s="1" t="e">
        <f t="shared" si="17"/>
        <v>#REF!</v>
      </c>
      <c r="W51" s="1" t="e">
        <f t="shared" si="17"/>
        <v>#REF!</v>
      </c>
      <c r="X51" s="1" t="e">
        <f t="shared" si="17"/>
        <v>#REF!</v>
      </c>
      <c r="Y51" s="1" t="e">
        <f t="shared" si="17"/>
        <v>#REF!</v>
      </c>
      <c r="Z51" s="1" t="e">
        <f t="shared" si="17"/>
        <v>#REF!</v>
      </c>
      <c r="AA51" s="1" t="e">
        <f t="shared" si="17"/>
        <v>#REF!</v>
      </c>
      <c r="AB51" s="1" t="e">
        <f t="shared" si="17"/>
        <v>#REF!</v>
      </c>
      <c r="AC51" s="1" t="e">
        <f t="shared" si="17"/>
        <v>#REF!</v>
      </c>
    </row>
    <row r="52" spans="1:29">
      <c r="A52" s="97"/>
      <c r="B52" s="144"/>
      <c r="C52" s="144"/>
      <c r="K52" s="1"/>
      <c r="L52" s="1"/>
      <c r="M52" s="1"/>
      <c r="N52" s="1"/>
      <c r="O52" s="1"/>
      <c r="P52" s="1"/>
      <c r="Q52" s="1"/>
      <c r="R52" s="1"/>
      <c r="S52" s="1"/>
      <c r="T52" s="1"/>
      <c r="U52" s="1"/>
      <c r="V52" s="1"/>
      <c r="W52" s="1"/>
      <c r="X52" s="1"/>
      <c r="Y52" s="1"/>
      <c r="Z52" s="1"/>
      <c r="AA52" s="1"/>
      <c r="AB52" s="1" t="e">
        <f>AB51-AB48</f>
        <v>#REF!</v>
      </c>
      <c r="AC52" s="1" t="e">
        <f>AC50/(B59-AC36)</f>
        <v>#REF!</v>
      </c>
    </row>
    <row r="53" spans="1:29">
      <c r="A53" s="283" t="s">
        <v>264</v>
      </c>
      <c r="B53" s="284"/>
      <c r="C53" s="56" t="e">
        <f>1000000*C46/#REF!</f>
        <v>#REF!</v>
      </c>
      <c r="D53" s="56" t="e">
        <f>1000000*D46/#REF!</f>
        <v>#REF!</v>
      </c>
      <c r="E53" s="56" t="e">
        <f>1000000*E46/#REF!</f>
        <v>#REF!</v>
      </c>
      <c r="F53" s="56" t="e">
        <f>1000000*F46/#REF!</f>
        <v>#REF!</v>
      </c>
      <c r="G53" s="1"/>
      <c r="H53"/>
      <c r="I53"/>
      <c r="J53"/>
      <c r="K53" s="1"/>
      <c r="L53" s="1"/>
      <c r="M53" s="1"/>
      <c r="N53" s="1"/>
      <c r="O53" s="1"/>
      <c r="P53" s="1"/>
      <c r="Q53" s="1"/>
      <c r="R53" s="1"/>
      <c r="S53" s="1"/>
      <c r="T53" s="1"/>
      <c r="U53" s="1"/>
      <c r="V53" s="1"/>
      <c r="W53" s="1"/>
      <c r="X53" s="1"/>
      <c r="Y53" s="1"/>
      <c r="Z53" s="1"/>
      <c r="AA53" s="1"/>
      <c r="AB53" s="1"/>
      <c r="AC53" s="1"/>
    </row>
    <row r="54" spans="1:29">
      <c r="A54" s="97" t="s">
        <v>265</v>
      </c>
      <c r="B54" s="1"/>
      <c r="C54" s="64">
        <v>3.3</v>
      </c>
      <c r="D54" s="64">
        <v>5.6</v>
      </c>
      <c r="E54" s="64">
        <v>5.6</v>
      </c>
      <c r="F54" s="52"/>
      <c r="G54" s="1"/>
      <c r="H54"/>
      <c r="I54"/>
      <c r="J54"/>
      <c r="K54" s="1"/>
      <c r="L54" s="1"/>
      <c r="M54" s="1"/>
      <c r="N54" s="1"/>
      <c r="O54" s="1"/>
      <c r="P54" s="1"/>
      <c r="Q54" s="1"/>
      <c r="R54" s="1"/>
      <c r="S54" s="1"/>
      <c r="T54" s="1"/>
      <c r="U54" s="1"/>
      <c r="V54" s="1"/>
      <c r="W54" s="1"/>
      <c r="X54" s="1"/>
      <c r="Y54" s="1"/>
      <c r="Z54" s="1"/>
      <c r="AA54" s="1"/>
      <c r="AB54" s="1"/>
      <c r="AC54" s="1"/>
    </row>
    <row r="55" spans="1:29">
      <c r="A55" s="285" t="s">
        <v>266</v>
      </c>
      <c r="B55" s="113"/>
      <c r="C55" s="113"/>
      <c r="D55" s="40" t="e">
        <f>$B$61/D46</f>
        <v>#REF!</v>
      </c>
      <c r="E55" s="40" t="e">
        <f>$B$61/E46</f>
        <v>#REF!</v>
      </c>
      <c r="F55" s="52" t="e">
        <f>$B$61/F46</f>
        <v>#REF!</v>
      </c>
      <c r="G55" s="1"/>
      <c r="H55"/>
      <c r="I55"/>
      <c r="J55"/>
      <c r="K55" s="1"/>
      <c r="L55" s="1"/>
      <c r="M55" s="1"/>
      <c r="N55" s="1"/>
      <c r="O55" s="1"/>
      <c r="P55" s="1"/>
      <c r="Q55" s="1"/>
      <c r="R55" s="1"/>
      <c r="S55" s="1"/>
      <c r="T55" s="1"/>
      <c r="U55" s="1"/>
      <c r="V55" s="1"/>
      <c r="W55" s="1"/>
      <c r="X55" s="1"/>
      <c r="Y55" s="1"/>
      <c r="Z55" s="1"/>
      <c r="AA55" s="1"/>
      <c r="AB55" s="1"/>
      <c r="AC55" s="1"/>
    </row>
    <row r="56" spans="1:29">
      <c r="A56" s="286" t="s">
        <v>267</v>
      </c>
      <c r="B56" s="53"/>
      <c r="C56" s="53"/>
      <c r="D56" s="54" t="e">
        <f>($B$61+D48-D51)/D41</f>
        <v>#REF!</v>
      </c>
      <c r="E56" s="54" t="e">
        <f>($B$61+E48-E51)/E41</f>
        <v>#REF!</v>
      </c>
      <c r="F56" s="55" t="e">
        <f>($B$61+F48-F51)/F41</f>
        <v>#REF!</v>
      </c>
      <c r="G56" s="1"/>
      <c r="H56"/>
      <c r="I56"/>
      <c r="J56"/>
      <c r="K56" s="1"/>
      <c r="L56" s="6"/>
      <c r="M56" s="1"/>
      <c r="N56" s="1"/>
      <c r="O56" s="1"/>
      <c r="P56" s="1"/>
      <c r="Q56" s="1"/>
      <c r="R56" s="1"/>
      <c r="S56" s="1"/>
      <c r="T56" s="1"/>
      <c r="U56" s="1"/>
      <c r="V56" s="1"/>
      <c r="W56" s="1"/>
      <c r="X56" s="1"/>
      <c r="Y56" s="1"/>
      <c r="Z56" s="1"/>
      <c r="AA56" s="1"/>
      <c r="AB56"/>
      <c r="AC56"/>
    </row>
    <row r="57" spans="1:29">
      <c r="A57" s="97"/>
      <c r="B57" s="1"/>
      <c r="C57" s="1"/>
      <c r="D57" s="40"/>
      <c r="E57" s="40"/>
      <c r="F57" s="40"/>
      <c r="G57" s="1"/>
      <c r="H57" s="1"/>
      <c r="I57" s="1"/>
      <c r="J57" s="1"/>
      <c r="K57" s="1"/>
      <c r="L57" s="1"/>
      <c r="M57" s="1"/>
      <c r="N57" s="1"/>
      <c r="O57" s="1"/>
      <c r="P57" s="1"/>
      <c r="Q57" s="1"/>
      <c r="R57" s="1"/>
      <c r="S57" s="1"/>
      <c r="T57" s="1"/>
      <c r="U57" s="1"/>
      <c r="V57" s="1"/>
      <c r="W57" s="1"/>
      <c r="X57" s="1"/>
      <c r="Y57" s="1"/>
      <c r="Z57" s="1"/>
      <c r="AA57" s="1"/>
      <c r="AB57"/>
      <c r="AC57"/>
    </row>
    <row r="58" spans="1:29">
      <c r="A58" s="7"/>
      <c r="B58" s="113"/>
      <c r="C58" s="30" t="s">
        <v>268</v>
      </c>
      <c r="D58" s="30" t="s">
        <v>269</v>
      </c>
      <c r="E58" s="30" t="s">
        <v>270</v>
      </c>
      <c r="F58"/>
      <c r="G58"/>
      <c r="H58" s="30" t="s">
        <v>271</v>
      </c>
      <c r="I58" s="30" t="s">
        <v>272</v>
      </c>
      <c r="J58" s="1"/>
      <c r="K58" s="1"/>
      <c r="L58" s="1"/>
      <c r="M58" s="1"/>
      <c r="N58" s="1"/>
      <c r="O58" s="1"/>
      <c r="P58" s="1"/>
      <c r="Q58" s="1"/>
      <c r="R58" s="1"/>
      <c r="S58" s="1"/>
      <c r="T58" s="1"/>
      <c r="U58" s="1"/>
      <c r="V58" s="1"/>
      <c r="W58" s="1"/>
      <c r="X58" s="1"/>
      <c r="Y58" s="1"/>
      <c r="Z58" s="1"/>
      <c r="AA58" s="1"/>
      <c r="AB58" s="1"/>
      <c r="AC58" s="1"/>
    </row>
    <row r="59" spans="1:29">
      <c r="A59" s="31" t="s">
        <v>273</v>
      </c>
      <c r="B59" s="28">
        <f>SUM(C59:E59)</f>
        <v>8.3000000000000004E-2</v>
      </c>
      <c r="C59" s="29">
        <v>3.0700000000000002E-2</v>
      </c>
      <c r="D59" s="29">
        <v>5.2299999999999999E-2</v>
      </c>
      <c r="E59" s="28">
        <v>0</v>
      </c>
      <c r="F59"/>
      <c r="G59" s="71" t="s">
        <v>274</v>
      </c>
      <c r="H59" s="5">
        <v>1</v>
      </c>
      <c r="I59" s="5">
        <v>1</v>
      </c>
      <c r="J59" s="1"/>
    </row>
    <row r="60" spans="1:29">
      <c r="A60" s="31"/>
      <c r="C60" s="29"/>
      <c r="D60" s="29"/>
      <c r="E60" s="84"/>
      <c r="F60"/>
      <c r="G60" t="s">
        <v>275</v>
      </c>
      <c r="H60" s="612">
        <v>-0.01</v>
      </c>
      <c r="I60" s="612"/>
    </row>
    <row r="61" spans="1:29">
      <c r="A61" s="287" t="s">
        <v>276</v>
      </c>
      <c r="B61" s="4" t="e">
        <f>C62+C63</f>
        <v>#REF!</v>
      </c>
      <c r="C61" s="177" t="s">
        <v>251</v>
      </c>
      <c r="D61" s="170">
        <f>D31</f>
        <v>1E-3</v>
      </c>
      <c r="E61" s="171">
        <f>D32</f>
        <v>5.0000000000000001E-3</v>
      </c>
      <c r="F61"/>
      <c r="G61" t="s">
        <v>277</v>
      </c>
      <c r="H61" s="3">
        <v>0.21</v>
      </c>
      <c r="I61" s="3">
        <v>0.23</v>
      </c>
      <c r="AA61" s="3"/>
      <c r="AB61" s="3"/>
      <c r="AC61" s="3"/>
    </row>
    <row r="62" spans="1:29">
      <c r="A62" s="287" t="s">
        <v>278</v>
      </c>
      <c r="B62" s="3" t="e">
        <f>C62/B61</f>
        <v>#REF!</v>
      </c>
      <c r="C62" s="168" t="e">
        <f>AB52/(1+B59)^25</f>
        <v>#REF!</v>
      </c>
      <c r="D62" s="172" t="e">
        <f>SUMPRODUCT(E50:AB50,E31:AB31)</f>
        <v>#REF!</v>
      </c>
      <c r="E62" s="173" t="e">
        <f>SUMPRODUCT(E50:AB50,E32:AB32)</f>
        <v>#REF!</v>
      </c>
      <c r="F62"/>
      <c r="G62" s="279" t="s">
        <v>279</v>
      </c>
      <c r="H62" s="613">
        <v>1.2</v>
      </c>
      <c r="I62" s="613"/>
    </row>
    <row r="63" spans="1:29">
      <c r="A63" s="287" t="s">
        <v>280</v>
      </c>
      <c r="B63" s="3" t="e">
        <f>1-B62</f>
        <v>#REF!</v>
      </c>
      <c r="C63" s="168" t="e">
        <f>AC52/(1+B59)^25</f>
        <v>#REF!</v>
      </c>
      <c r="D63" s="174" t="e">
        <f>(AC50/($B$59+D31-$AC$36))*AC31</f>
        <v>#REF!</v>
      </c>
      <c r="E63" s="175" t="e">
        <f>(AC50/($B$59+D32-$AC$36))*AC32</f>
        <v>#REF!</v>
      </c>
      <c r="F63"/>
      <c r="G63" t="s">
        <v>281</v>
      </c>
      <c r="H63" s="610" t="e">
        <f>SUM(40:40)</f>
        <v>#REF!</v>
      </c>
      <c r="I63" s="610"/>
    </row>
    <row r="64" spans="1:29">
      <c r="A64" s="31" t="s">
        <v>282</v>
      </c>
      <c r="B64" s="32" t="e">
        <f>1000000*B61/#REF!</f>
        <v>#REF!</v>
      </c>
      <c r="C64" s="4"/>
      <c r="D64" s="32" t="e">
        <f>1000000*SUM(D62:D63)/#REF!</f>
        <v>#REF!</v>
      </c>
      <c r="E64" s="176" t="e">
        <f>1000000*SUM(E62:E63)/#REF!</f>
        <v>#REF!</v>
      </c>
      <c r="F64"/>
      <c r="G64" t="s">
        <v>283</v>
      </c>
      <c r="H64" s="610" t="e">
        <f>SUM(47:47)</f>
        <v>#REF!</v>
      </c>
      <c r="I64" s="610"/>
    </row>
    <row r="65" spans="1:29">
      <c r="B65" s="33" t="e">
        <f>B64/#REF!-1</f>
        <v>#REF!</v>
      </c>
      <c r="C65" s="2"/>
      <c r="D65" s="10" t="e">
        <f>D64/B64-1</f>
        <v>#REF!</v>
      </c>
      <c r="E65" s="83" t="e">
        <f>E64/B64-1</f>
        <v>#REF!</v>
      </c>
      <c r="F65"/>
      <c r="G65" s="71" t="s">
        <v>284</v>
      </c>
      <c r="H65" s="610" t="e">
        <f>SUM(47:47)+(#REF!*#REF!)</f>
        <v>#REF!</v>
      </c>
      <c r="I65" s="610"/>
    </row>
    <row r="66" spans="1:29">
      <c r="B66" s="4"/>
      <c r="C66" s="4"/>
      <c r="G66" s="2"/>
      <c r="I66" s="6"/>
    </row>
    <row r="67" spans="1:29">
      <c r="A67" t="s">
        <v>285</v>
      </c>
      <c r="B67" s="178" t="e">
        <f>B62*D68+B63*D69</f>
        <v>#REF!</v>
      </c>
      <c r="C67" s="71"/>
      <c r="E67" s="179">
        <v>1</v>
      </c>
      <c r="F67" s="179">
        <v>2</v>
      </c>
      <c r="G67" s="179">
        <v>3</v>
      </c>
      <c r="H67" s="4">
        <v>4</v>
      </c>
      <c r="I67" s="179">
        <v>5</v>
      </c>
      <c r="J67" s="179">
        <v>6</v>
      </c>
      <c r="K67" s="179">
        <v>7</v>
      </c>
      <c r="L67" s="4">
        <v>8</v>
      </c>
      <c r="M67" s="179">
        <v>9</v>
      </c>
      <c r="N67" s="179">
        <v>10</v>
      </c>
      <c r="O67" s="179">
        <v>11</v>
      </c>
      <c r="P67" s="4">
        <v>12</v>
      </c>
      <c r="Q67" s="179">
        <v>13</v>
      </c>
      <c r="R67" s="179">
        <v>14</v>
      </c>
      <c r="S67" s="179">
        <v>15</v>
      </c>
      <c r="T67" s="4">
        <v>16</v>
      </c>
      <c r="U67" s="179">
        <v>17</v>
      </c>
      <c r="V67" s="179">
        <v>18</v>
      </c>
      <c r="W67" s="179">
        <v>19</v>
      </c>
      <c r="X67" s="4">
        <v>20</v>
      </c>
      <c r="Y67" s="179">
        <v>21</v>
      </c>
      <c r="Z67" s="179">
        <v>22</v>
      </c>
      <c r="AA67" s="179">
        <v>23</v>
      </c>
      <c r="AB67" s="4">
        <v>24</v>
      </c>
      <c r="AC67" s="179">
        <v>25</v>
      </c>
    </row>
    <row r="68" spans="1:29">
      <c r="A68" s="167">
        <v>1E-3</v>
      </c>
      <c r="B68" s="180" t="e">
        <f>-$B$67*A68</f>
        <v>#REF!</v>
      </c>
      <c r="C68" s="71"/>
      <c r="D68" s="168" t="e">
        <f>SUM(E68:AB68)/SUMPRODUCT(E50:AB50,E33:AB33)</f>
        <v>#REF!</v>
      </c>
      <c r="E68" s="181" t="e">
        <f>E67*E50*E33</f>
        <v>#REF!</v>
      </c>
      <c r="F68" s="181" t="e">
        <f t="shared" ref="F68:AC68" si="18">F67*F50*F33</f>
        <v>#REF!</v>
      </c>
      <c r="G68" s="181" t="e">
        <f t="shared" si="18"/>
        <v>#REF!</v>
      </c>
      <c r="H68" s="181" t="e">
        <f t="shared" si="18"/>
        <v>#REF!</v>
      </c>
      <c r="I68" s="181" t="e">
        <f t="shared" si="18"/>
        <v>#REF!</v>
      </c>
      <c r="J68" s="181" t="e">
        <f t="shared" si="18"/>
        <v>#REF!</v>
      </c>
      <c r="K68" s="181" t="e">
        <f t="shared" si="18"/>
        <v>#REF!</v>
      </c>
      <c r="L68" s="181" t="e">
        <f t="shared" si="18"/>
        <v>#REF!</v>
      </c>
      <c r="M68" s="181" t="e">
        <f t="shared" si="18"/>
        <v>#REF!</v>
      </c>
      <c r="N68" s="181" t="e">
        <f t="shared" si="18"/>
        <v>#REF!</v>
      </c>
      <c r="O68" s="181" t="e">
        <f t="shared" si="18"/>
        <v>#REF!</v>
      </c>
      <c r="P68" s="181" t="e">
        <f t="shared" si="18"/>
        <v>#REF!</v>
      </c>
      <c r="Q68" s="181" t="e">
        <f t="shared" si="18"/>
        <v>#REF!</v>
      </c>
      <c r="R68" s="181" t="e">
        <f t="shared" si="18"/>
        <v>#REF!</v>
      </c>
      <c r="S68" s="181" t="e">
        <f t="shared" si="18"/>
        <v>#REF!</v>
      </c>
      <c r="T68" s="181" t="e">
        <f t="shared" si="18"/>
        <v>#REF!</v>
      </c>
      <c r="U68" s="181" t="e">
        <f t="shared" si="18"/>
        <v>#REF!</v>
      </c>
      <c r="V68" s="181" t="e">
        <f t="shared" si="18"/>
        <v>#REF!</v>
      </c>
      <c r="W68" s="181" t="e">
        <f t="shared" si="18"/>
        <v>#REF!</v>
      </c>
      <c r="X68" s="181" t="e">
        <f t="shared" si="18"/>
        <v>#REF!</v>
      </c>
      <c r="Y68" s="181" t="e">
        <f t="shared" si="18"/>
        <v>#REF!</v>
      </c>
      <c r="Z68" s="181" t="e">
        <f t="shared" si="18"/>
        <v>#REF!</v>
      </c>
      <c r="AA68" s="181" t="e">
        <f t="shared" si="18"/>
        <v>#REF!</v>
      </c>
      <c r="AB68" s="181" t="e">
        <f t="shared" si="18"/>
        <v>#REF!</v>
      </c>
      <c r="AC68" s="181" t="e">
        <f t="shared" si="18"/>
        <v>#REF!</v>
      </c>
    </row>
    <row r="69" spans="1:29" ht="15">
      <c r="A69" s="167">
        <v>5.0000000000000001E-3</v>
      </c>
      <c r="B69" s="180" t="e">
        <f>-$B$67*A69</f>
        <v>#REF!</v>
      </c>
      <c r="C69" s="71"/>
      <c r="D69" s="182">
        <f>(1+B59)/B59+AC67</f>
        <v>38.048192771084338</v>
      </c>
      <c r="E69" s="3"/>
      <c r="F69" s="33"/>
      <c r="H69" s="6"/>
    </row>
    <row r="70" spans="1:29">
      <c r="D70" s="92"/>
      <c r="E70" s="10"/>
      <c r="F70" s="9"/>
      <c r="H70" s="6"/>
    </row>
    <row r="71" spans="1:29">
      <c r="C71" s="71"/>
      <c r="D71" s="93"/>
      <c r="E71" s="93"/>
      <c r="F71" s="93"/>
    </row>
    <row r="72" spans="1:29">
      <c r="C72" s="71"/>
      <c r="D72" s="33"/>
      <c r="E72" s="3"/>
      <c r="F72" s="3"/>
    </row>
    <row r="73" spans="1:29">
      <c r="C73" s="71"/>
      <c r="D73" s="3"/>
      <c r="E73" s="33"/>
      <c r="F73" s="3"/>
    </row>
    <row r="74" spans="1:29">
      <c r="C74" s="71"/>
      <c r="D74" s="3"/>
      <c r="E74" s="3"/>
      <c r="F74" s="3"/>
      <c r="J74" s="9"/>
    </row>
    <row r="75" spans="1:29">
      <c r="C75" s="71"/>
      <c r="D75" s="3"/>
      <c r="E75" s="3"/>
      <c r="F75" s="3"/>
    </row>
    <row r="76" spans="1:29">
      <c r="C76" s="71"/>
      <c r="D76" s="3"/>
      <c r="E76" s="3"/>
      <c r="F76" s="3"/>
    </row>
    <row r="77" spans="1:29">
      <c r="C77" s="71"/>
      <c r="D77" s="3"/>
      <c r="E77" s="3"/>
      <c r="F77" s="3"/>
    </row>
    <row r="78" spans="1:29">
      <c r="C78" s="71"/>
      <c r="D78" s="3"/>
      <c r="E78" s="3"/>
      <c r="F78" s="33"/>
    </row>
    <row r="79" spans="1:29">
      <c r="F79" s="8"/>
    </row>
    <row r="81" spans="4:9">
      <c r="G81" s="10"/>
    </row>
    <row r="82" spans="4:9">
      <c r="D82" s="3"/>
      <c r="E82" s="3"/>
      <c r="F82" s="3"/>
      <c r="G82" s="9"/>
    </row>
    <row r="83" spans="4:9">
      <c r="D83" s="3"/>
      <c r="E83" s="3"/>
      <c r="F83" s="3"/>
      <c r="G83" s="9"/>
    </row>
    <row r="84" spans="4:9">
      <c r="D84" s="3"/>
      <c r="E84" s="3"/>
      <c r="F84" s="3"/>
      <c r="H84" s="9"/>
    </row>
    <row r="85" spans="4:9">
      <c r="I85" s="10"/>
    </row>
    <row r="86" spans="4:9">
      <c r="D86" s="3"/>
      <c r="E86" s="3"/>
      <c r="F86" s="3"/>
    </row>
    <row r="87" spans="4:9">
      <c r="D87" s="3"/>
      <c r="E87" s="3"/>
      <c r="F87" s="3"/>
    </row>
    <row r="88" spans="4:9">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600-000000000000}"/>
  </hyperlinks>
  <pageMargins left="0.75" right="0.75" top="1" bottom="1" header="0" footer="0"/>
  <pageSetup orientation="portrait" r:id="rId2"/>
  <headerFooter alignWithMargins="0"/>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AG99"/>
  <sheetViews>
    <sheetView zoomScale="85" zoomScaleNormal="85" workbookViewId="0">
      <pane ySplit="8760" activePane="bottomLeft"/>
      <selection pane="bottomLeft" activeCell="AE6" sqref="AE6"/>
      <selection activeCell="D67" sqref="D67"/>
    </sheetView>
  </sheetViews>
  <sheetFormatPr defaultColWidth="11.28515625" defaultRowHeight="15"/>
  <cols>
    <col min="1" max="1" width="14.28515625" style="189" customWidth="1"/>
    <col min="2" max="2" width="6.7109375" style="189" customWidth="1"/>
    <col min="3" max="3" width="46.28515625" style="189" customWidth="1"/>
    <col min="4" max="4" width="12.28515625" style="189" customWidth="1"/>
    <col min="5" max="5" width="13.5703125" style="189" customWidth="1"/>
    <col min="6" max="6" width="17.7109375" style="190" customWidth="1"/>
    <col min="7" max="7" width="14" style="190" customWidth="1"/>
    <col min="8" max="8" width="9.28515625" style="190" customWidth="1"/>
    <col min="9" max="9" width="11.140625" style="190" customWidth="1"/>
    <col min="10" max="10" width="9.28515625" style="190" customWidth="1"/>
    <col min="11" max="11" width="9" style="190" customWidth="1"/>
    <col min="12" max="13" width="10.140625" style="190" bestFit="1" customWidth="1"/>
    <col min="14" max="20" width="10.7109375" style="190" customWidth="1"/>
    <col min="21" max="24" width="10.140625" style="190" bestFit="1" customWidth="1"/>
    <col min="25" max="25" width="11.140625" style="190" bestFit="1" customWidth="1"/>
    <col min="26" max="26" width="12.7109375" style="190" customWidth="1"/>
    <col min="27" max="29" width="11.140625" style="190" bestFit="1" customWidth="1"/>
    <col min="30" max="30" width="11.28515625" style="189"/>
    <col min="31" max="31" width="12.28515625" style="189" bestFit="1" customWidth="1"/>
    <col min="32" max="32" width="11.28515625" style="189"/>
    <col min="33" max="33" width="143.140625" style="189" customWidth="1"/>
    <col min="34" max="16384" width="11.28515625" style="189"/>
  </cols>
  <sheetData>
    <row r="1" spans="1:33" ht="20.25">
      <c r="C1" s="620" t="s">
        <v>286</v>
      </c>
      <c r="D1" s="620"/>
      <c r="E1" s="620"/>
      <c r="F1" s="620"/>
      <c r="G1" s="620"/>
      <c r="H1" s="620"/>
      <c r="I1" s="620"/>
      <c r="J1" s="620"/>
      <c r="K1" s="620"/>
      <c r="L1" s="620"/>
    </row>
    <row r="2" spans="1:33">
      <c r="C2" s="191" t="s">
        <v>287</v>
      </c>
      <c r="D2" s="191"/>
      <c r="E2" s="191"/>
      <c r="F2" s="191"/>
      <c r="G2" s="191"/>
      <c r="H2" s="191" t="s">
        <v>288</v>
      </c>
      <c r="I2" s="191"/>
      <c r="J2" s="191"/>
      <c r="K2" s="191"/>
      <c r="L2" s="191"/>
    </row>
    <row r="3" spans="1:33">
      <c r="D3" s="443">
        <f>D19/D6</f>
        <v>3.5308641975308641E-2</v>
      </c>
      <c r="E3" s="443">
        <f>E19/E6</f>
        <v>2.942474361463647E-2</v>
      </c>
      <c r="F3" s="443">
        <f>F19/F6</f>
        <v>3.0917095137278625E-2</v>
      </c>
      <c r="G3" s="190">
        <v>0</v>
      </c>
      <c r="H3" s="190">
        <v>0.25</v>
      </c>
      <c r="I3" s="190">
        <f>H3+1</f>
        <v>1.25</v>
      </c>
      <c r="J3" s="190">
        <f t="shared" ref="J3:AF3" si="0">I3+1</f>
        <v>2.25</v>
      </c>
      <c r="K3" s="190">
        <f t="shared" si="0"/>
        <v>3.25</v>
      </c>
      <c r="L3" s="190">
        <f t="shared" si="0"/>
        <v>4.25</v>
      </c>
      <c r="M3" s="190">
        <f t="shared" si="0"/>
        <v>5.25</v>
      </c>
      <c r="N3" s="190">
        <f t="shared" si="0"/>
        <v>6.25</v>
      </c>
      <c r="O3" s="190">
        <f t="shared" si="0"/>
        <v>7.25</v>
      </c>
      <c r="P3" s="190">
        <f t="shared" si="0"/>
        <v>8.25</v>
      </c>
      <c r="Q3" s="190">
        <f t="shared" si="0"/>
        <v>9.25</v>
      </c>
      <c r="R3" s="190">
        <f t="shared" si="0"/>
        <v>10.25</v>
      </c>
      <c r="S3" s="190">
        <f t="shared" si="0"/>
        <v>11.25</v>
      </c>
      <c r="T3" s="190">
        <f t="shared" si="0"/>
        <v>12.25</v>
      </c>
      <c r="U3" s="190">
        <f t="shared" si="0"/>
        <v>13.25</v>
      </c>
      <c r="V3" s="190">
        <f t="shared" si="0"/>
        <v>14.25</v>
      </c>
      <c r="W3" s="190">
        <f t="shared" si="0"/>
        <v>15.25</v>
      </c>
      <c r="X3" s="190">
        <f t="shared" si="0"/>
        <v>16.25</v>
      </c>
      <c r="Y3" s="190">
        <f t="shared" si="0"/>
        <v>17.25</v>
      </c>
      <c r="Z3" s="190">
        <f t="shared" si="0"/>
        <v>18.25</v>
      </c>
      <c r="AA3" s="190">
        <f t="shared" si="0"/>
        <v>19.25</v>
      </c>
      <c r="AB3" s="190">
        <f t="shared" si="0"/>
        <v>20.25</v>
      </c>
      <c r="AC3" s="190">
        <f t="shared" si="0"/>
        <v>21.25</v>
      </c>
      <c r="AD3" s="190">
        <f t="shared" si="0"/>
        <v>22.25</v>
      </c>
      <c r="AE3" s="190">
        <f t="shared" si="0"/>
        <v>23.25</v>
      </c>
      <c r="AF3" s="190">
        <f t="shared" si="0"/>
        <v>24.25</v>
      </c>
    </row>
    <row r="4" spans="1:33">
      <c r="A4" s="192" t="s">
        <v>289</v>
      </c>
      <c r="B4" s="192" t="s">
        <v>290</v>
      </c>
      <c r="C4" s="193" t="s">
        <v>291</v>
      </c>
      <c r="D4" s="388">
        <v>2021</v>
      </c>
      <c r="E4" s="388">
        <f>+D4+1</f>
        <v>2022</v>
      </c>
      <c r="F4" s="388">
        <f t="shared" ref="F4" si="1">+E4+1</f>
        <v>2023</v>
      </c>
      <c r="G4" s="388">
        <f>+F4+1</f>
        <v>2024</v>
      </c>
      <c r="H4" s="354">
        <v>2025</v>
      </c>
      <c r="I4" s="354">
        <f t="shared" ref="I4:AF4" si="2">+H4+1</f>
        <v>2026</v>
      </c>
      <c r="J4" s="354">
        <f t="shared" si="2"/>
        <v>2027</v>
      </c>
      <c r="K4" s="354">
        <f t="shared" si="2"/>
        <v>2028</v>
      </c>
      <c r="L4" s="354">
        <f t="shared" si="2"/>
        <v>2029</v>
      </c>
      <c r="M4" s="354">
        <f t="shared" si="2"/>
        <v>2030</v>
      </c>
      <c r="N4" s="354">
        <f t="shared" si="2"/>
        <v>2031</v>
      </c>
      <c r="O4" s="354">
        <f t="shared" si="2"/>
        <v>2032</v>
      </c>
      <c r="P4" s="354">
        <f t="shared" si="2"/>
        <v>2033</v>
      </c>
      <c r="Q4" s="354">
        <f t="shared" si="2"/>
        <v>2034</v>
      </c>
      <c r="R4" s="354">
        <f t="shared" si="2"/>
        <v>2035</v>
      </c>
      <c r="S4" s="354">
        <f t="shared" si="2"/>
        <v>2036</v>
      </c>
      <c r="T4" s="354">
        <f t="shared" si="2"/>
        <v>2037</v>
      </c>
      <c r="U4" s="354">
        <f t="shared" si="2"/>
        <v>2038</v>
      </c>
      <c r="V4" s="354">
        <f t="shared" si="2"/>
        <v>2039</v>
      </c>
      <c r="W4" s="354">
        <f t="shared" si="2"/>
        <v>2040</v>
      </c>
      <c r="X4" s="354">
        <f t="shared" si="2"/>
        <v>2041</v>
      </c>
      <c r="Y4" s="354">
        <f t="shared" si="2"/>
        <v>2042</v>
      </c>
      <c r="Z4" s="354">
        <f t="shared" si="2"/>
        <v>2043</v>
      </c>
      <c r="AA4" s="354">
        <f t="shared" si="2"/>
        <v>2044</v>
      </c>
      <c r="AB4" s="354">
        <f t="shared" si="2"/>
        <v>2045</v>
      </c>
      <c r="AC4" s="354">
        <f t="shared" si="2"/>
        <v>2046</v>
      </c>
      <c r="AD4" s="354">
        <f t="shared" si="2"/>
        <v>2047</v>
      </c>
      <c r="AE4" s="354">
        <f t="shared" si="2"/>
        <v>2048</v>
      </c>
      <c r="AF4" s="354">
        <f t="shared" si="2"/>
        <v>2049</v>
      </c>
      <c r="AG4" s="189" t="s">
        <v>292</v>
      </c>
    </row>
    <row r="5" spans="1:33" s="196" customFormat="1" ht="12.75">
      <c r="A5" s="621" t="s">
        <v>293</v>
      </c>
      <c r="B5" s="194">
        <v>1</v>
      </c>
      <c r="C5" s="195" t="s">
        <v>294</v>
      </c>
      <c r="D5" s="383">
        <f>Cifras_en_Millones!F6</f>
        <v>9.1570648878107841E-2</v>
      </c>
      <c r="E5" s="383">
        <f>Cifras_en_Millones!E6</f>
        <v>0.16569958847736621</v>
      </c>
      <c r="F5" s="383">
        <f>Cifras_en_Millones!D6</f>
        <v>5.0500414805923599E-2</v>
      </c>
      <c r="G5" s="384">
        <f>Cifras_en_Millones!C6</f>
        <v>4.4056860570622192E-2</v>
      </c>
      <c r="H5" s="385">
        <f>H6/G6-1</f>
        <v>8.0050212437234425E-2</v>
      </c>
      <c r="I5" s="385">
        <f>I6/H6-1</f>
        <v>7.927283564297416E-2</v>
      </c>
      <c r="J5" s="385">
        <v>5.7000000000000002E-2</v>
      </c>
      <c r="K5" s="385">
        <v>5.7000000000000002E-2</v>
      </c>
      <c r="L5" s="385">
        <v>5.7000000000000002E-2</v>
      </c>
      <c r="M5" s="385">
        <v>5.7000000000000002E-2</v>
      </c>
      <c r="N5" s="385">
        <f>+M5-($M$5-$AF$5)/($AF$4-$M$4)</f>
        <v>5.5315789473684214E-2</v>
      </c>
      <c r="O5" s="385">
        <f t="shared" ref="O5:AE5" si="3">+N5-($M$5-$AF$5)/($AF$4-$M$4)</f>
        <v>5.3631578947368426E-2</v>
      </c>
      <c r="P5" s="385">
        <f t="shared" si="3"/>
        <v>5.1947368421052638E-2</v>
      </c>
      <c r="Q5" s="385">
        <f t="shared" si="3"/>
        <v>5.026315789473685E-2</v>
      </c>
      <c r="R5" s="385">
        <f t="shared" si="3"/>
        <v>4.8578947368421062E-2</v>
      </c>
      <c r="S5" s="385">
        <f t="shared" si="3"/>
        <v>4.6894736842105274E-2</v>
      </c>
      <c r="T5" s="385">
        <f t="shared" si="3"/>
        <v>4.5210526315789486E-2</v>
      </c>
      <c r="U5" s="385">
        <f t="shared" si="3"/>
        <v>4.3526315789473698E-2</v>
      </c>
      <c r="V5" s="385">
        <f t="shared" si="3"/>
        <v>4.184210526315791E-2</v>
      </c>
      <c r="W5" s="385">
        <f t="shared" si="3"/>
        <v>4.0157894736842122E-2</v>
      </c>
      <c r="X5" s="385">
        <f t="shared" si="3"/>
        <v>3.8473684210526334E-2</v>
      </c>
      <c r="Y5" s="385">
        <f t="shared" si="3"/>
        <v>3.6789473684210545E-2</v>
      </c>
      <c r="Z5" s="385">
        <f t="shared" si="3"/>
        <v>3.5105263157894757E-2</v>
      </c>
      <c r="AA5" s="385">
        <f t="shared" si="3"/>
        <v>3.3421052631578969E-2</v>
      </c>
      <c r="AB5" s="385">
        <f t="shared" si="3"/>
        <v>3.1736842105263181E-2</v>
      </c>
      <c r="AC5" s="385">
        <f t="shared" si="3"/>
        <v>3.0052631578947393E-2</v>
      </c>
      <c r="AD5" s="385">
        <f t="shared" si="3"/>
        <v>2.8368421052631605E-2</v>
      </c>
      <c r="AE5" s="385">
        <f t="shared" si="3"/>
        <v>2.6684210526315817E-2</v>
      </c>
      <c r="AF5" s="385">
        <v>2.5000000000000001E-2</v>
      </c>
    </row>
    <row r="6" spans="1:33" s="199" customFormat="1">
      <c r="A6" s="621"/>
      <c r="B6" s="194">
        <v>2</v>
      </c>
      <c r="C6" s="197" t="s">
        <v>295</v>
      </c>
      <c r="D6" s="359">
        <f>Cifras_en_Millones!F5</f>
        <v>4860</v>
      </c>
      <c r="E6" s="359">
        <f>Cifras_en_Millones!E5</f>
        <v>5665.3</v>
      </c>
      <c r="F6" s="359">
        <f>Cifras_en_Millones!D5</f>
        <v>5951.4</v>
      </c>
      <c r="G6" s="360">
        <f>Cifras_en_Millones!C5</f>
        <v>6213.6</v>
      </c>
      <c r="H6" s="361">
        <v>6711</v>
      </c>
      <c r="I6" s="361">
        <v>7243</v>
      </c>
      <c r="J6" s="361">
        <f>+I6*(1+J5)</f>
        <v>7655.8509999999997</v>
      </c>
      <c r="K6" s="361">
        <f t="shared" ref="K6:AF6" si="4">+J6*(1+K5)</f>
        <v>8092.2345069999992</v>
      </c>
      <c r="L6" s="361">
        <f>+K6*(1+L5)</f>
        <v>8553.4918738989982</v>
      </c>
      <c r="M6" s="361">
        <f t="shared" si="4"/>
        <v>9041.0409107112409</v>
      </c>
      <c r="N6" s="361">
        <f>+M6*(1+N5)</f>
        <v>9541.1532263511108</v>
      </c>
      <c r="O6" s="361">
        <f t="shared" si="4"/>
        <v>10052.8603388591</v>
      </c>
      <c r="P6" s="361">
        <f t="shared" si="4"/>
        <v>10575.079978567202</v>
      </c>
      <c r="Q6" s="361">
        <f t="shared" si="4"/>
        <v>11106.616893279395</v>
      </c>
      <c r="R6" s="361">
        <f t="shared" si="4"/>
        <v>11646.164650779232</v>
      </c>
      <c r="S6" s="361">
        <f t="shared" si="4"/>
        <v>12192.308477297354</v>
      </c>
      <c r="T6" s="361">
        <f t="shared" si="4"/>
        <v>12743.529160560431</v>
      </c>
      <c r="U6" s="361">
        <f t="shared" si="4"/>
        <v>13298.208035075349</v>
      </c>
      <c r="V6" s="361">
        <f t="shared" si="4"/>
        <v>13854.633055490345</v>
      </c>
      <c r="W6" s="361">
        <f t="shared" si="4"/>
        <v>14411.0059513503</v>
      </c>
      <c r="X6" s="361">
        <f t="shared" si="4"/>
        <v>14965.450443478569</v>
      </c>
      <c r="Y6" s="361">
        <f t="shared" si="4"/>
        <v>15516.02148874128</v>
      </c>
      <c r="Z6" s="361">
        <f t="shared" si="4"/>
        <v>16060.715506267094</v>
      </c>
      <c r="AA6" s="361">
        <f t="shared" si="4"/>
        <v>16597.481524502862</v>
      </c>
      <c r="AB6" s="361">
        <f t="shared" si="4"/>
        <v>17124.233174991034</v>
      </c>
      <c r="AC6" s="361">
        <f t="shared" si="4"/>
        <v>17638.861445671027</v>
      </c>
      <c r="AD6" s="361">
        <f t="shared" si="4"/>
        <v>18139.248094050854</v>
      </c>
      <c r="AE6" s="361">
        <f>+AD6*(1+AE5)</f>
        <v>18623.279608981582</v>
      </c>
      <c r="AF6" s="361">
        <f t="shared" si="4"/>
        <v>19088.86159920612</v>
      </c>
    </row>
    <row r="7" spans="1:33" s="196" customFormat="1" ht="12.75">
      <c r="A7" s="621"/>
      <c r="B7" s="194">
        <v>3</v>
      </c>
      <c r="C7" s="195" t="s">
        <v>296</v>
      </c>
      <c r="D7" s="386">
        <f>Cifras_en_Millones!F12</f>
        <v>0.20975308641975307</v>
      </c>
      <c r="E7" s="386">
        <f>Cifras_en_Millones!E12</f>
        <v>0.22997899493407234</v>
      </c>
      <c r="F7" s="386">
        <f>Cifras_en_Millones!D12</f>
        <v>0.20867358940753439</v>
      </c>
      <c r="G7" s="387">
        <f>Cifras_en_Millones!C12</f>
        <v>0.2188103514870606</v>
      </c>
      <c r="H7" s="385">
        <v>0.21</v>
      </c>
      <c r="I7" s="385">
        <v>0.215</v>
      </c>
      <c r="J7" s="385">
        <v>0.22</v>
      </c>
      <c r="K7" s="385">
        <v>0.22500000000000001</v>
      </c>
      <c r="L7" s="385">
        <v>0.23</v>
      </c>
      <c r="M7" s="385">
        <f>+L7</f>
        <v>0.23</v>
      </c>
      <c r="N7" s="385">
        <f>+M7</f>
        <v>0.23</v>
      </c>
      <c r="O7" s="385">
        <f t="shared" ref="O7:AF7" si="5">+N7</f>
        <v>0.23</v>
      </c>
      <c r="P7" s="385">
        <f t="shared" si="5"/>
        <v>0.23</v>
      </c>
      <c r="Q7" s="385">
        <f t="shared" si="5"/>
        <v>0.23</v>
      </c>
      <c r="R7" s="385">
        <f t="shared" si="5"/>
        <v>0.23</v>
      </c>
      <c r="S7" s="385">
        <f t="shared" si="5"/>
        <v>0.23</v>
      </c>
      <c r="T7" s="385">
        <f t="shared" si="5"/>
        <v>0.23</v>
      </c>
      <c r="U7" s="385">
        <f t="shared" si="5"/>
        <v>0.23</v>
      </c>
      <c r="V7" s="385">
        <f t="shared" si="5"/>
        <v>0.23</v>
      </c>
      <c r="W7" s="385">
        <f t="shared" si="5"/>
        <v>0.23</v>
      </c>
      <c r="X7" s="385">
        <f t="shared" si="5"/>
        <v>0.23</v>
      </c>
      <c r="Y7" s="385">
        <f t="shared" si="5"/>
        <v>0.23</v>
      </c>
      <c r="Z7" s="385">
        <f t="shared" si="5"/>
        <v>0.23</v>
      </c>
      <c r="AA7" s="385">
        <f t="shared" si="5"/>
        <v>0.23</v>
      </c>
      <c r="AB7" s="385">
        <f t="shared" si="5"/>
        <v>0.23</v>
      </c>
      <c r="AC7" s="385">
        <f t="shared" si="5"/>
        <v>0.23</v>
      </c>
      <c r="AD7" s="385">
        <f t="shared" si="5"/>
        <v>0.23</v>
      </c>
      <c r="AE7" s="385">
        <f t="shared" si="5"/>
        <v>0.23</v>
      </c>
      <c r="AF7" s="385">
        <f t="shared" si="5"/>
        <v>0.23</v>
      </c>
    </row>
    <row r="8" spans="1:33">
      <c r="A8" s="621"/>
      <c r="B8" s="194">
        <v>4</v>
      </c>
      <c r="C8" s="200" t="s">
        <v>24</v>
      </c>
      <c r="D8" s="361">
        <f>D6*D7</f>
        <v>1019.4</v>
      </c>
      <c r="E8" s="361">
        <f>E6*E7</f>
        <v>1302.9000000000001</v>
      </c>
      <c r="F8" s="361">
        <f>F6*F7</f>
        <v>1241.9000000000001</v>
      </c>
      <c r="G8" s="361">
        <f>G7*G6</f>
        <v>1359.6</v>
      </c>
      <c r="H8" s="361">
        <f>+H6*H7</f>
        <v>1409.31</v>
      </c>
      <c r="I8" s="361">
        <f>+I6*I7</f>
        <v>1557.2449999999999</v>
      </c>
      <c r="J8" s="361">
        <f>J7*J6</f>
        <v>1684.2872199999999</v>
      </c>
      <c r="K8" s="361">
        <f t="shared" ref="K8:AF8" si="6">K7*K6</f>
        <v>1820.752764075</v>
      </c>
      <c r="L8" s="361">
        <f t="shared" si="6"/>
        <v>1967.3031309967696</v>
      </c>
      <c r="M8" s="361">
        <f>M7*M6</f>
        <v>2079.4394094635854</v>
      </c>
      <c r="N8" s="361">
        <f t="shared" si="6"/>
        <v>2194.4652420607554</v>
      </c>
      <c r="O8" s="361">
        <f t="shared" si="6"/>
        <v>2312.1578779375932</v>
      </c>
      <c r="P8" s="361">
        <f t="shared" si="6"/>
        <v>2432.2683950704568</v>
      </c>
      <c r="Q8" s="361">
        <f t="shared" si="6"/>
        <v>2554.5218854542609</v>
      </c>
      <c r="R8" s="361">
        <f t="shared" si="6"/>
        <v>2678.6178696792235</v>
      </c>
      <c r="S8" s="361">
        <f t="shared" si="6"/>
        <v>2804.2309497783917</v>
      </c>
      <c r="T8" s="361">
        <f t="shared" si="6"/>
        <v>2931.011706928899</v>
      </c>
      <c r="U8" s="361">
        <f t="shared" si="6"/>
        <v>3058.5878480673305</v>
      </c>
      <c r="V8" s="361">
        <f t="shared" si="6"/>
        <v>3186.5656027627797</v>
      </c>
      <c r="W8" s="361">
        <f t="shared" si="6"/>
        <v>3314.5313688105693</v>
      </c>
      <c r="X8" s="361">
        <f t="shared" si="6"/>
        <v>3442.0536020000709</v>
      </c>
      <c r="Y8" s="361">
        <f t="shared" si="6"/>
        <v>3568.6849424104948</v>
      </c>
      <c r="Z8" s="361">
        <f t="shared" si="6"/>
        <v>3693.9645664414315</v>
      </c>
      <c r="AA8" s="361">
        <f t="shared" si="6"/>
        <v>3817.4207506356584</v>
      </c>
      <c r="AB8" s="361">
        <f t="shared" si="6"/>
        <v>3938.5736302479377</v>
      </c>
      <c r="AC8" s="361">
        <f t="shared" si="6"/>
        <v>4056.9381325043364</v>
      </c>
      <c r="AD8" s="361">
        <f t="shared" si="6"/>
        <v>4172.0270616316966</v>
      </c>
      <c r="AE8" s="361">
        <f>AE7*AE6</f>
        <v>4283.3543100657644</v>
      </c>
      <c r="AF8" s="361">
        <f t="shared" si="6"/>
        <v>4390.4381678174077</v>
      </c>
    </row>
    <row r="9" spans="1:33">
      <c r="A9" s="621"/>
      <c r="B9" s="194" t="s">
        <v>297</v>
      </c>
      <c r="C9" s="202" t="s">
        <v>298</v>
      </c>
      <c r="D9" s="374">
        <f>Cifras_en_Millones!F17</f>
        <v>-574.6</v>
      </c>
      <c r="E9" s="374">
        <f>Cifras_en_Millones!E17</f>
        <v>-596.79999999999995</v>
      </c>
      <c r="F9" s="374">
        <f>Cifras_en_Millones!D17</f>
        <v>-569.5</v>
      </c>
      <c r="G9" s="374">
        <f>Cifras_en_Millones!C17</f>
        <v>-561</v>
      </c>
      <c r="H9" s="375">
        <f>-H95</f>
        <v>-548.25549777429637</v>
      </c>
      <c r="I9" s="375">
        <f>-I95</f>
        <v>-554.39632573365611</v>
      </c>
      <c r="J9" s="375">
        <f t="shared" ref="J9:AF9" si="7">-J95</f>
        <v>-565.17415023245189</v>
      </c>
      <c r="K9" s="375">
        <f t="shared" si="7"/>
        <v>-579.54656550298716</v>
      </c>
      <c r="L9" s="375">
        <f t="shared" si="7"/>
        <v>-597.29191477238658</v>
      </c>
      <c r="M9" s="375">
        <f t="shared" si="7"/>
        <v>-618.23695650406012</v>
      </c>
      <c r="N9" s="375">
        <f t="shared" si="7"/>
        <v>-642.13843546038913</v>
      </c>
      <c r="O9" s="375">
        <f t="shared" si="7"/>
        <v>-668.71709816409498</v>
      </c>
      <c r="P9" s="375">
        <f t="shared" si="7"/>
        <v>-697.72117563929817</v>
      </c>
      <c r="Q9" s="375">
        <f t="shared" si="7"/>
        <v>-728.92108766434887</v>
      </c>
      <c r="R9" s="375">
        <f t="shared" si="7"/>
        <v>-762.10492202281375</v>
      </c>
      <c r="S9" s="375">
        <f t="shared" si="7"/>
        <v>-797.07459010651121</v>
      </c>
      <c r="T9" s="375">
        <f t="shared" si="7"/>
        <v>-833.6425747337172</v>
      </c>
      <c r="U9" s="375">
        <f t="shared" si="7"/>
        <v>-871.62919835083289</v>
      </c>
      <c r="V9" s="375">
        <f t="shared" si="7"/>
        <v>-910.86035019171368</v>
      </c>
      <c r="W9" s="375">
        <f t="shared" si="7"/>
        <v>-951.16561973815635</v>
      </c>
      <c r="X9" s="375">
        <f t="shared" si="7"/>
        <v>-992.37679118451467</v>
      </c>
      <c r="Y9" s="375">
        <f t="shared" si="7"/>
        <v>-1034.3266597553759</v>
      </c>
      <c r="Z9" s="375">
        <f t="shared" si="7"/>
        <v>-1076.8481358280046</v>
      </c>
      <c r="AA9" s="375">
        <f t="shared" si="7"/>
        <v>-1119.7736070191263</v>
      </c>
      <c r="AB9" s="375">
        <f t="shared" si="7"/>
        <v>-1162.9345318380997</v>
      </c>
      <c r="AC9" s="375">
        <f t="shared" si="7"/>
        <v>-1206.1612412990848</v>
      </c>
      <c r="AD9" s="375">
        <f t="shared" si="7"/>
        <v>-1249.2829271233245</v>
      </c>
      <c r="AE9" s="375">
        <f t="shared" si="7"/>
        <v>-1292.12779693725</v>
      </c>
      <c r="AF9" s="375">
        <f t="shared" si="7"/>
        <v>-1334.5233782608816</v>
      </c>
    </row>
    <row r="10" spans="1:33">
      <c r="A10" s="621"/>
      <c r="B10" s="194" t="s">
        <v>299</v>
      </c>
      <c r="C10" s="202" t="s">
        <v>300</v>
      </c>
      <c r="D10" s="444">
        <f>D19</f>
        <v>171.6</v>
      </c>
      <c r="E10" s="444">
        <f>E19</f>
        <v>166.7</v>
      </c>
      <c r="F10" s="444">
        <f>F19</f>
        <v>184</v>
      </c>
      <c r="G10" s="444">
        <f>G19</f>
        <v>185</v>
      </c>
      <c r="H10" s="369">
        <f>-$D$51*H6</f>
        <v>-210.72539999999998</v>
      </c>
      <c r="I10" s="369">
        <f>-$D$51*I6</f>
        <v>-227.43019999999999</v>
      </c>
      <c r="J10" s="369">
        <f>-$D$51*J6</f>
        <v>-240.39372139999998</v>
      </c>
      <c r="K10" s="369">
        <f t="shared" ref="K10" si="8">-$D$51*K6</f>
        <v>-254.09616351979994</v>
      </c>
      <c r="L10" s="369">
        <f t="shared" ref="L10:T10" si="9">-$E$51*L6</f>
        <v>-268.5796448404285</v>
      </c>
      <c r="M10" s="369">
        <f t="shared" si="9"/>
        <v>-283.88868459633295</v>
      </c>
      <c r="N10" s="369">
        <f t="shared" si="9"/>
        <v>-299.59221130742486</v>
      </c>
      <c r="O10" s="369">
        <f t="shared" si="9"/>
        <v>-315.65981464017574</v>
      </c>
      <c r="P10" s="369">
        <f t="shared" si="9"/>
        <v>-332.0575113270101</v>
      </c>
      <c r="Q10" s="369">
        <f t="shared" si="9"/>
        <v>-348.74777044897297</v>
      </c>
      <c r="R10" s="369">
        <f t="shared" si="9"/>
        <v>-365.68957003446786</v>
      </c>
      <c r="S10" s="369">
        <f t="shared" si="9"/>
        <v>-382.83848618713688</v>
      </c>
      <c r="T10" s="369">
        <f t="shared" si="9"/>
        <v>-400.14681564159747</v>
      </c>
      <c r="U10" s="369">
        <f>-$E$51*U6</f>
        <v>-417.56373230136592</v>
      </c>
      <c r="V10" s="369">
        <f t="shared" ref="V10:AF10" si="10">-$E$51*V6</f>
        <v>-435.03547794239682</v>
      </c>
      <c r="W10" s="369">
        <f t="shared" si="10"/>
        <v>-452.50558687239936</v>
      </c>
      <c r="X10" s="369">
        <f t="shared" si="10"/>
        <v>-469.91514392522703</v>
      </c>
      <c r="Y10" s="369">
        <f t="shared" si="10"/>
        <v>-487.20307474647615</v>
      </c>
      <c r="Z10" s="369">
        <f t="shared" si="10"/>
        <v>-504.30646689678667</v>
      </c>
      <c r="AA10" s="369">
        <f t="shared" si="10"/>
        <v>-521.16091986938977</v>
      </c>
      <c r="AB10" s="369">
        <f t="shared" si="10"/>
        <v>-537.70092169471843</v>
      </c>
      <c r="AC10" s="369">
        <f t="shared" si="10"/>
        <v>-553.86024939407025</v>
      </c>
      <c r="AD10" s="369">
        <f t="shared" si="10"/>
        <v>-569.57239015319681</v>
      </c>
      <c r="AE10" s="369">
        <f t="shared" si="10"/>
        <v>-584.77097972202159</v>
      </c>
      <c r="AF10" s="369">
        <f t="shared" si="10"/>
        <v>-599.3902542150721</v>
      </c>
    </row>
    <row r="11" spans="1:33" s="199" customFormat="1">
      <c r="A11" s="621"/>
      <c r="B11" s="194">
        <v>6</v>
      </c>
      <c r="C11" s="203" t="s">
        <v>256</v>
      </c>
      <c r="D11" s="362">
        <f t="shared" ref="D11:J11" si="11">-D9+D8</f>
        <v>1594</v>
      </c>
      <c r="E11" s="362">
        <f t="shared" si="11"/>
        <v>1899.7</v>
      </c>
      <c r="F11" s="362">
        <f t="shared" si="11"/>
        <v>1811.4</v>
      </c>
      <c r="G11" s="362">
        <f t="shared" si="11"/>
        <v>1920.6</v>
      </c>
      <c r="H11" s="370">
        <f t="shared" si="11"/>
        <v>1957.5654977742963</v>
      </c>
      <c r="I11" s="370">
        <f t="shared" si="11"/>
        <v>2111.6413257336562</v>
      </c>
      <c r="J11" s="370">
        <f t="shared" si="11"/>
        <v>2249.4613702324518</v>
      </c>
      <c r="K11" s="370">
        <f t="shared" ref="K11:AF11" si="12">-K9+K8</f>
        <v>2400.299329577987</v>
      </c>
      <c r="L11" s="370">
        <f t="shared" si="12"/>
        <v>2564.5950457691561</v>
      </c>
      <c r="M11" s="370">
        <f t="shared" si="12"/>
        <v>2697.6763659676453</v>
      </c>
      <c r="N11" s="370">
        <f t="shared" si="12"/>
        <v>2836.6036775211446</v>
      </c>
      <c r="O11" s="370">
        <f t="shared" si="12"/>
        <v>2980.8749761016879</v>
      </c>
      <c r="P11" s="370">
        <f t="shared" si="12"/>
        <v>3129.9895707097548</v>
      </c>
      <c r="Q11" s="370">
        <f t="shared" si="12"/>
        <v>3283.4429731186096</v>
      </c>
      <c r="R11" s="370">
        <f t="shared" si="12"/>
        <v>3440.7227917020373</v>
      </c>
      <c r="S11" s="370">
        <f t="shared" si="12"/>
        <v>3601.3055398849028</v>
      </c>
      <c r="T11" s="370">
        <f t="shared" si="12"/>
        <v>3764.6542816626161</v>
      </c>
      <c r="U11" s="370">
        <f t="shared" si="12"/>
        <v>3930.2170464181636</v>
      </c>
      <c r="V11" s="370">
        <f t="shared" si="12"/>
        <v>4097.4259529544934</v>
      </c>
      <c r="W11" s="370">
        <f t="shared" si="12"/>
        <v>4265.696988548726</v>
      </c>
      <c r="X11" s="370">
        <f t="shared" si="12"/>
        <v>4434.4303931845852</v>
      </c>
      <c r="Y11" s="370">
        <f t="shared" si="12"/>
        <v>4603.0116021658705</v>
      </c>
      <c r="Z11" s="370">
        <f t="shared" si="12"/>
        <v>4770.8127022694362</v>
      </c>
      <c r="AA11" s="370">
        <f t="shared" si="12"/>
        <v>4937.1943576547847</v>
      </c>
      <c r="AB11" s="370">
        <f t="shared" si="12"/>
        <v>5101.5081620860374</v>
      </c>
      <c r="AC11" s="370">
        <f t="shared" si="12"/>
        <v>5263.0993738034213</v>
      </c>
      <c r="AD11" s="370">
        <f t="shared" si="12"/>
        <v>5421.3099887550215</v>
      </c>
      <c r="AE11" s="370">
        <f t="shared" si="12"/>
        <v>5575.4821070030139</v>
      </c>
      <c r="AF11" s="370">
        <f t="shared" si="12"/>
        <v>5724.9615460782898</v>
      </c>
    </row>
    <row r="12" spans="1:33" s="196" customFormat="1" ht="12.75">
      <c r="A12" s="621"/>
      <c r="B12" s="194">
        <v>7</v>
      </c>
      <c r="C12" s="197" t="s">
        <v>301</v>
      </c>
      <c r="D12" s="376">
        <f>Cifras_Originales!E9</f>
        <v>16.8</v>
      </c>
      <c r="E12" s="376">
        <f>Cifras_Originales!D9</f>
        <v>-13.8</v>
      </c>
      <c r="F12" s="376">
        <f>Cifras_Originales!C9</f>
        <v>-98.3</v>
      </c>
      <c r="G12" s="376">
        <f>Cifras_Originales!B9</f>
        <v>-118.4</v>
      </c>
      <c r="H12" s="363">
        <f>-$D$53*G37+G36*$D$54</f>
        <v>103.01090000000001</v>
      </c>
      <c r="I12" s="363">
        <f t="shared" ref="I12:AF12" si="13">-$D$53*H37+H36*$D$54</f>
        <v>128.38182518339107</v>
      </c>
      <c r="J12" s="363">
        <f t="shared" si="13"/>
        <v>137.94739956477073</v>
      </c>
      <c r="K12" s="363">
        <f t="shared" si="13"/>
        <v>168.8587463559073</v>
      </c>
      <c r="L12" s="363">
        <f t="shared" si="13"/>
        <v>201.00795843169428</v>
      </c>
      <c r="M12" s="363">
        <f t="shared" si="13"/>
        <v>210.35867925243284</v>
      </c>
      <c r="N12" s="363">
        <f t="shared" si="13"/>
        <v>234.2190053940987</v>
      </c>
      <c r="O12" s="363">
        <f t="shared" si="13"/>
        <v>268.0710165043983</v>
      </c>
      <c r="P12" s="363">
        <f t="shared" si="13"/>
        <v>303.77532973810753</v>
      </c>
      <c r="Q12" s="363">
        <f t="shared" si="13"/>
        <v>341.53814385843469</v>
      </c>
      <c r="R12" s="363">
        <f t="shared" si="13"/>
        <v>379.08580477267293</v>
      </c>
      <c r="S12" s="363">
        <f t="shared" si="13"/>
        <v>418.73711604840543</v>
      </c>
      <c r="T12" s="363">
        <f t="shared" si="13"/>
        <v>451.93616947041994</v>
      </c>
      <c r="U12" s="363">
        <f t="shared" si="13"/>
        <v>487.00544833921856</v>
      </c>
      <c r="V12" s="363">
        <f t="shared" si="13"/>
        <v>514.46161932631423</v>
      </c>
      <c r="W12" s="363">
        <f t="shared" si="13"/>
        <v>543.5095784037826</v>
      </c>
      <c r="X12" s="363">
        <f t="shared" si="13"/>
        <v>574.23392758597026</v>
      </c>
      <c r="Y12" s="363">
        <f t="shared" si="13"/>
        <v>606.7104934312739</v>
      </c>
      <c r="Z12" s="363">
        <f t="shared" si="13"/>
        <v>635.37220843342698</v>
      </c>
      <c r="AA12" s="363">
        <f t="shared" si="13"/>
        <v>665.70898907000446</v>
      </c>
      <c r="AB12" s="363">
        <f t="shared" si="13"/>
        <v>697.78286082406214</v>
      </c>
      <c r="AC12" s="363">
        <f t="shared" si="13"/>
        <v>731.64999112087185</v>
      </c>
      <c r="AD12" s="363">
        <f t="shared" si="13"/>
        <v>767.36124630855147</v>
      </c>
      <c r="AE12" s="363">
        <f t="shared" si="13"/>
        <v>804.96222710116785</v>
      </c>
      <c r="AF12" s="363">
        <f t="shared" si="13"/>
        <v>844.49227192696287</v>
      </c>
    </row>
    <row r="13" spans="1:33">
      <c r="A13" s="621"/>
      <c r="B13" s="194">
        <v>8</v>
      </c>
      <c r="C13" s="197" t="s">
        <v>302</v>
      </c>
      <c r="D13" s="362">
        <f>Cifras_Originales!E10</f>
        <v>1.7000000000000002</v>
      </c>
      <c r="E13" s="362">
        <f>Cifras_Originales!D10</f>
        <v>-11.1</v>
      </c>
      <c r="F13" s="362">
        <f>Cifras_Originales!C10</f>
        <v>-39.299999999999997</v>
      </c>
      <c r="G13" s="362">
        <f>Cifras_Originales!B10</f>
        <v>0</v>
      </c>
      <c r="H13" s="370">
        <f>AVERAGE(D13:G13)*(1+H5)</f>
        <v>-13.149611336423328</v>
      </c>
      <c r="I13" s="370">
        <f>AVERAGE(E13:H13)*(1+I5)</f>
        <v>-17.146842307767624</v>
      </c>
      <c r="J13" s="370">
        <f t="shared" ref="J13:AF13" si="14">AVERAGE(F13:I13)*(1+J5)</f>
        <v>-18.390862875477456</v>
      </c>
      <c r="K13" s="370">
        <f t="shared" si="14"/>
        <v>-12.865623390322378</v>
      </c>
      <c r="L13" s="370">
        <f t="shared" si="14"/>
        <v>-16.265364371215064</v>
      </c>
      <c r="M13" s="370">
        <f t="shared" si="14"/>
        <v>-17.08870211065878</v>
      </c>
      <c r="N13" s="370">
        <f t="shared" si="14"/>
        <v>-17.04613412031059</v>
      </c>
      <c r="O13" s="370">
        <f t="shared" si="14"/>
        <v>-16.664717506657816</v>
      </c>
      <c r="P13" s="370">
        <f t="shared" si="14"/>
        <v>-17.637191029492502</v>
      </c>
      <c r="Q13" s="370">
        <f t="shared" si="14"/>
        <v>-17.969147918787808</v>
      </c>
      <c r="R13" s="370">
        <f t="shared" si="14"/>
        <v>-18.171136681982635</v>
      </c>
      <c r="S13" s="370">
        <f t="shared" si="14"/>
        <v>-18.436390311664354</v>
      </c>
      <c r="T13" s="370">
        <f t="shared" si="14"/>
        <v>-18.869673207114925</v>
      </c>
      <c r="U13" s="370">
        <f t="shared" si="14"/>
        <v>-19.160799265346213</v>
      </c>
      <c r="V13" s="370">
        <f t="shared" si="14"/>
        <v>-19.440252624100136</v>
      </c>
      <c r="W13" s="370">
        <f t="shared" si="14"/>
        <v>-19.738846339641622</v>
      </c>
      <c r="X13" s="370">
        <f t="shared" si="14"/>
        <v>-20.045027026417365</v>
      </c>
      <c r="Y13" s="370">
        <f t="shared" si="14"/>
        <v>-20.317166350107893</v>
      </c>
      <c r="Z13" s="370">
        <f t="shared" si="14"/>
        <v>-20.583402584947784</v>
      </c>
      <c r="AA13" s="370">
        <f t="shared" si="14"/>
        <v>-20.845250323452458</v>
      </c>
      <c r="AB13" s="370">
        <f t="shared" si="14"/>
        <v>-21.096657364781507</v>
      </c>
      <c r="AC13" s="370">
        <f t="shared" si="14"/>
        <v>-21.333027763084232</v>
      </c>
      <c r="AD13" s="370">
        <f t="shared" si="14"/>
        <v>-21.559316669613171</v>
      </c>
      <c r="AE13" s="370">
        <f t="shared" si="14"/>
        <v>-21.774496791092215</v>
      </c>
      <c r="AF13" s="370">
        <f t="shared" si="14"/>
        <v>-21.97689651332135</v>
      </c>
    </row>
    <row r="14" spans="1:33">
      <c r="A14" s="621"/>
      <c r="B14" s="194">
        <v>9</v>
      </c>
      <c r="C14" s="203" t="s">
        <v>303</v>
      </c>
      <c r="D14" s="362">
        <f>D8-D12+D13</f>
        <v>1004.3000000000001</v>
      </c>
      <c r="E14" s="362">
        <f>E8-E12+E13</f>
        <v>1305.6000000000001</v>
      </c>
      <c r="F14" s="362">
        <f>F8-F12+F13</f>
        <v>1300.9000000000001</v>
      </c>
      <c r="G14" s="362">
        <f>G8-G12+G13</f>
        <v>1478</v>
      </c>
      <c r="H14" s="370">
        <f>H8+H12+H13</f>
        <v>1499.1712886635767</v>
      </c>
      <c r="I14" s="370">
        <f>I8+I12+I13</f>
        <v>1668.4799828756234</v>
      </c>
      <c r="J14" s="370">
        <f t="shared" ref="J14:AF14" si="15">J8+J12+J13</f>
        <v>1803.8437566892931</v>
      </c>
      <c r="K14" s="370">
        <f t="shared" si="15"/>
        <v>1976.7458870405849</v>
      </c>
      <c r="L14" s="370">
        <f t="shared" si="15"/>
        <v>2152.0457250572485</v>
      </c>
      <c r="M14" s="370">
        <f t="shared" si="15"/>
        <v>2272.7093866053597</v>
      </c>
      <c r="N14" s="370">
        <f>N8+N12+N13</f>
        <v>2411.6381133345435</v>
      </c>
      <c r="O14" s="370">
        <f t="shared" si="15"/>
        <v>2563.5641769353338</v>
      </c>
      <c r="P14" s="370">
        <f t="shared" si="15"/>
        <v>2718.4065337790721</v>
      </c>
      <c r="Q14" s="370">
        <f t="shared" si="15"/>
        <v>2878.0908813939077</v>
      </c>
      <c r="R14" s="370">
        <f t="shared" si="15"/>
        <v>3039.5325377699137</v>
      </c>
      <c r="S14" s="370">
        <f t="shared" si="15"/>
        <v>3204.5316755151325</v>
      </c>
      <c r="T14" s="370">
        <f t="shared" si="15"/>
        <v>3364.078203192204</v>
      </c>
      <c r="U14" s="370">
        <f t="shared" si="15"/>
        <v>3526.4324971412029</v>
      </c>
      <c r="V14" s="370">
        <f t="shared" si="15"/>
        <v>3681.5869694649937</v>
      </c>
      <c r="W14" s="370">
        <f t="shared" si="15"/>
        <v>3838.3021008747105</v>
      </c>
      <c r="X14" s="370">
        <f t="shared" si="15"/>
        <v>3996.242502559624</v>
      </c>
      <c r="Y14" s="370">
        <f t="shared" si="15"/>
        <v>4155.0782694916606</v>
      </c>
      <c r="Z14" s="370">
        <f t="shared" si="15"/>
        <v>4308.7533722899107</v>
      </c>
      <c r="AA14" s="370">
        <f t="shared" si="15"/>
        <v>4462.2844893822103</v>
      </c>
      <c r="AB14" s="370">
        <f t="shared" si="15"/>
        <v>4615.2598337072186</v>
      </c>
      <c r="AC14" s="370">
        <f t="shared" si="15"/>
        <v>4767.2550958621241</v>
      </c>
      <c r="AD14" s="370">
        <f t="shared" si="15"/>
        <v>4917.8289912706341</v>
      </c>
      <c r="AE14" s="370">
        <f t="shared" si="15"/>
        <v>5066.5420403758399</v>
      </c>
      <c r="AF14" s="370">
        <f t="shared" si="15"/>
        <v>5212.9535432310486</v>
      </c>
    </row>
    <row r="15" spans="1:33">
      <c r="A15" s="621"/>
      <c r="B15" s="194">
        <v>10</v>
      </c>
      <c r="C15" s="197" t="s">
        <v>304</v>
      </c>
      <c r="D15" s="377">
        <f>Cifras_en_Millones!F21</f>
        <v>-230.4</v>
      </c>
      <c r="E15" s="377">
        <f>Cifras_en_Millones!E21</f>
        <v>-375.4</v>
      </c>
      <c r="F15" s="377">
        <f>Cifras_en_Millones!D21</f>
        <v>-250.7</v>
      </c>
      <c r="G15" s="377">
        <f>Cifras_en_Millones!C21</f>
        <v>-279.89999999999998</v>
      </c>
      <c r="H15" s="369">
        <f>(-1*$D$52)*H14</f>
        <v>-337.01370569157206</v>
      </c>
      <c r="I15" s="369">
        <f>(-1*$D$52)*I14</f>
        <v>-375.07430015044014</v>
      </c>
      <c r="J15" s="369">
        <f>(-1*$D$52)*J14</f>
        <v>-405.50407650375308</v>
      </c>
      <c r="K15" s="369">
        <f>(-1*$D$52)*K14</f>
        <v>-444.37247540672348</v>
      </c>
      <c r="L15" s="369">
        <f>(-1*$E$52)*L14</f>
        <v>-483.7798789928695</v>
      </c>
      <c r="M15" s="369">
        <f t="shared" ref="M15:AF15" si="16">(-1*$E$52)*M14</f>
        <v>-510.90507010888484</v>
      </c>
      <c r="N15" s="369">
        <f t="shared" si="16"/>
        <v>-542.13624787760534</v>
      </c>
      <c r="O15" s="369">
        <f t="shared" si="16"/>
        <v>-576.289226975063</v>
      </c>
      <c r="P15" s="369">
        <f t="shared" si="16"/>
        <v>-611.09778879353541</v>
      </c>
      <c r="Q15" s="369">
        <f t="shared" si="16"/>
        <v>-646.9948301373505</v>
      </c>
      <c r="R15" s="369">
        <f t="shared" si="16"/>
        <v>-683.28691449067662</v>
      </c>
      <c r="S15" s="369">
        <f t="shared" si="16"/>
        <v>-720.37872065580177</v>
      </c>
      <c r="T15" s="369">
        <f t="shared" si="16"/>
        <v>-756.24478007760752</v>
      </c>
      <c r="U15" s="369">
        <f t="shared" si="16"/>
        <v>-792.74202535734241</v>
      </c>
      <c r="V15" s="369">
        <f t="shared" si="16"/>
        <v>-827.62075073573055</v>
      </c>
      <c r="W15" s="369">
        <f t="shared" si="16"/>
        <v>-862.8503122766349</v>
      </c>
      <c r="X15" s="369">
        <f t="shared" si="16"/>
        <v>-898.35531457540344</v>
      </c>
      <c r="Y15" s="369">
        <f t="shared" si="16"/>
        <v>-934.06159498172531</v>
      </c>
      <c r="Z15" s="369">
        <f t="shared" si="16"/>
        <v>-968.60775809077188</v>
      </c>
      <c r="AA15" s="369">
        <f t="shared" si="16"/>
        <v>-1003.1215532131208</v>
      </c>
      <c r="AB15" s="369">
        <f t="shared" si="16"/>
        <v>-1037.5104106173828</v>
      </c>
      <c r="AC15" s="369">
        <f t="shared" si="16"/>
        <v>-1071.6789455498056</v>
      </c>
      <c r="AD15" s="369">
        <f t="shared" si="16"/>
        <v>-1105.5279572376385</v>
      </c>
      <c r="AE15" s="369">
        <f t="shared" si="16"/>
        <v>-1138.9586506764888</v>
      </c>
      <c r="AF15" s="369">
        <f t="shared" si="16"/>
        <v>-1171.8719565183396</v>
      </c>
    </row>
    <row r="16" spans="1:33">
      <c r="A16" s="621"/>
      <c r="B16" s="194">
        <v>11</v>
      </c>
      <c r="C16" s="203" t="s">
        <v>305</v>
      </c>
      <c r="D16" s="362">
        <f t="shared" ref="D16:I16" si="17">D14+D15</f>
        <v>773.90000000000009</v>
      </c>
      <c r="E16" s="362">
        <f t="shared" si="17"/>
        <v>930.20000000000016</v>
      </c>
      <c r="F16" s="362">
        <f t="shared" si="17"/>
        <v>1050.2</v>
      </c>
      <c r="G16" s="362">
        <f t="shared" si="17"/>
        <v>1198.0999999999999</v>
      </c>
      <c r="H16" s="370">
        <f t="shared" si="17"/>
        <v>1162.1575829720045</v>
      </c>
      <c r="I16" s="370">
        <f t="shared" si="17"/>
        <v>1293.4056827251832</v>
      </c>
      <c r="J16" s="370">
        <f t="shared" ref="J16:AF16" si="18">J14+J15</f>
        <v>1398.3396801855399</v>
      </c>
      <c r="K16" s="370">
        <f t="shared" si="18"/>
        <v>1532.3734116338615</v>
      </c>
      <c r="L16" s="370">
        <f t="shared" si="18"/>
        <v>1668.265846064379</v>
      </c>
      <c r="M16" s="370">
        <f t="shared" si="18"/>
        <v>1761.8043164964747</v>
      </c>
      <c r="N16" s="370">
        <f>N14+N15</f>
        <v>1869.501865456938</v>
      </c>
      <c r="O16" s="370">
        <f t="shared" si="18"/>
        <v>1987.2749499602708</v>
      </c>
      <c r="P16" s="370">
        <f t="shared" si="18"/>
        <v>2107.3087449855366</v>
      </c>
      <c r="Q16" s="370">
        <f t="shared" si="18"/>
        <v>2231.0960512565571</v>
      </c>
      <c r="R16" s="370">
        <f t="shared" si="18"/>
        <v>2356.245623279237</v>
      </c>
      <c r="S16" s="370">
        <f t="shared" si="18"/>
        <v>2484.1529548593307</v>
      </c>
      <c r="T16" s="370">
        <f t="shared" si="18"/>
        <v>2607.8334231145964</v>
      </c>
      <c r="U16" s="370">
        <f t="shared" si="18"/>
        <v>2733.6904717838606</v>
      </c>
      <c r="V16" s="370">
        <f t="shared" si="18"/>
        <v>2853.9662187292633</v>
      </c>
      <c r="W16" s="370">
        <f t="shared" si="18"/>
        <v>2975.4517885980758</v>
      </c>
      <c r="X16" s="370">
        <f t="shared" si="18"/>
        <v>3097.8871879842204</v>
      </c>
      <c r="Y16" s="370">
        <f t="shared" si="18"/>
        <v>3221.0166745099355</v>
      </c>
      <c r="Z16" s="370">
        <f t="shared" si="18"/>
        <v>3340.1456141991389</v>
      </c>
      <c r="AA16" s="370">
        <f t="shared" si="18"/>
        <v>3459.1629361690893</v>
      </c>
      <c r="AB16" s="370">
        <f t="shared" si="18"/>
        <v>3577.7494230898355</v>
      </c>
      <c r="AC16" s="370">
        <f t="shared" si="18"/>
        <v>3695.5761503123185</v>
      </c>
      <c r="AD16" s="370">
        <f t="shared" si="18"/>
        <v>3812.3010340329956</v>
      </c>
      <c r="AE16" s="370">
        <f t="shared" si="18"/>
        <v>3927.5833896993508</v>
      </c>
      <c r="AF16" s="370">
        <f t="shared" si="18"/>
        <v>4041.0815867127089</v>
      </c>
    </row>
    <row r="17" spans="1:33">
      <c r="C17" s="204"/>
      <c r="D17" s="205"/>
      <c r="E17" s="205"/>
      <c r="F17" s="205"/>
      <c r="G17" s="205"/>
      <c r="H17" s="206"/>
      <c r="I17" s="206"/>
      <c r="J17" s="206"/>
      <c r="K17" s="206"/>
      <c r="L17" s="206"/>
      <c r="M17" s="206"/>
      <c r="N17" s="206"/>
      <c r="O17" s="206"/>
      <c r="P17" s="206"/>
      <c r="Q17" s="206"/>
      <c r="R17" s="206"/>
      <c r="S17" s="206"/>
      <c r="T17" s="206"/>
      <c r="U17" s="206"/>
      <c r="V17" s="206"/>
      <c r="W17" s="206"/>
      <c r="X17" s="206"/>
      <c r="Y17" s="206"/>
      <c r="Z17" s="206"/>
      <c r="AA17" s="206"/>
      <c r="AB17" s="206"/>
      <c r="AC17" s="206"/>
      <c r="AD17" s="206"/>
      <c r="AE17" s="206"/>
      <c r="AF17" s="206"/>
    </row>
    <row r="18" spans="1:33" ht="15" customHeight="1">
      <c r="A18" s="626" t="s">
        <v>306</v>
      </c>
      <c r="B18" s="353">
        <v>12</v>
      </c>
      <c r="C18" s="197" t="s">
        <v>307</v>
      </c>
      <c r="D18" s="362">
        <f t="shared" ref="D18:F18" si="19">+D16-D9</f>
        <v>1348.5</v>
      </c>
      <c r="E18" s="362">
        <f t="shared" si="19"/>
        <v>1527</v>
      </c>
      <c r="F18" s="362">
        <f t="shared" si="19"/>
        <v>1619.7</v>
      </c>
      <c r="G18" s="362">
        <f>+G16-G9</f>
        <v>1759.1</v>
      </c>
      <c r="H18" s="363">
        <f>H11+H12+H13+H15</f>
        <v>1710.4130807463009</v>
      </c>
      <c r="I18" s="363">
        <f>I11+I12+I13+I15</f>
        <v>1847.8020084588393</v>
      </c>
      <c r="J18" s="363">
        <f t="shared" ref="J18:AF18" si="20">J11+J12+J13+J15</f>
        <v>1963.513830417992</v>
      </c>
      <c r="K18" s="363">
        <f t="shared" si="20"/>
        <v>2111.9199771368485</v>
      </c>
      <c r="L18" s="363">
        <f>L11+L12+L13+L15</f>
        <v>2265.5577608367657</v>
      </c>
      <c r="M18" s="363">
        <f>M11+M12+M13+M15</f>
        <v>2380.0412730005346</v>
      </c>
      <c r="N18" s="363">
        <f t="shared" si="20"/>
        <v>2511.6403009173273</v>
      </c>
      <c r="O18" s="363">
        <f t="shared" si="20"/>
        <v>2655.9920481243653</v>
      </c>
      <c r="P18" s="363">
        <f t="shared" si="20"/>
        <v>2805.0299206248346</v>
      </c>
      <c r="Q18" s="363">
        <f t="shared" si="20"/>
        <v>2960.0171389209058</v>
      </c>
      <c r="R18" s="363">
        <f t="shared" si="20"/>
        <v>3118.3505453020507</v>
      </c>
      <c r="S18" s="363">
        <f t="shared" si="20"/>
        <v>3281.2275449658418</v>
      </c>
      <c r="T18" s="363">
        <f t="shared" si="20"/>
        <v>3441.4759978483139</v>
      </c>
      <c r="U18" s="363">
        <f t="shared" si="20"/>
        <v>3605.3196701346938</v>
      </c>
      <c r="V18" s="363">
        <f t="shared" si="20"/>
        <v>3764.8265689209775</v>
      </c>
      <c r="W18" s="363">
        <f t="shared" si="20"/>
        <v>3926.6174083362321</v>
      </c>
      <c r="X18" s="363">
        <f t="shared" si="20"/>
        <v>4090.2639791687347</v>
      </c>
      <c r="Y18" s="363">
        <f t="shared" si="20"/>
        <v>4255.3433342653107</v>
      </c>
      <c r="Z18" s="363">
        <f t="shared" si="20"/>
        <v>4416.9937500271426</v>
      </c>
      <c r="AA18" s="363">
        <f t="shared" si="20"/>
        <v>4578.9365431882161</v>
      </c>
      <c r="AB18" s="363">
        <f t="shared" si="20"/>
        <v>4740.6839549279357</v>
      </c>
      <c r="AC18" s="363">
        <f t="shared" si="20"/>
        <v>4901.7373916114038</v>
      </c>
      <c r="AD18" s="363">
        <f t="shared" si="20"/>
        <v>5061.5839611563215</v>
      </c>
      <c r="AE18" s="363">
        <f t="shared" si="20"/>
        <v>5219.7111866366004</v>
      </c>
      <c r="AF18" s="363">
        <f t="shared" si="20"/>
        <v>5375.6049649735905</v>
      </c>
    </row>
    <row r="19" spans="1:33">
      <c r="A19" s="627"/>
      <c r="B19" s="353">
        <v>13</v>
      </c>
      <c r="C19" s="207" t="s">
        <v>308</v>
      </c>
      <c r="D19" s="364">
        <v>171.6</v>
      </c>
      <c r="E19" s="364">
        <v>166.7</v>
      </c>
      <c r="F19" s="364">
        <v>184</v>
      </c>
      <c r="G19" s="364">
        <v>185</v>
      </c>
      <c r="H19" s="365">
        <f t="shared" ref="H19:AF19" si="21">-H10</f>
        <v>210.72539999999998</v>
      </c>
      <c r="I19" s="365">
        <f t="shared" si="21"/>
        <v>227.43019999999999</v>
      </c>
      <c r="J19" s="365">
        <f t="shared" si="21"/>
        <v>240.39372139999998</v>
      </c>
      <c r="K19" s="365">
        <f t="shared" si="21"/>
        <v>254.09616351979994</v>
      </c>
      <c r="L19" s="365">
        <f t="shared" si="21"/>
        <v>268.5796448404285</v>
      </c>
      <c r="M19" s="365">
        <f t="shared" si="21"/>
        <v>283.88868459633295</v>
      </c>
      <c r="N19" s="365">
        <f t="shared" si="21"/>
        <v>299.59221130742486</v>
      </c>
      <c r="O19" s="365">
        <f t="shared" si="21"/>
        <v>315.65981464017574</v>
      </c>
      <c r="P19" s="365">
        <f t="shared" si="21"/>
        <v>332.0575113270101</v>
      </c>
      <c r="Q19" s="365">
        <f t="shared" si="21"/>
        <v>348.74777044897297</v>
      </c>
      <c r="R19" s="365">
        <f t="shared" si="21"/>
        <v>365.68957003446786</v>
      </c>
      <c r="S19" s="365">
        <f t="shared" si="21"/>
        <v>382.83848618713688</v>
      </c>
      <c r="T19" s="365">
        <f t="shared" si="21"/>
        <v>400.14681564159747</v>
      </c>
      <c r="U19" s="365">
        <f t="shared" si="21"/>
        <v>417.56373230136592</v>
      </c>
      <c r="V19" s="365">
        <f t="shared" si="21"/>
        <v>435.03547794239682</v>
      </c>
      <c r="W19" s="365">
        <f t="shared" si="21"/>
        <v>452.50558687239936</v>
      </c>
      <c r="X19" s="365">
        <f t="shared" si="21"/>
        <v>469.91514392522703</v>
      </c>
      <c r="Y19" s="365">
        <f t="shared" si="21"/>
        <v>487.20307474647615</v>
      </c>
      <c r="Z19" s="365">
        <f t="shared" si="21"/>
        <v>504.30646689678667</v>
      </c>
      <c r="AA19" s="365">
        <f t="shared" si="21"/>
        <v>521.16091986938977</v>
      </c>
      <c r="AB19" s="365">
        <f t="shared" si="21"/>
        <v>537.70092169471843</v>
      </c>
      <c r="AC19" s="365">
        <f t="shared" si="21"/>
        <v>553.86024939407025</v>
      </c>
      <c r="AD19" s="365">
        <f t="shared" si="21"/>
        <v>569.57239015319681</v>
      </c>
      <c r="AE19" s="365">
        <f t="shared" si="21"/>
        <v>584.77097972202159</v>
      </c>
      <c r="AF19" s="365">
        <f t="shared" si="21"/>
        <v>599.3902542150721</v>
      </c>
    </row>
    <row r="20" spans="1:33">
      <c r="A20" s="627"/>
      <c r="B20" s="353">
        <v>14</v>
      </c>
      <c r="C20" s="207" t="s">
        <v>309</v>
      </c>
      <c r="D20" s="366">
        <f>+Cifras_Originales!E12</f>
        <v>93.200000000000017</v>
      </c>
      <c r="E20" s="366">
        <f>+Cifras_Originales!D12</f>
        <v>-169.8</v>
      </c>
      <c r="F20" s="367">
        <f>+Cifras_Originales!C12</f>
        <v>-239.5</v>
      </c>
      <c r="G20" s="366">
        <f>+Cifras_Originales!B12</f>
        <v>-286.3</v>
      </c>
      <c r="H20" s="363">
        <f>$D$56*(H6-G6)</f>
        <v>-353.15399999999971</v>
      </c>
      <c r="I20" s="363">
        <f t="shared" ref="I20:K20" si="22">$D$56*(I6-H6)</f>
        <v>-377.71999999999997</v>
      </c>
      <c r="J20" s="363">
        <f t="shared" si="22"/>
        <v>-293.12420999999972</v>
      </c>
      <c r="K20" s="363">
        <f t="shared" si="22"/>
        <v>-309.83228996999969</v>
      </c>
      <c r="L20" s="363">
        <f>$E$56*(L6-K6)</f>
        <v>-327.49273049828923</v>
      </c>
      <c r="M20" s="363">
        <f>$E$56*(M6-L6)</f>
        <v>-346.15981613669237</v>
      </c>
      <c r="N20" s="363">
        <f t="shared" ref="N20:AF20" si="23">$E$56*(N6-M6)</f>
        <v>-355.07974410430757</v>
      </c>
      <c r="O20" s="363">
        <f t="shared" si="23"/>
        <v>-363.3120498806723</v>
      </c>
      <c r="P20" s="363">
        <f t="shared" si="23"/>
        <v>-370.77594419275272</v>
      </c>
      <c r="Q20" s="363">
        <f t="shared" si="23"/>
        <v>-377.3912094456569</v>
      </c>
      <c r="R20" s="363">
        <f t="shared" si="23"/>
        <v>-383.07890782488408</v>
      </c>
      <c r="S20" s="363">
        <f t="shared" si="23"/>
        <v>-387.76211682786681</v>
      </c>
      <c r="T20" s="363">
        <f t="shared" si="23"/>
        <v>-391.3666851167842</v>
      </c>
      <c r="U20" s="363">
        <f t="shared" si="23"/>
        <v>-393.82200090559235</v>
      </c>
      <c r="V20" s="363">
        <f t="shared" si="23"/>
        <v>-395.06176449464698</v>
      </c>
      <c r="W20" s="363">
        <f t="shared" si="23"/>
        <v>-395.024756060568</v>
      </c>
      <c r="X20" s="363">
        <f t="shared" si="23"/>
        <v>-393.65558941107054</v>
      </c>
      <c r="Y20" s="363">
        <f t="shared" si="23"/>
        <v>-390.90544213652532</v>
      </c>
      <c r="Z20" s="363">
        <f t="shared" si="23"/>
        <v>-386.7327524433274</v>
      </c>
      <c r="AA20" s="363">
        <f t="shared" si="23"/>
        <v>-381.10387294739564</v>
      </c>
      <c r="AB20" s="363">
        <f t="shared" si="23"/>
        <v>-373.99367184660173</v>
      </c>
      <c r="AC20" s="363">
        <f t="shared" si="23"/>
        <v>-365.38607218279566</v>
      </c>
      <c r="AD20" s="363">
        <f t="shared" si="23"/>
        <v>-355.27452034967678</v>
      </c>
      <c r="AE20" s="363">
        <f t="shared" si="23"/>
        <v>-343.66237560081686</v>
      </c>
      <c r="AF20" s="363">
        <f t="shared" si="23"/>
        <v>-330.56321305942231</v>
      </c>
    </row>
    <row r="21" spans="1:33">
      <c r="A21" s="627"/>
      <c r="B21" s="353">
        <v>15</v>
      </c>
      <c r="C21" s="208" t="s">
        <v>310</v>
      </c>
      <c r="D21" s="368">
        <f>D18+D19+D20</f>
        <v>1613.3</v>
      </c>
      <c r="E21" s="368">
        <f>E18+E19+E20</f>
        <v>1523.9</v>
      </c>
      <c r="F21" s="368">
        <f>F18+F19+F20</f>
        <v>1564.2</v>
      </c>
      <c r="G21" s="368">
        <f>G18+G19+G20</f>
        <v>1657.8</v>
      </c>
      <c r="H21" s="368">
        <f t="shared" ref="H21:AF21" si="24">H18+H19+H20</f>
        <v>1567.9844807463012</v>
      </c>
      <c r="I21" s="368">
        <f t="shared" si="24"/>
        <v>1697.512208458839</v>
      </c>
      <c r="J21" s="368">
        <f t="shared" si="24"/>
        <v>1910.7833418179923</v>
      </c>
      <c r="K21" s="368">
        <f t="shared" si="24"/>
        <v>2056.1838506866488</v>
      </c>
      <c r="L21" s="368">
        <f t="shared" si="24"/>
        <v>2206.6446751789049</v>
      </c>
      <c r="M21" s="368">
        <f t="shared" si="24"/>
        <v>2317.7701414601752</v>
      </c>
      <c r="N21" s="368">
        <f t="shared" si="24"/>
        <v>2456.1527681204443</v>
      </c>
      <c r="O21" s="368">
        <f t="shared" si="24"/>
        <v>2608.3398128838685</v>
      </c>
      <c r="P21" s="368">
        <f t="shared" si="24"/>
        <v>2766.311487759092</v>
      </c>
      <c r="Q21" s="368">
        <f t="shared" si="24"/>
        <v>2931.3736999242219</v>
      </c>
      <c r="R21" s="368">
        <f t="shared" si="24"/>
        <v>3100.9612075116347</v>
      </c>
      <c r="S21" s="368">
        <f t="shared" si="24"/>
        <v>3276.3039143251117</v>
      </c>
      <c r="T21" s="368">
        <f t="shared" si="24"/>
        <v>3450.2561283731275</v>
      </c>
      <c r="U21" s="368">
        <f t="shared" si="24"/>
        <v>3629.0614015304673</v>
      </c>
      <c r="V21" s="368">
        <f t="shared" si="24"/>
        <v>3804.8002823687275</v>
      </c>
      <c r="W21" s="368">
        <f t="shared" si="24"/>
        <v>3984.0982391480634</v>
      </c>
      <c r="X21" s="368">
        <f t="shared" si="24"/>
        <v>4166.523533682891</v>
      </c>
      <c r="Y21" s="368">
        <f t="shared" si="24"/>
        <v>4351.6409668752613</v>
      </c>
      <c r="Z21" s="368">
        <f t="shared" si="24"/>
        <v>4534.5674644806013</v>
      </c>
      <c r="AA21" s="368">
        <f t="shared" si="24"/>
        <v>4718.9935901102099</v>
      </c>
      <c r="AB21" s="368">
        <f t="shared" si="24"/>
        <v>4904.3912047760523</v>
      </c>
      <c r="AC21" s="368">
        <f t="shared" si="24"/>
        <v>5090.2115688226777</v>
      </c>
      <c r="AD21" s="368">
        <f t="shared" si="24"/>
        <v>5275.881830959841</v>
      </c>
      <c r="AE21" s="368">
        <f t="shared" si="24"/>
        <v>5460.8197907578051</v>
      </c>
      <c r="AF21" s="368">
        <f t="shared" si="24"/>
        <v>5644.4320061292401</v>
      </c>
    </row>
    <row r="22" spans="1:33">
      <c r="A22" s="627"/>
      <c r="B22" s="353">
        <v>16</v>
      </c>
      <c r="C22" s="207" t="s">
        <v>311</v>
      </c>
      <c r="D22" s="367">
        <f>-103.7-21.4</f>
        <v>-125.1</v>
      </c>
      <c r="E22" s="367">
        <f>-132.3-46.4</f>
        <v>-178.70000000000002</v>
      </c>
      <c r="F22" s="367">
        <f>-145.3-16.1</f>
        <v>-161.4</v>
      </c>
      <c r="G22" s="367">
        <f>-193.4-22.5</f>
        <v>-215.9</v>
      </c>
      <c r="H22" s="369">
        <f>-$D$57*H6</f>
        <v>-217.43639999999999</v>
      </c>
      <c r="I22" s="369">
        <f t="shared" ref="I22:K22" si="25">-$D$57*I6</f>
        <v>-234.67319999999998</v>
      </c>
      <c r="J22" s="369">
        <f t="shared" si="25"/>
        <v>-248.04957239999999</v>
      </c>
      <c r="K22" s="369">
        <f t="shared" si="25"/>
        <v>-262.18839802679997</v>
      </c>
      <c r="L22" s="369">
        <f>-$E$57*L6</f>
        <v>-277.13313671432752</v>
      </c>
      <c r="M22" s="369">
        <f t="shared" ref="M22:AF22" si="26">-$E$57*M6</f>
        <v>-292.92972550704417</v>
      </c>
      <c r="N22" s="369">
        <f t="shared" si="26"/>
        <v>-309.13336453377599</v>
      </c>
      <c r="O22" s="369">
        <f t="shared" si="26"/>
        <v>-325.71267497903483</v>
      </c>
      <c r="P22" s="369">
        <f t="shared" si="26"/>
        <v>-342.63259130557736</v>
      </c>
      <c r="Q22" s="369">
        <f t="shared" si="26"/>
        <v>-359.85438734225238</v>
      </c>
      <c r="R22" s="369">
        <f t="shared" si="26"/>
        <v>-377.33573468524708</v>
      </c>
      <c r="S22" s="369">
        <f t="shared" si="26"/>
        <v>-395.03079466443427</v>
      </c>
      <c r="T22" s="369">
        <f t="shared" si="26"/>
        <v>-412.89034480215793</v>
      </c>
      <c r="U22" s="369">
        <f t="shared" si="26"/>
        <v>-430.86194033644131</v>
      </c>
      <c r="V22" s="369">
        <f t="shared" si="26"/>
        <v>-448.89011099788718</v>
      </c>
      <c r="W22" s="369">
        <f t="shared" si="26"/>
        <v>-466.91659282374968</v>
      </c>
      <c r="X22" s="369">
        <f t="shared" si="26"/>
        <v>-484.8805943687056</v>
      </c>
      <c r="Y22" s="369">
        <f t="shared" si="26"/>
        <v>-502.71909623521748</v>
      </c>
      <c r="Z22" s="369">
        <f t="shared" si="26"/>
        <v>-520.36718240305379</v>
      </c>
      <c r="AA22" s="369">
        <f t="shared" si="26"/>
        <v>-537.75840139389265</v>
      </c>
      <c r="AB22" s="369">
        <f t="shared" si="26"/>
        <v>-554.82515486970942</v>
      </c>
      <c r="AC22" s="369">
        <f t="shared" si="26"/>
        <v>-571.49911083974121</v>
      </c>
      <c r="AD22" s="369">
        <f t="shared" si="26"/>
        <v>-587.71163824724761</v>
      </c>
      <c r="AE22" s="369">
        <f t="shared" si="26"/>
        <v>-603.39425933100324</v>
      </c>
      <c r="AF22" s="369">
        <f t="shared" si="26"/>
        <v>-618.47911581427832</v>
      </c>
    </row>
    <row r="23" spans="1:33">
      <c r="A23" s="627"/>
      <c r="B23" s="353">
        <v>17</v>
      </c>
      <c r="C23" s="207" t="s">
        <v>312</v>
      </c>
      <c r="D23" s="366">
        <f>-35.3</f>
        <v>-35.299999999999997</v>
      </c>
      <c r="E23" s="366">
        <v>-35.200000000000003</v>
      </c>
      <c r="F23" s="367">
        <v>-0.3</v>
      </c>
      <c r="G23" s="367">
        <v>24</v>
      </c>
      <c r="H23" s="370">
        <f>+AVERAGE(D23:G23)*(1+H5)</f>
        <v>-12.636587485515642</v>
      </c>
      <c r="I23" s="370">
        <f t="shared" ref="I23:AF23" si="27">+AVERAGE(E23:H23)*(1+I5)</f>
        <v>-6.5124908045592971</v>
      </c>
      <c r="J23" s="370">
        <f t="shared" si="27"/>
        <v>1.2025810618476971</v>
      </c>
      <c r="K23" s="370">
        <f t="shared" si="27"/>
        <v>1.5996381074409511</v>
      </c>
      <c r="L23" s="370">
        <f t="shared" si="27"/>
        <v>-4.3196575226677769</v>
      </c>
      <c r="M23" s="370">
        <f t="shared" si="27"/>
        <v>-2.1219087799852288</v>
      </c>
      <c r="N23" s="370">
        <f t="shared" si="27"/>
        <v>-0.96016512330379911</v>
      </c>
      <c r="O23" s="370">
        <f t="shared" si="27"/>
        <v>-1.5283171860969591</v>
      </c>
      <c r="P23" s="370">
        <f t="shared" si="27"/>
        <v>-2.3484852843305077</v>
      </c>
      <c r="Q23" s="370">
        <f t="shared" si="27"/>
        <v>-1.82716286891464</v>
      </c>
      <c r="R23" s="370">
        <f t="shared" si="27"/>
        <v>-1.7469667264117683</v>
      </c>
      <c r="S23" s="370">
        <f t="shared" si="27"/>
        <v>-1.9500853910514517</v>
      </c>
      <c r="T23" s="370">
        <f t="shared" si="27"/>
        <v>-2.0571572983683879</v>
      </c>
      <c r="U23" s="370">
        <f t="shared" si="27"/>
        <v>-1.9778403722324192</v>
      </c>
      <c r="V23" s="370">
        <f t="shared" si="27"/>
        <v>-2.0138937572990447</v>
      </c>
      <c r="W23" s="370">
        <f t="shared" si="27"/>
        <v>-2.0800497220122978</v>
      </c>
      <c r="X23" s="370">
        <f t="shared" si="27"/>
        <v>-2.110422866169956</v>
      </c>
      <c r="Y23" s="370">
        <f t="shared" si="27"/>
        <v>-2.1208064491084544</v>
      </c>
      <c r="Z23" s="370">
        <f t="shared" si="27"/>
        <v>-2.1543575440946929</v>
      </c>
      <c r="AA23" s="370">
        <f t="shared" si="27"/>
        <v>-2.1871417667829256</v>
      </c>
      <c r="AB23" s="370">
        <f t="shared" si="27"/>
        <v>-2.211199990243903</v>
      </c>
      <c r="AC23" s="370">
        <f t="shared" si="27"/>
        <v>-2.2335418557598796</v>
      </c>
      <c r="AD23" s="370">
        <f t="shared" si="27"/>
        <v>-2.2588732363724433</v>
      </c>
      <c r="AE23" s="370">
        <f t="shared" si="27"/>
        <v>-2.2819999191650999</v>
      </c>
      <c r="AF23" s="370">
        <f t="shared" si="27"/>
        <v>-2.3025638441449647</v>
      </c>
    </row>
    <row r="24" spans="1:33">
      <c r="A24" s="627"/>
      <c r="B24" s="353">
        <v>18</v>
      </c>
      <c r="C24" s="208" t="s">
        <v>313</v>
      </c>
      <c r="D24" s="371">
        <f>D22+D23</f>
        <v>-160.39999999999998</v>
      </c>
      <c r="E24" s="371">
        <f>E22+E23</f>
        <v>-213.90000000000003</v>
      </c>
      <c r="F24" s="371">
        <f>F22+F23</f>
        <v>-161.70000000000002</v>
      </c>
      <c r="G24" s="371">
        <f t="shared" ref="G24:AF24" si="28">G22+G23</f>
        <v>-191.9</v>
      </c>
      <c r="H24" s="371">
        <f>H22+H23</f>
        <v>-230.07298748551563</v>
      </c>
      <c r="I24" s="371">
        <f t="shared" si="28"/>
        <v>-241.18569080455927</v>
      </c>
      <c r="J24" s="371">
        <f t="shared" si="28"/>
        <v>-246.84699133815229</v>
      </c>
      <c r="K24" s="371">
        <f t="shared" si="28"/>
        <v>-260.58875991935901</v>
      </c>
      <c r="L24" s="371">
        <f t="shared" si="28"/>
        <v>-281.45279423699532</v>
      </c>
      <c r="M24" s="371">
        <f t="shared" si="28"/>
        <v>-295.0516342870294</v>
      </c>
      <c r="N24" s="371">
        <f t="shared" si="28"/>
        <v>-310.09352965707978</v>
      </c>
      <c r="O24" s="371">
        <f t="shared" si="28"/>
        <v>-327.24099216513179</v>
      </c>
      <c r="P24" s="371">
        <f>P22+P23</f>
        <v>-344.98107658990784</v>
      </c>
      <c r="Q24" s="371">
        <f t="shared" si="28"/>
        <v>-361.68155021116701</v>
      </c>
      <c r="R24" s="371">
        <f t="shared" si="28"/>
        <v>-379.08270141165883</v>
      </c>
      <c r="S24" s="371">
        <f t="shared" si="28"/>
        <v>-396.98088005548573</v>
      </c>
      <c r="T24" s="371">
        <f t="shared" si="28"/>
        <v>-414.94750210052632</v>
      </c>
      <c r="U24" s="371">
        <f t="shared" si="28"/>
        <v>-432.83978070867374</v>
      </c>
      <c r="V24" s="371">
        <f t="shared" si="28"/>
        <v>-450.90400475518624</v>
      </c>
      <c r="W24" s="371">
        <f t="shared" si="28"/>
        <v>-468.99664254576197</v>
      </c>
      <c r="X24" s="371">
        <f t="shared" si="28"/>
        <v>-486.99101723487559</v>
      </c>
      <c r="Y24" s="371">
        <f t="shared" si="28"/>
        <v>-504.83990268432592</v>
      </c>
      <c r="Z24" s="371">
        <f t="shared" si="28"/>
        <v>-522.52153994714843</v>
      </c>
      <c r="AA24" s="371">
        <f t="shared" si="28"/>
        <v>-539.94554316067558</v>
      </c>
      <c r="AB24" s="371">
        <f t="shared" si="28"/>
        <v>-557.03635485995335</v>
      </c>
      <c r="AC24" s="371">
        <f t="shared" si="28"/>
        <v>-573.73265269550109</v>
      </c>
      <c r="AD24" s="371">
        <f t="shared" si="28"/>
        <v>-589.97051148362004</v>
      </c>
      <c r="AE24" s="371">
        <f t="shared" si="28"/>
        <v>-605.6762592501683</v>
      </c>
      <c r="AF24" s="371">
        <f t="shared" si="28"/>
        <v>-620.78167965842329</v>
      </c>
    </row>
    <row r="25" spans="1:33" s="196" customFormat="1">
      <c r="A25" s="627"/>
      <c r="B25" s="353">
        <v>19</v>
      </c>
      <c r="C25" s="207" t="s">
        <v>314</v>
      </c>
      <c r="D25" s="367">
        <v>-97.6</v>
      </c>
      <c r="E25" s="367">
        <v>-102</v>
      </c>
      <c r="F25" s="367">
        <v>-89.4</v>
      </c>
      <c r="G25" s="367">
        <v>-79.7</v>
      </c>
      <c r="H25" s="363">
        <f t="shared" ref="H25:AF25" si="29">AVERAGE(D25:G25)*(1+H5)</f>
        <v>-99.553628331402081</v>
      </c>
      <c r="I25" s="363">
        <f t="shared" si="29"/>
        <v>-100.00909812264734</v>
      </c>
      <c r="J25" s="363">
        <f t="shared" si="29"/>
        <v>-97.419125465482566</v>
      </c>
      <c r="K25" s="363">
        <f t="shared" si="29"/>
        <v>-99.538179369736326</v>
      </c>
      <c r="L25" s="363">
        <f t="shared" si="29"/>
        <v>-104.78041826818915</v>
      </c>
      <c r="M25" s="363">
        <f t="shared" si="29"/>
        <v>-106.16159750898514</v>
      </c>
      <c r="N25" s="363">
        <f t="shared" si="29"/>
        <v>-107.61564838946178</v>
      </c>
      <c r="O25" s="363">
        <f t="shared" si="29"/>
        <v>-110.12974594414</v>
      </c>
      <c r="P25" s="363">
        <f t="shared" si="29"/>
        <v>-112.73914823531686</v>
      </c>
      <c r="Q25" s="363">
        <f t="shared" si="29"/>
        <v>-114.6483384901917</v>
      </c>
      <c r="R25" s="363">
        <f t="shared" si="29"/>
        <v>-116.68924196500862</v>
      </c>
      <c r="S25" s="363">
        <f t="shared" si="29"/>
        <v>-118.87659193365745</v>
      </c>
      <c r="T25" s="363">
        <f t="shared" si="29"/>
        <v>-120.97092097730901</v>
      </c>
      <c r="U25" s="363">
        <f t="shared" si="29"/>
        <v>-122.9235111338288</v>
      </c>
      <c r="V25" s="363">
        <f t="shared" si="29"/>
        <v>-124.88047323242195</v>
      </c>
      <c r="W25" s="363">
        <f t="shared" si="29"/>
        <v>-126.80863869328479</v>
      </c>
      <c r="X25" s="363">
        <f t="shared" si="29"/>
        <v>-128.66261720251291</v>
      </c>
      <c r="Y25" s="363">
        <f t="shared" si="29"/>
        <v>-130.44761786739593</v>
      </c>
      <c r="Z25" s="363">
        <f t="shared" si="29"/>
        <v>-132.18277312319435</v>
      </c>
      <c r="AA25" s="363">
        <f t="shared" si="29"/>
        <v>-133.8542873238714</v>
      </c>
      <c r="AB25" s="363">
        <f t="shared" si="29"/>
        <v>-135.45345307920073</v>
      </c>
      <c r="AC25" s="363">
        <f t="shared" si="29"/>
        <v>-136.98106801980745</v>
      </c>
      <c r="AD25" s="363">
        <f t="shared" si="29"/>
        <v>-138.43679252406235</v>
      </c>
      <c r="AE25" s="363">
        <f t="shared" si="29"/>
        <v>-139.81529339042103</v>
      </c>
      <c r="AF25" s="363">
        <f t="shared" si="29"/>
        <v>-141.1134430472072</v>
      </c>
      <c r="AG25" s="539"/>
    </row>
    <row r="26" spans="1:33">
      <c r="A26" s="627"/>
      <c r="B26" s="353">
        <v>20</v>
      </c>
      <c r="C26" s="209" t="s">
        <v>315</v>
      </c>
      <c r="D26" s="367">
        <f>1.3-341.2</f>
        <v>-339.9</v>
      </c>
      <c r="E26" s="367">
        <f>257.8-1143.9</f>
        <v>-886.10000000000014</v>
      </c>
      <c r="F26" s="367">
        <f>20-28.1</f>
        <v>-8.1000000000000014</v>
      </c>
      <c r="G26" s="367">
        <f>-700.9+200.2</f>
        <v>-500.7</v>
      </c>
      <c r="H26" s="370">
        <f t="shared" ref="H26:AF26" si="30">(H37-G37)</f>
        <v>0</v>
      </c>
      <c r="I26" s="370">
        <f>(I37-H37)</f>
        <v>-900</v>
      </c>
      <c r="J26" s="370">
        <f>(J37-I37)</f>
        <v>0</v>
      </c>
      <c r="K26" s="370">
        <f>(K37-J37)</f>
        <v>0</v>
      </c>
      <c r="L26" s="370">
        <f>(L37-K37)</f>
        <v>-1150</v>
      </c>
      <c r="M26" s="370">
        <f t="shared" si="30"/>
        <v>-443.59999999999991</v>
      </c>
      <c r="N26" s="370">
        <f t="shared" si="30"/>
        <v>0</v>
      </c>
      <c r="O26" s="370">
        <f t="shared" si="30"/>
        <v>0</v>
      </c>
      <c r="P26" s="370">
        <f t="shared" si="30"/>
        <v>0</v>
      </c>
      <c r="Q26" s="370">
        <f t="shared" si="30"/>
        <v>0</v>
      </c>
      <c r="R26" s="370">
        <f t="shared" si="30"/>
        <v>0</v>
      </c>
      <c r="S26" s="370">
        <f t="shared" si="30"/>
        <v>0</v>
      </c>
      <c r="T26" s="370">
        <f t="shared" si="30"/>
        <v>0</v>
      </c>
      <c r="U26" s="370">
        <f t="shared" si="30"/>
        <v>0</v>
      </c>
      <c r="V26" s="370">
        <f t="shared" si="30"/>
        <v>0</v>
      </c>
      <c r="W26" s="370">
        <f t="shared" si="30"/>
        <v>0</v>
      </c>
      <c r="X26" s="370">
        <f t="shared" si="30"/>
        <v>0</v>
      </c>
      <c r="Y26" s="370">
        <f t="shared" si="30"/>
        <v>0</v>
      </c>
      <c r="Z26" s="370">
        <f t="shared" si="30"/>
        <v>0</v>
      </c>
      <c r="AA26" s="370">
        <f t="shared" si="30"/>
        <v>0</v>
      </c>
      <c r="AB26" s="370">
        <f t="shared" si="30"/>
        <v>0</v>
      </c>
      <c r="AC26" s="370">
        <f t="shared" si="30"/>
        <v>0</v>
      </c>
      <c r="AD26" s="370">
        <f t="shared" si="30"/>
        <v>0</v>
      </c>
      <c r="AE26" s="370">
        <f t="shared" si="30"/>
        <v>0</v>
      </c>
      <c r="AF26" s="370">
        <f t="shared" si="30"/>
        <v>0</v>
      </c>
    </row>
    <row r="27" spans="1:33">
      <c r="A27" s="627"/>
      <c r="B27" s="353">
        <v>21</v>
      </c>
      <c r="C27" s="207" t="s">
        <v>316</v>
      </c>
      <c r="D27" s="367">
        <v>-283.2</v>
      </c>
      <c r="E27" s="367">
        <v>-639.6</v>
      </c>
      <c r="F27" s="367">
        <v>-375.4</v>
      </c>
      <c r="G27" s="367">
        <v>-374</v>
      </c>
      <c r="H27" s="372">
        <f>+H16*$D$55</f>
        <v>-500.64280339098946</v>
      </c>
      <c r="I27" s="372">
        <f>+I16*$D$55</f>
        <v>-557.18282650225672</v>
      </c>
      <c r="J27" s="372">
        <f t="shared" ref="J27:P27" si="31">+J16*$D$55</f>
        <v>-602.38706681296287</v>
      </c>
      <c r="K27" s="372">
        <f t="shared" si="31"/>
        <v>-660.12710486325818</v>
      </c>
      <c r="L27" s="372">
        <f t="shared" si="31"/>
        <v>-718.66784867438332</v>
      </c>
      <c r="M27" s="372">
        <f t="shared" si="31"/>
        <v>-758.9630399188203</v>
      </c>
      <c r="N27" s="372">
        <f t="shared" si="31"/>
        <v>-805.35778329950654</v>
      </c>
      <c r="O27" s="372">
        <f t="shared" si="31"/>
        <v>-856.09294009207099</v>
      </c>
      <c r="P27" s="372">
        <f t="shared" si="31"/>
        <v>-907.80198241439439</v>
      </c>
      <c r="Q27" s="372">
        <f>+Q16*$E$55</f>
        <v>-1028.0608714951109</v>
      </c>
      <c r="R27" s="372">
        <f t="shared" ref="R27" si="32">+R16*$E$55</f>
        <v>-1085.7282130729932</v>
      </c>
      <c r="S27" s="372">
        <f>+S16*($E$55-10%)</f>
        <v>-1393.0815908977777</v>
      </c>
      <c r="T27" s="372">
        <f>+T16*($E$55-10%)</f>
        <v>-1462.4400348466465</v>
      </c>
      <c r="U27" s="372">
        <f>+U16*($E$55-20%)</f>
        <v>-1806.3881247699294</v>
      </c>
      <c r="V27" s="372">
        <f t="shared" ref="V27:X27" si="33">+V16*($E$55-20%)</f>
        <v>-1885.8648187199335</v>
      </c>
      <c r="W27" s="372">
        <f t="shared" si="33"/>
        <v>-1966.1409483721429</v>
      </c>
      <c r="X27" s="372">
        <f t="shared" si="33"/>
        <v>-2047.0447133687242</v>
      </c>
      <c r="Y27" s="372">
        <f>+Y16*($E$55-25%)</f>
        <v>-2289.4579561031424</v>
      </c>
      <c r="Z27" s="372">
        <f t="shared" ref="Z27:AF27" si="34">+Z16*($E$55-25%)</f>
        <v>-2374.1333012921191</v>
      </c>
      <c r="AA27" s="372">
        <f t="shared" si="34"/>
        <v>-2458.7293100164916</v>
      </c>
      <c r="AB27" s="372">
        <f t="shared" si="34"/>
        <v>-2543.0190866313028</v>
      </c>
      <c r="AC27" s="372">
        <f t="shared" si="34"/>
        <v>-2626.7688356518202</v>
      </c>
      <c r="AD27" s="372">
        <f t="shared" si="34"/>
        <v>-2709.7354082325651</v>
      </c>
      <c r="AE27" s="372">
        <f t="shared" si="34"/>
        <v>-2791.6766500980098</v>
      </c>
      <c r="AF27" s="372">
        <f t="shared" si="34"/>
        <v>-2872.3497345349692</v>
      </c>
      <c r="AG27" s="372"/>
    </row>
    <row r="28" spans="1:33">
      <c r="A28" s="627"/>
      <c r="B28" s="353">
        <v>22</v>
      </c>
      <c r="C28" s="209" t="s">
        <v>317</v>
      </c>
      <c r="D28" s="367">
        <v>-147.1</v>
      </c>
      <c r="E28" s="367">
        <v>-223.5</v>
      </c>
      <c r="F28" s="367">
        <v>-276.2</v>
      </c>
      <c r="G28" s="367">
        <v>-302.7</v>
      </c>
      <c r="H28" s="369">
        <f>+$D$58*H16</f>
        <v>-290.53939574300114</v>
      </c>
      <c r="I28" s="369">
        <f>+$D$58*I16</f>
        <v>-323.35142068129579</v>
      </c>
      <c r="J28" s="369">
        <f t="shared" ref="J28:K28" si="35">+$D$58*J16</f>
        <v>-349.58492004638498</v>
      </c>
      <c r="K28" s="369">
        <f t="shared" si="35"/>
        <v>-383.09335290846536</v>
      </c>
      <c r="L28" s="369">
        <f>+$E$58*L16</f>
        <v>-500.47975381931371</v>
      </c>
      <c r="M28" s="369">
        <f t="shared" ref="M28:AF28" si="36">+$E$58*M16</f>
        <v>-528.54129494894244</v>
      </c>
      <c r="N28" s="369">
        <f t="shared" si="36"/>
        <v>-560.85055963708135</v>
      </c>
      <c r="O28" s="369">
        <f t="shared" si="36"/>
        <v>-596.18248498808123</v>
      </c>
      <c r="P28" s="369">
        <f t="shared" si="36"/>
        <v>-632.192623495661</v>
      </c>
      <c r="Q28" s="369">
        <f t="shared" si="36"/>
        <v>-669.3288153769671</v>
      </c>
      <c r="R28" s="369">
        <f t="shared" si="36"/>
        <v>-706.87368698377111</v>
      </c>
      <c r="S28" s="369">
        <f t="shared" si="36"/>
        <v>-745.2458864577992</v>
      </c>
      <c r="T28" s="369">
        <f t="shared" si="36"/>
        <v>-782.35002693437889</v>
      </c>
      <c r="U28" s="369">
        <f t="shared" si="36"/>
        <v>-820.10714153515812</v>
      </c>
      <c r="V28" s="369">
        <f t="shared" si="36"/>
        <v>-856.18986561877898</v>
      </c>
      <c r="W28" s="369">
        <f t="shared" si="36"/>
        <v>-892.63553657942271</v>
      </c>
      <c r="X28" s="369">
        <f t="shared" si="36"/>
        <v>-929.3661563952661</v>
      </c>
      <c r="Y28" s="369">
        <f t="shared" si="36"/>
        <v>-966.30500235298064</v>
      </c>
      <c r="Z28" s="369">
        <f t="shared" si="36"/>
        <v>-1002.0436842597417</v>
      </c>
      <c r="AA28" s="369">
        <f t="shared" si="36"/>
        <v>-1037.7488808507267</v>
      </c>
      <c r="AB28" s="369">
        <f t="shared" si="36"/>
        <v>-1073.3248269269507</v>
      </c>
      <c r="AC28" s="369">
        <f t="shared" si="36"/>
        <v>-1108.6728450936955</v>
      </c>
      <c r="AD28" s="369">
        <f t="shared" si="36"/>
        <v>-1143.6903102098986</v>
      </c>
      <c r="AE28" s="369">
        <f t="shared" si="36"/>
        <v>-1178.2750169098051</v>
      </c>
      <c r="AF28" s="369">
        <f t="shared" si="36"/>
        <v>-1212.3244760138127</v>
      </c>
    </row>
    <row r="29" spans="1:33">
      <c r="A29" s="627"/>
      <c r="B29" s="353">
        <v>23</v>
      </c>
      <c r="C29" s="207" t="s">
        <v>318</v>
      </c>
      <c r="D29" s="367">
        <f>156-0.1+90</f>
        <v>245.9</v>
      </c>
      <c r="E29" s="373">
        <f>62+198.6-1.8+71</f>
        <v>329.8</v>
      </c>
      <c r="F29" s="373">
        <f>-0.9+67+146.1+67.5</f>
        <v>279.7</v>
      </c>
      <c r="G29" s="364">
        <f>48.4-3.3+128</f>
        <v>173.1</v>
      </c>
      <c r="H29" s="363">
        <f>(1+H5)*AVERAGE(D29:G29)</f>
        <v>277.70791087292389</v>
      </c>
      <c r="I29" s="363">
        <f t="shared" ref="I29:AF29" si="37">(1+I5)*AVERAGE(E29:H29)</f>
        <v>286.09038140562461</v>
      </c>
      <c r="J29" s="363">
        <f>(1+J5)*AVERAGE(F29:I29)</f>
        <v>268.63609873460643</v>
      </c>
      <c r="K29" s="363">
        <f>(1+K5)*AVERAGE(G29:J29)</f>
        <v>265.71246282522617</v>
      </c>
      <c r="L29" s="363">
        <f t="shared" si="37"/>
        <v>290.18530612679217</v>
      </c>
      <c r="M29" s="363">
        <f>(1+M5)*AVERAGE(I29:L29)</f>
        <v>293.48245782262694</v>
      </c>
      <c r="N29" s="363">
        <f t="shared" si="37"/>
        <v>294.96507029981592</v>
      </c>
      <c r="O29" s="363">
        <f t="shared" si="37"/>
        <v>301.42958555438997</v>
      </c>
      <c r="P29" s="363">
        <f t="shared" si="37"/>
        <v>310.34088927125072</v>
      </c>
      <c r="Q29" s="363">
        <f t="shared" si="37"/>
        <v>315.13618748459226</v>
      </c>
      <c r="R29" s="363">
        <f t="shared" si="37"/>
        <v>320.30724379986844</v>
      </c>
      <c r="S29" s="363">
        <f t="shared" si="37"/>
        <v>326.42541850573718</v>
      </c>
      <c r="T29" s="363">
        <f t="shared" si="37"/>
        <v>332.43175273712251</v>
      </c>
      <c r="U29" s="363">
        <f t="shared" si="37"/>
        <v>337.65918481985767</v>
      </c>
      <c r="V29" s="363">
        <f t="shared" si="37"/>
        <v>342.98056788526162</v>
      </c>
      <c r="W29" s="363">
        <f t="shared" si="37"/>
        <v>348.32207510505151</v>
      </c>
      <c r="X29" s="363">
        <f t="shared" si="37"/>
        <v>353.44285181287694</v>
      </c>
      <c r="Y29" s="363">
        <f t="shared" si="37"/>
        <v>358.31565505124235</v>
      </c>
      <c r="Z29" s="363">
        <f t="shared" si="37"/>
        <v>363.07899518667267</v>
      </c>
      <c r="AA29" s="363">
        <f t="shared" si="37"/>
        <v>367.68076707177619</v>
      </c>
      <c r="AB29" s="363">
        <f t="shared" si="37"/>
        <v>372.07481091591723</v>
      </c>
      <c r="AC29" s="363">
        <f t="shared" si="37"/>
        <v>376.26540942899186</v>
      </c>
      <c r="AD29" s="363">
        <f t="shared" si="37"/>
        <v>380.26492842219756</v>
      </c>
      <c r="AE29" s="363">
        <f t="shared" si="37"/>
        <v>384.05328105617224</v>
      </c>
      <c r="AF29" s="363">
        <f t="shared" si="37"/>
        <v>387.61872264221518</v>
      </c>
    </row>
    <row r="30" spans="1:33">
      <c r="A30" s="628"/>
      <c r="B30" s="390">
        <v>24</v>
      </c>
      <c r="C30" s="391" t="s">
        <v>319</v>
      </c>
      <c r="D30" s="392">
        <f>SUM(D25:D29)</f>
        <v>-621.90000000000009</v>
      </c>
      <c r="E30" s="392">
        <f>SUM(E25:E29)</f>
        <v>-1521.4000000000003</v>
      </c>
      <c r="F30" s="392">
        <f>SUM(F25:F29)</f>
        <v>-469.39999999999992</v>
      </c>
      <c r="G30" s="392">
        <f t="shared" ref="G30:AF30" si="38">SUM(G25:G29)</f>
        <v>-1084</v>
      </c>
      <c r="H30" s="392">
        <f t="shared" si="38"/>
        <v>-613.02791659246873</v>
      </c>
      <c r="I30" s="392">
        <f t="shared" si="38"/>
        <v>-1594.4529639005752</v>
      </c>
      <c r="J30" s="392">
        <f t="shared" si="38"/>
        <v>-780.75501359022394</v>
      </c>
      <c r="K30" s="392">
        <f>SUM(K25:K29)</f>
        <v>-877.04617431623387</v>
      </c>
      <c r="L30" s="392">
        <f t="shared" si="38"/>
        <v>-2183.7427146350942</v>
      </c>
      <c r="M30" s="392">
        <f t="shared" si="38"/>
        <v>-1543.7834745541206</v>
      </c>
      <c r="N30" s="392">
        <f t="shared" si="38"/>
        <v>-1178.8589210262335</v>
      </c>
      <c r="O30" s="392">
        <f t="shared" si="38"/>
        <v>-1260.9755854699024</v>
      </c>
      <c r="P30" s="392">
        <f t="shared" si="38"/>
        <v>-1342.3928648741214</v>
      </c>
      <c r="Q30" s="392">
        <f t="shared" si="38"/>
        <v>-1496.9018378776775</v>
      </c>
      <c r="R30" s="392">
        <f t="shared" si="38"/>
        <v>-1588.9838982219044</v>
      </c>
      <c r="S30" s="392">
        <f t="shared" si="38"/>
        <v>-1930.7786507834971</v>
      </c>
      <c r="T30" s="392">
        <f t="shared" si="38"/>
        <v>-2033.3292300212122</v>
      </c>
      <c r="U30" s="392">
        <f t="shared" si="38"/>
        <v>-2411.7595926190584</v>
      </c>
      <c r="V30" s="392">
        <f t="shared" si="38"/>
        <v>-2523.9545896858726</v>
      </c>
      <c r="W30" s="392">
        <f t="shared" si="38"/>
        <v>-2637.263048539799</v>
      </c>
      <c r="X30" s="392">
        <f t="shared" si="38"/>
        <v>-2751.6306351536259</v>
      </c>
      <c r="Y30" s="392">
        <f t="shared" si="38"/>
        <v>-3027.8949212722764</v>
      </c>
      <c r="Z30" s="392">
        <f t="shared" si="38"/>
        <v>-3145.280763488382</v>
      </c>
      <c r="AA30" s="392">
        <f t="shared" si="38"/>
        <v>-3262.6517111193134</v>
      </c>
      <c r="AB30" s="392">
        <f t="shared" si="38"/>
        <v>-3379.722555721537</v>
      </c>
      <c r="AC30" s="392">
        <f t="shared" si="38"/>
        <v>-3496.1573393363315</v>
      </c>
      <c r="AD30" s="392">
        <f t="shared" si="38"/>
        <v>-3611.5975825443284</v>
      </c>
      <c r="AE30" s="392">
        <f t="shared" si="38"/>
        <v>-3725.7136793420636</v>
      </c>
      <c r="AF30" s="392">
        <f t="shared" si="38"/>
        <v>-3838.1689309537742</v>
      </c>
    </row>
    <row r="31" spans="1:33">
      <c r="C31" s="204"/>
      <c r="D31" s="205"/>
      <c r="E31" s="205"/>
      <c r="F31" s="205"/>
      <c r="G31" s="205"/>
      <c r="H31" s="206"/>
      <c r="I31" s="206"/>
      <c r="J31" s="206"/>
      <c r="K31" s="206"/>
      <c r="L31" s="206"/>
      <c r="M31" s="206"/>
      <c r="N31" s="206"/>
      <c r="O31" s="206"/>
      <c r="P31" s="206"/>
      <c r="Q31" s="206"/>
      <c r="R31" s="206"/>
      <c r="S31" s="206"/>
      <c r="T31" s="206"/>
      <c r="U31" s="206"/>
      <c r="V31" s="206"/>
      <c r="W31" s="206"/>
      <c r="X31" s="206"/>
      <c r="Y31" s="206"/>
      <c r="Z31" s="206"/>
      <c r="AA31" s="206"/>
      <c r="AB31" s="206"/>
      <c r="AC31" s="206"/>
      <c r="AD31" s="206"/>
      <c r="AE31" s="206"/>
      <c r="AF31" s="206"/>
    </row>
    <row r="32" spans="1:33">
      <c r="A32" s="622" t="s">
        <v>320</v>
      </c>
      <c r="B32" s="194">
        <v>25</v>
      </c>
      <c r="C32" s="210" t="s">
        <v>321</v>
      </c>
      <c r="D32" s="378">
        <f>D21+D24+D25+D26+D29</f>
        <v>1261.3000000000002</v>
      </c>
      <c r="E32" s="378">
        <f>E21+E24+E25+E26+E29</f>
        <v>651.69999999999982</v>
      </c>
      <c r="F32" s="378">
        <f>F21+F24+F25+F26+F29</f>
        <v>1584.7</v>
      </c>
      <c r="G32" s="378">
        <f>G21+G24+G25+G26+G29</f>
        <v>1058.5999999999997</v>
      </c>
      <c r="H32" s="379">
        <f t="shared" ref="H32:AF32" si="39">H21+H24+H25+H26+H29</f>
        <v>1516.0657758023076</v>
      </c>
      <c r="I32" s="379">
        <f>I21+I24+I25+I26+I29</f>
        <v>742.40780093725698</v>
      </c>
      <c r="J32" s="379">
        <f t="shared" si="39"/>
        <v>1835.1533237489639</v>
      </c>
      <c r="K32" s="379">
        <f>K21+K24+K25+K26+K29</f>
        <v>1961.7693742227796</v>
      </c>
      <c r="L32" s="379">
        <f t="shared" si="39"/>
        <v>960.59676880051268</v>
      </c>
      <c r="M32" s="379">
        <f t="shared" si="39"/>
        <v>1766.4393674867877</v>
      </c>
      <c r="N32" s="379">
        <f t="shared" si="39"/>
        <v>2333.4086603737187</v>
      </c>
      <c r="O32" s="379">
        <f t="shared" si="39"/>
        <v>2472.3986603289868</v>
      </c>
      <c r="P32" s="379">
        <f t="shared" si="39"/>
        <v>2618.9321522051177</v>
      </c>
      <c r="Q32" s="379">
        <f t="shared" si="39"/>
        <v>2770.1799987074555</v>
      </c>
      <c r="R32" s="379">
        <f t="shared" si="39"/>
        <v>2925.4965079348358</v>
      </c>
      <c r="S32" s="379">
        <f t="shared" si="39"/>
        <v>3086.8718608417057</v>
      </c>
      <c r="T32" s="379">
        <f t="shared" si="39"/>
        <v>3246.7694580324146</v>
      </c>
      <c r="U32" s="379">
        <f t="shared" si="39"/>
        <v>3410.9572945078221</v>
      </c>
      <c r="V32" s="379">
        <f t="shared" si="39"/>
        <v>3571.9963722663811</v>
      </c>
      <c r="W32" s="379">
        <f t="shared" si="39"/>
        <v>3736.6150330140686</v>
      </c>
      <c r="X32" s="379">
        <f t="shared" si="39"/>
        <v>3904.3127510583795</v>
      </c>
      <c r="Y32" s="379">
        <f t="shared" si="39"/>
        <v>4074.6691013747818</v>
      </c>
      <c r="Z32" s="379">
        <f t="shared" si="39"/>
        <v>4242.9421465969308</v>
      </c>
      <c r="AA32" s="379">
        <f t="shared" si="39"/>
        <v>4412.8745266974393</v>
      </c>
      <c r="AB32" s="379">
        <f t="shared" si="39"/>
        <v>4583.9762077528158</v>
      </c>
      <c r="AC32" s="379">
        <f t="shared" si="39"/>
        <v>4755.7632575363614</v>
      </c>
      <c r="AD32" s="379">
        <f t="shared" si="39"/>
        <v>4927.739455374357</v>
      </c>
      <c r="AE32" s="379">
        <f t="shared" si="39"/>
        <v>5099.3815191733884</v>
      </c>
      <c r="AF32" s="379">
        <f t="shared" si="39"/>
        <v>5270.1556060658249</v>
      </c>
    </row>
    <row r="33" spans="1:32">
      <c r="A33" s="623"/>
      <c r="B33" s="194">
        <v>26</v>
      </c>
      <c r="C33" s="210" t="s">
        <v>322</v>
      </c>
      <c r="D33" s="378">
        <f>-1*(D27+D28)</f>
        <v>430.29999999999995</v>
      </c>
      <c r="E33" s="378">
        <f>-1*(E27+E28)</f>
        <v>863.1</v>
      </c>
      <c r="F33" s="378">
        <f>-1*(F27+F28)</f>
        <v>651.59999999999991</v>
      </c>
      <c r="G33" s="378">
        <f>-1*(G27+G28)</f>
        <v>676.7</v>
      </c>
      <c r="H33" s="380">
        <f t="shared" ref="H33:AE33" si="40">-1*(H27+H28)</f>
        <v>791.18219913399059</v>
      </c>
      <c r="I33" s="380">
        <f t="shared" si="40"/>
        <v>880.53424718355245</v>
      </c>
      <c r="J33" s="380">
        <f t="shared" si="40"/>
        <v>951.97198685934791</v>
      </c>
      <c r="K33" s="380">
        <f>-1*(K27+K28)</f>
        <v>1043.2204577717234</v>
      </c>
      <c r="L33" s="380">
        <f t="shared" si="40"/>
        <v>1219.1476024936969</v>
      </c>
      <c r="M33" s="380">
        <f>-1*(M27+M28)</f>
        <v>1287.5043348677627</v>
      </c>
      <c r="N33" s="380">
        <f t="shared" si="40"/>
        <v>1366.208342936588</v>
      </c>
      <c r="O33" s="380">
        <f t="shared" si="40"/>
        <v>1452.2754250801522</v>
      </c>
      <c r="P33" s="380">
        <f t="shared" si="40"/>
        <v>1539.9946059100553</v>
      </c>
      <c r="Q33" s="380">
        <f t="shared" si="40"/>
        <v>1697.3896868720781</v>
      </c>
      <c r="R33" s="380">
        <f t="shared" si="40"/>
        <v>1792.6019000567644</v>
      </c>
      <c r="S33" s="380">
        <f t="shared" si="40"/>
        <v>2138.3274773555768</v>
      </c>
      <c r="T33" s="380">
        <f t="shared" si="40"/>
        <v>2244.7900617810255</v>
      </c>
      <c r="U33" s="380">
        <f t="shared" si="40"/>
        <v>2626.4952663050876</v>
      </c>
      <c r="V33" s="380">
        <f t="shared" si="40"/>
        <v>2742.0546843387124</v>
      </c>
      <c r="W33" s="380">
        <f t="shared" si="40"/>
        <v>2858.7764849515656</v>
      </c>
      <c r="X33" s="380">
        <f t="shared" si="40"/>
        <v>2976.4108697639904</v>
      </c>
      <c r="Y33" s="380">
        <f t="shared" si="40"/>
        <v>3255.7629584561228</v>
      </c>
      <c r="Z33" s="380">
        <f t="shared" si="40"/>
        <v>3376.1769855518605</v>
      </c>
      <c r="AA33" s="380">
        <f t="shared" si="40"/>
        <v>3496.4781908672185</v>
      </c>
      <c r="AB33" s="380">
        <f t="shared" si="40"/>
        <v>3616.3439135582535</v>
      </c>
      <c r="AC33" s="380">
        <f t="shared" si="40"/>
        <v>3735.4416807455154</v>
      </c>
      <c r="AD33" s="380">
        <f t="shared" si="40"/>
        <v>3853.4257184424637</v>
      </c>
      <c r="AE33" s="380">
        <f t="shared" si="40"/>
        <v>3969.9516670078146</v>
      </c>
      <c r="AF33" s="380">
        <f>-1*(AF27+AF28)</f>
        <v>4084.674210548782</v>
      </c>
    </row>
    <row r="34" spans="1:32">
      <c r="A34" s="624"/>
      <c r="B34" s="194">
        <v>27</v>
      </c>
      <c r="C34" s="210" t="s">
        <v>323</v>
      </c>
      <c r="D34" s="381">
        <f>D32-D33</f>
        <v>831.00000000000023</v>
      </c>
      <c r="E34" s="364">
        <f>E32-E33</f>
        <v>-211.4000000000002</v>
      </c>
      <c r="F34" s="364">
        <f>F32-F33</f>
        <v>933.10000000000014</v>
      </c>
      <c r="G34" s="364">
        <f>G32-G33</f>
        <v>381.89999999999964</v>
      </c>
      <c r="H34" s="382">
        <f t="shared" ref="H34:AF34" si="41">H32-H33</f>
        <v>724.883576668317</v>
      </c>
      <c r="I34" s="382">
        <f t="shared" si="41"/>
        <v>-138.12644624629547</v>
      </c>
      <c r="J34" s="382">
        <f t="shared" si="41"/>
        <v>883.18133688961598</v>
      </c>
      <c r="K34" s="382">
        <f t="shared" si="41"/>
        <v>918.54891645105613</v>
      </c>
      <c r="L34" s="382">
        <f t="shared" si="41"/>
        <v>-258.55083369318425</v>
      </c>
      <c r="M34" s="382">
        <f>M32-M33</f>
        <v>478.93503261902492</v>
      </c>
      <c r="N34" s="382">
        <f t="shared" si="41"/>
        <v>967.20031743713071</v>
      </c>
      <c r="O34" s="382">
        <f t="shared" si="41"/>
        <v>1020.1232352488346</v>
      </c>
      <c r="P34" s="382">
        <f t="shared" si="41"/>
        <v>1078.9375462950625</v>
      </c>
      <c r="Q34" s="382">
        <f t="shared" si="41"/>
        <v>1072.7903118353775</v>
      </c>
      <c r="R34" s="382">
        <f t="shared" si="41"/>
        <v>1132.8946078780714</v>
      </c>
      <c r="S34" s="382">
        <f t="shared" si="41"/>
        <v>948.54438348612894</v>
      </c>
      <c r="T34" s="382">
        <f t="shared" si="41"/>
        <v>1001.9793962513891</v>
      </c>
      <c r="U34" s="382">
        <f t="shared" si="41"/>
        <v>784.46202820273447</v>
      </c>
      <c r="V34" s="382">
        <f t="shared" si="41"/>
        <v>829.94168792766868</v>
      </c>
      <c r="W34" s="382">
        <f t="shared" si="41"/>
        <v>877.83854806250292</v>
      </c>
      <c r="X34" s="382">
        <f t="shared" si="41"/>
        <v>927.90188129438911</v>
      </c>
      <c r="Y34" s="382">
        <f t="shared" si="41"/>
        <v>818.90614291865904</v>
      </c>
      <c r="Z34" s="382">
        <f t="shared" si="41"/>
        <v>866.76516104507027</v>
      </c>
      <c r="AA34" s="382">
        <f t="shared" si="41"/>
        <v>916.39633583022078</v>
      </c>
      <c r="AB34" s="382">
        <f t="shared" si="41"/>
        <v>967.63229419456229</v>
      </c>
      <c r="AC34" s="382">
        <f t="shared" si="41"/>
        <v>1020.3215767908459</v>
      </c>
      <c r="AD34" s="382">
        <f t="shared" si="41"/>
        <v>1074.3137369318933</v>
      </c>
      <c r="AE34" s="382">
        <f t="shared" si="41"/>
        <v>1129.4298521655737</v>
      </c>
      <c r="AF34" s="382">
        <f t="shared" si="41"/>
        <v>1185.481395517043</v>
      </c>
    </row>
    <row r="35" spans="1:32">
      <c r="D35" s="199"/>
    </row>
    <row r="36" spans="1:32">
      <c r="A36" s="625" t="s">
        <v>324</v>
      </c>
      <c r="B36" s="211">
        <v>28</v>
      </c>
      <c r="C36" s="210" t="s">
        <v>325</v>
      </c>
      <c r="D36" s="370">
        <f>+Cifras_Originales!E22</f>
        <v>2979.5</v>
      </c>
      <c r="E36" s="370">
        <f t="shared" ref="E36" si="42">D36+E34</f>
        <v>2768.1</v>
      </c>
      <c r="F36" s="370">
        <f t="shared" ref="F36" si="43">E36+F34</f>
        <v>3701.2</v>
      </c>
      <c r="G36" s="370">
        <f>F36+G34</f>
        <v>4083.0999999999995</v>
      </c>
      <c r="H36" s="370">
        <f t="shared" ref="H36:AE36" si="44">G36+H34</f>
        <v>4807.9835766683163</v>
      </c>
      <c r="I36" s="370">
        <f t="shared" si="44"/>
        <v>4669.8571304220204</v>
      </c>
      <c r="J36" s="370">
        <f t="shared" si="44"/>
        <v>5553.0384673116369</v>
      </c>
      <c r="K36" s="370">
        <f t="shared" si="44"/>
        <v>6471.5873837626932</v>
      </c>
      <c r="L36" s="370">
        <f t="shared" si="44"/>
        <v>6213.0365500695088</v>
      </c>
      <c r="M36" s="370">
        <f>L36+M34</f>
        <v>6691.971582688534</v>
      </c>
      <c r="N36" s="370">
        <f t="shared" si="44"/>
        <v>7659.1719001256643</v>
      </c>
      <c r="O36" s="370">
        <f t="shared" si="44"/>
        <v>8679.2951353744993</v>
      </c>
      <c r="P36" s="370">
        <f t="shared" si="44"/>
        <v>9758.2326816695622</v>
      </c>
      <c r="Q36" s="370">
        <f t="shared" si="44"/>
        <v>10831.022993504939</v>
      </c>
      <c r="R36" s="370">
        <f t="shared" si="44"/>
        <v>11963.917601383011</v>
      </c>
      <c r="S36" s="370">
        <f t="shared" si="44"/>
        <v>12912.46198486914</v>
      </c>
      <c r="T36" s="370">
        <f t="shared" si="44"/>
        <v>13914.441381120529</v>
      </c>
      <c r="U36" s="370">
        <f t="shared" si="44"/>
        <v>14698.903409323262</v>
      </c>
      <c r="V36" s="370">
        <f t="shared" si="44"/>
        <v>15528.845097250931</v>
      </c>
      <c r="W36" s="370">
        <f t="shared" si="44"/>
        <v>16406.683645313435</v>
      </c>
      <c r="X36" s="370">
        <f t="shared" si="44"/>
        <v>17334.585526607825</v>
      </c>
      <c r="Y36" s="370">
        <f t="shared" si="44"/>
        <v>18153.491669526484</v>
      </c>
      <c r="Z36" s="370">
        <f t="shared" si="44"/>
        <v>19020.256830571554</v>
      </c>
      <c r="AA36" s="370">
        <f t="shared" si="44"/>
        <v>19936.653166401775</v>
      </c>
      <c r="AB36" s="370">
        <f t="shared" si="44"/>
        <v>20904.285460596337</v>
      </c>
      <c r="AC36" s="370">
        <f t="shared" si="44"/>
        <v>21924.607037387184</v>
      </c>
      <c r="AD36" s="370">
        <f t="shared" si="44"/>
        <v>22998.920774319078</v>
      </c>
      <c r="AE36" s="370">
        <f t="shared" si="44"/>
        <v>24128.350626484651</v>
      </c>
      <c r="AF36" s="370">
        <f>AE36+AF34</f>
        <v>25313.832022001694</v>
      </c>
    </row>
    <row r="37" spans="1:32">
      <c r="A37" s="625"/>
      <c r="B37" s="212">
        <v>29</v>
      </c>
      <c r="C37" s="210" t="s">
        <v>326</v>
      </c>
      <c r="D37" s="370">
        <f>Cifras_en_Millones!F60</f>
        <v>4470.7</v>
      </c>
      <c r="E37" s="370">
        <f>Cifras_en_Millones!E60</f>
        <v>3576.7000000000003</v>
      </c>
      <c r="F37" s="370">
        <f>Cifras_en_Millones!D60</f>
        <v>3600.8999999999996</v>
      </c>
      <c r="G37" s="370">
        <f>Cifras_en_Millones!C60</f>
        <v>2493.6</v>
      </c>
      <c r="H37" s="370">
        <f>+G37</f>
        <v>2493.6</v>
      </c>
      <c r="I37" s="370">
        <f>+H37-900</f>
        <v>1593.6</v>
      </c>
      <c r="J37" s="370">
        <f>+I37</f>
        <v>1593.6</v>
      </c>
      <c r="K37" s="370">
        <f>+J37</f>
        <v>1593.6</v>
      </c>
      <c r="L37" s="370">
        <f>+K37-1150</f>
        <v>443.59999999999991</v>
      </c>
      <c r="M37" s="370">
        <f>L352</f>
        <v>0</v>
      </c>
      <c r="N37" s="370">
        <f t="shared" ref="N37:AF37" si="45">M37</f>
        <v>0</v>
      </c>
      <c r="O37" s="370">
        <f t="shared" si="45"/>
        <v>0</v>
      </c>
      <c r="P37" s="370">
        <f>O37</f>
        <v>0</v>
      </c>
      <c r="Q37" s="370">
        <f t="shared" si="45"/>
        <v>0</v>
      </c>
      <c r="R37" s="370">
        <f t="shared" si="45"/>
        <v>0</v>
      </c>
      <c r="S37" s="370">
        <f t="shared" si="45"/>
        <v>0</v>
      </c>
      <c r="T37" s="370">
        <f t="shared" si="45"/>
        <v>0</v>
      </c>
      <c r="U37" s="370">
        <f t="shared" si="45"/>
        <v>0</v>
      </c>
      <c r="V37" s="370">
        <f t="shared" si="45"/>
        <v>0</v>
      </c>
      <c r="W37" s="370">
        <f t="shared" si="45"/>
        <v>0</v>
      </c>
      <c r="X37" s="370">
        <f t="shared" si="45"/>
        <v>0</v>
      </c>
      <c r="Y37" s="370">
        <f t="shared" si="45"/>
        <v>0</v>
      </c>
      <c r="Z37" s="370">
        <f t="shared" si="45"/>
        <v>0</v>
      </c>
      <c r="AA37" s="370">
        <f t="shared" si="45"/>
        <v>0</v>
      </c>
      <c r="AB37" s="370">
        <f t="shared" si="45"/>
        <v>0</v>
      </c>
      <c r="AC37" s="370">
        <f t="shared" si="45"/>
        <v>0</v>
      </c>
      <c r="AD37" s="370">
        <f t="shared" si="45"/>
        <v>0</v>
      </c>
      <c r="AE37" s="370">
        <f t="shared" si="45"/>
        <v>0</v>
      </c>
      <c r="AF37" s="370">
        <f t="shared" si="45"/>
        <v>0</v>
      </c>
    </row>
    <row r="38" spans="1:32">
      <c r="A38" s="625"/>
      <c r="B38" s="214">
        <v>30</v>
      </c>
      <c r="C38" s="210" t="s">
        <v>327</v>
      </c>
      <c r="D38" s="213"/>
      <c r="E38" s="213"/>
      <c r="F38" s="198"/>
      <c r="G38" s="215">
        <f t="shared" ref="G38:AF38" si="46">1/((1+$D$47)^G3)</f>
        <v>1</v>
      </c>
      <c r="H38" s="215">
        <f>1/((1+$D$47)^H3)</f>
        <v>0.98094365212757062</v>
      </c>
      <c r="I38" s="215">
        <f t="shared" si="46"/>
        <v>0.90828115937738008</v>
      </c>
      <c r="J38" s="215">
        <f t="shared" si="46"/>
        <v>0.84100107349757414</v>
      </c>
      <c r="K38" s="215">
        <f t="shared" si="46"/>
        <v>0.77870469768293904</v>
      </c>
      <c r="L38" s="215">
        <f t="shared" si="46"/>
        <v>0.72102286822494344</v>
      </c>
      <c r="M38" s="215">
        <f t="shared" si="46"/>
        <v>0.66761376687494756</v>
      </c>
      <c r="N38" s="215">
        <f t="shared" si="46"/>
        <v>0.61816089525458096</v>
      </c>
      <c r="O38" s="215">
        <f t="shared" si="46"/>
        <v>0.57237119930979719</v>
      </c>
      <c r="P38" s="215">
        <f t="shared" si="46"/>
        <v>0.52997333269425662</v>
      </c>
      <c r="Q38" s="215">
        <f t="shared" si="46"/>
        <v>0.49071604879097835</v>
      </c>
      <c r="R38" s="215">
        <f t="shared" si="46"/>
        <v>0.45436671184349842</v>
      </c>
      <c r="S38" s="215">
        <f t="shared" si="46"/>
        <v>0.42070991837360966</v>
      </c>
      <c r="T38" s="215">
        <f t="shared" si="46"/>
        <v>0.38954622071630518</v>
      </c>
      <c r="U38" s="215">
        <f t="shared" si="46"/>
        <v>0.3606909451076899</v>
      </c>
      <c r="V38" s="215">
        <f t="shared" si="46"/>
        <v>0.33397309732193509</v>
      </c>
      <c r="W38" s="215">
        <f t="shared" si="46"/>
        <v>0.30923434937216215</v>
      </c>
      <c r="X38" s="215">
        <f t="shared" si="46"/>
        <v>0.2863281012705205</v>
      </c>
      <c r="Y38" s="215">
        <f t="shared" si="46"/>
        <v>0.26511861228751893</v>
      </c>
      <c r="Z38" s="215">
        <f t="shared" si="46"/>
        <v>0.24548019656251752</v>
      </c>
      <c r="AA38" s="215">
        <f t="shared" si="46"/>
        <v>0.22729647829862734</v>
      </c>
      <c r="AB38" s="215">
        <f t="shared" si="46"/>
        <v>0.21045970212835866</v>
      </c>
      <c r="AC38" s="215">
        <f t="shared" si="46"/>
        <v>0.19487009456329496</v>
      </c>
      <c r="AD38" s="215">
        <f t="shared" si="46"/>
        <v>0.18043527274379165</v>
      </c>
      <c r="AE38" s="215">
        <f t="shared" si="46"/>
        <v>0.16706969698499227</v>
      </c>
      <c r="AF38" s="215">
        <f t="shared" si="46"/>
        <v>0.15469416387499282</v>
      </c>
    </row>
    <row r="39" spans="1:32">
      <c r="A39" s="216"/>
      <c r="B39" s="216"/>
      <c r="C39" s="216"/>
      <c r="D39" s="217"/>
      <c r="E39" s="217"/>
      <c r="F39" s="255">
        <f>1/((1+$D$48+0.001)^F$3)</f>
        <v>0.99996909883056329</v>
      </c>
      <c r="G39" s="255">
        <f t="shared" ref="G39:AE39" si="47">1/((1+$D$47+0.001)^G$3)</f>
        <v>1</v>
      </c>
      <c r="H39" s="255">
        <f t="shared" si="47"/>
        <v>0.98071671315295805</v>
      </c>
      <c r="I39" s="255">
        <f t="shared" si="47"/>
        <v>0.90723100199163564</v>
      </c>
      <c r="J39" s="255">
        <f t="shared" si="47"/>
        <v>0.83925162071381665</v>
      </c>
      <c r="K39" s="255">
        <f t="shared" si="47"/>
        <v>0.77636597660852602</v>
      </c>
      <c r="L39" s="255">
        <f t="shared" si="47"/>
        <v>0.71819239279234603</v>
      </c>
      <c r="M39" s="255">
        <f t="shared" si="47"/>
        <v>0.66437779166729505</v>
      </c>
      <c r="N39" s="255">
        <f t="shared" si="47"/>
        <v>0.6145955519586449</v>
      </c>
      <c r="O39" s="255">
        <f t="shared" si="47"/>
        <v>0.56854352632622107</v>
      </c>
      <c r="P39" s="255">
        <f t="shared" si="47"/>
        <v>0.52594220751731824</v>
      </c>
      <c r="Q39" s="255">
        <f t="shared" si="47"/>
        <v>0.48653303193091424</v>
      </c>
      <c r="R39" s="255">
        <f t="shared" si="47"/>
        <v>0.45007681029686797</v>
      </c>
      <c r="S39" s="255">
        <f t="shared" si="47"/>
        <v>0.41635227594529878</v>
      </c>
      <c r="T39" s="255">
        <f t="shared" si="47"/>
        <v>0.38515474185504051</v>
      </c>
      <c r="U39" s="255">
        <f t="shared" si="47"/>
        <v>0.35629485833028723</v>
      </c>
      <c r="V39" s="255">
        <f t="shared" si="47"/>
        <v>0.32959746376529808</v>
      </c>
      <c r="W39" s="255">
        <f t="shared" si="47"/>
        <v>0.30490052152201491</v>
      </c>
      <c r="X39" s="255">
        <f t="shared" si="47"/>
        <v>0.2820541364680989</v>
      </c>
      <c r="Y39" s="255">
        <f t="shared" si="47"/>
        <v>0.260919645206382</v>
      </c>
      <c r="Z39" s="255">
        <f t="shared" si="47"/>
        <v>0.24136877447398888</v>
      </c>
      <c r="AA39" s="255">
        <f t="shared" si="47"/>
        <v>0.22328286260313493</v>
      </c>
      <c r="AB39" s="255">
        <f t="shared" si="47"/>
        <v>0.20655213931834873</v>
      </c>
      <c r="AC39" s="255">
        <f t="shared" si="47"/>
        <v>0.191075059498935</v>
      </c>
      <c r="AD39" s="255">
        <f t="shared" si="47"/>
        <v>0.17675768686302959</v>
      </c>
      <c r="AE39" s="255">
        <f t="shared" si="47"/>
        <v>0.16351312383258981</v>
      </c>
      <c r="AF39" s="216"/>
    </row>
    <row r="40" spans="1:32">
      <c r="A40" s="216"/>
      <c r="B40" s="216"/>
      <c r="C40" s="216"/>
      <c r="D40" s="217"/>
      <c r="E40" s="217"/>
      <c r="F40" s="255">
        <f>1/((1+$D$48+0.005)^F$3)</f>
        <v>0.99984581159285657</v>
      </c>
      <c r="G40" s="255">
        <f t="shared" ref="G40:AE40" si="48">1/((1+$D$47+0.005)^G$3)</f>
        <v>1</v>
      </c>
      <c r="H40" s="255">
        <f t="shared" si="48"/>
        <v>0.97981157447472456</v>
      </c>
      <c r="I40" s="255">
        <f t="shared" si="48"/>
        <v>0.90305214237301801</v>
      </c>
      <c r="J40" s="255">
        <f t="shared" si="48"/>
        <v>0.83230612200278153</v>
      </c>
      <c r="K40" s="255">
        <f t="shared" si="48"/>
        <v>0.76710241659242551</v>
      </c>
      <c r="L40" s="255">
        <f t="shared" si="48"/>
        <v>0.70700683556905575</v>
      </c>
      <c r="M40" s="255">
        <f t="shared" si="48"/>
        <v>0.65161920328945233</v>
      </c>
      <c r="N40" s="255">
        <f t="shared" si="48"/>
        <v>0.60057069427599297</v>
      </c>
      <c r="O40" s="255">
        <f t="shared" si="48"/>
        <v>0.55352137721289674</v>
      </c>
      <c r="P40" s="255">
        <f t="shared" si="48"/>
        <v>0.51015795134829189</v>
      </c>
      <c r="Q40" s="255">
        <f t="shared" si="48"/>
        <v>0.47019166022884046</v>
      </c>
      <c r="R40" s="255">
        <f t="shared" si="48"/>
        <v>0.4333563688745074</v>
      </c>
      <c r="S40" s="255">
        <f t="shared" si="48"/>
        <v>0.39940679158940778</v>
      </c>
      <c r="T40" s="255">
        <f t="shared" si="48"/>
        <v>0.36811685860774906</v>
      </c>
      <c r="U40" s="255">
        <f t="shared" si="48"/>
        <v>0.33927821069838626</v>
      </c>
      <c r="V40" s="255">
        <f t="shared" si="48"/>
        <v>0.31269881170358188</v>
      </c>
      <c r="W40" s="255">
        <f t="shared" si="48"/>
        <v>0.28820166977288647</v>
      </c>
      <c r="X40" s="255">
        <f t="shared" si="48"/>
        <v>0.2656236587768539</v>
      </c>
      <c r="Y40" s="255">
        <f t="shared" si="48"/>
        <v>0.24481443205239989</v>
      </c>
      <c r="Z40" s="255">
        <f t="shared" si="48"/>
        <v>0.22563542124645153</v>
      </c>
      <c r="AA40" s="255">
        <f t="shared" si="48"/>
        <v>0.20795891359119956</v>
      </c>
      <c r="AB40" s="255">
        <f t="shared" si="48"/>
        <v>0.1916672014665434</v>
      </c>
      <c r="AC40" s="255">
        <f t="shared" si="48"/>
        <v>0.17665179858667593</v>
      </c>
      <c r="AD40" s="255">
        <f t="shared" si="48"/>
        <v>0.16281271759140642</v>
      </c>
      <c r="AE40" s="255">
        <f t="shared" si="48"/>
        <v>0.150057804231711</v>
      </c>
      <c r="AF40" s="216"/>
    </row>
    <row r="41" spans="1:32">
      <c r="A41" s="216"/>
      <c r="B41" s="216"/>
      <c r="C41" s="216"/>
      <c r="D41" s="217"/>
      <c r="E41" s="217"/>
      <c r="F41" s="256"/>
      <c r="G41" s="256"/>
      <c r="H41" s="256"/>
      <c r="I41" s="257"/>
      <c r="J41" s="258"/>
      <c r="K41" s="258"/>
      <c r="L41" s="258"/>
      <c r="M41" s="258"/>
      <c r="N41" s="258"/>
      <c r="O41" s="258"/>
      <c r="P41" s="258"/>
      <c r="Q41" s="258"/>
      <c r="R41" s="258"/>
      <c r="S41" s="258"/>
      <c r="T41" s="258"/>
      <c r="U41" s="258"/>
      <c r="V41" s="258"/>
      <c r="W41" s="258"/>
      <c r="X41" s="258"/>
      <c r="Y41" s="258"/>
      <c r="Z41" s="258"/>
      <c r="AA41" s="258"/>
      <c r="AB41" s="258"/>
      <c r="AC41" s="258"/>
      <c r="AD41" s="258"/>
      <c r="AE41" s="258"/>
      <c r="AF41" s="216"/>
    </row>
    <row r="42" spans="1:32">
      <c r="C42" s="219" t="s">
        <v>264</v>
      </c>
      <c r="D42" s="220"/>
      <c r="E42" s="221"/>
      <c r="F42" s="445" t="s">
        <v>288</v>
      </c>
      <c r="G42" s="445" t="s">
        <v>288</v>
      </c>
      <c r="H42" s="220" cm="1">
        <f t="array" aca="1" ref="H42" ca="1">1000000*H16/_FV(OP!$N$2,"Shares outstanding",TRUE)</f>
        <v>0.86634044126084242</v>
      </c>
      <c r="I42" s="220" cm="1">
        <f t="array" aca="1" ref="I42" ca="1">1000000*I16/_FV(OP!$N$2,"Shares outstanding",TRUE)</f>
        <v>0.96418047459266887</v>
      </c>
      <c r="J42" s="220" cm="1">
        <f t="array" aca="1" ref="J42" ca="1">1000000*J16/_FV(OP!$N$2,"Shares outstanding",TRUE)</f>
        <v>1.0424044323373558</v>
      </c>
      <c r="M42" s="356">
        <f>+E28/D28-1</f>
        <v>0.51937457511896667</v>
      </c>
      <c r="N42" s="356">
        <f t="shared" ref="N42:P42" si="49">+F28/E28-1</f>
        <v>0.23579418344519021</v>
      </c>
      <c r="O42" s="356">
        <f t="shared" si="49"/>
        <v>9.5944967414916649E-2</v>
      </c>
      <c r="P42" s="356">
        <f t="shared" si="49"/>
        <v>-4.0173783472080782E-2</v>
      </c>
    </row>
    <row r="43" spans="1:32">
      <c r="C43" s="222" t="s">
        <v>265</v>
      </c>
      <c r="D43" s="199"/>
      <c r="E43" s="199"/>
      <c r="F43" s="223"/>
      <c r="G43" s="223"/>
      <c r="H43" s="223"/>
      <c r="I43" s="224"/>
      <c r="J43" s="224"/>
    </row>
    <row r="44" spans="1:32">
      <c r="C44" s="225" t="s">
        <v>266</v>
      </c>
      <c r="D44" s="226"/>
      <c r="E44" s="226"/>
      <c r="F44" s="446" t="s">
        <v>288</v>
      </c>
      <c r="G44" s="446"/>
      <c r="H44" s="227">
        <f t="shared" ref="H44:I44" si="50">$D$64/H16</f>
        <v>33.820958457234667</v>
      </c>
      <c r="I44" s="228">
        <f t="shared" si="50"/>
        <v>30.388983023208052</v>
      </c>
    </row>
    <row r="45" spans="1:32">
      <c r="A45" s="216"/>
      <c r="B45" s="216"/>
      <c r="C45" s="216"/>
      <c r="D45" s="217"/>
      <c r="E45" s="217"/>
      <c r="F45" s="217"/>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6"/>
      <c r="AE45" s="216"/>
      <c r="AF45" s="216"/>
    </row>
    <row r="46" spans="1:32">
      <c r="A46" s="617" t="s">
        <v>328</v>
      </c>
      <c r="C46" s="219"/>
      <c r="D46" s="221" t="s">
        <v>329</v>
      </c>
      <c r="E46" s="221" t="s">
        <v>330</v>
      </c>
      <c r="F46" s="221" t="s">
        <v>331</v>
      </c>
      <c r="G46" s="229" t="s">
        <v>332</v>
      </c>
    </row>
    <row r="47" spans="1:32">
      <c r="A47" s="619"/>
      <c r="C47" s="230" t="s">
        <v>333</v>
      </c>
      <c r="D47" s="231">
        <f>SUM(E47:G47)</f>
        <v>0.08</v>
      </c>
      <c r="E47" s="231">
        <v>0.04</v>
      </c>
      <c r="F47" s="231">
        <v>0.04</v>
      </c>
      <c r="G47" s="232">
        <v>0</v>
      </c>
      <c r="H47" s="190" t="s">
        <v>288</v>
      </c>
      <c r="I47" s="251"/>
      <c r="J47" s="400"/>
      <c r="K47" s="356"/>
      <c r="AE47" s="233"/>
    </row>
    <row r="48" spans="1:32">
      <c r="D48" s="234"/>
      <c r="E48" s="234"/>
      <c r="F48" s="234"/>
      <c r="G48" s="235"/>
      <c r="I48" s="251"/>
      <c r="J48" s="201">
        <f>1659-G18-G20</f>
        <v>186.2000000000001</v>
      </c>
      <c r="AE48" s="233"/>
    </row>
    <row r="49" spans="1:31">
      <c r="C49" s="219"/>
      <c r="D49" s="236" t="s">
        <v>334</v>
      </c>
      <c r="E49" s="236" t="s">
        <v>335</v>
      </c>
      <c r="F49" s="229" t="s">
        <v>336</v>
      </c>
    </row>
    <row r="50" spans="1:31">
      <c r="A50" s="614" t="s">
        <v>337</v>
      </c>
      <c r="C50" s="237" t="s">
        <v>338</v>
      </c>
      <c r="D50" s="395"/>
      <c r="E50" s="395"/>
      <c r="F50" s="396" t="s">
        <v>339</v>
      </c>
      <c r="G50" s="447"/>
      <c r="I50" s="201"/>
      <c r="AE50" s="199"/>
    </row>
    <row r="51" spans="1:31">
      <c r="A51" s="615"/>
      <c r="C51" s="238" t="s">
        <v>340</v>
      </c>
      <c r="D51" s="239">
        <v>3.1399999999999997E-2</v>
      </c>
      <c r="E51" s="239">
        <f>+D51</f>
        <v>3.1399999999999997E-2</v>
      </c>
      <c r="F51" s="240" t="s">
        <v>341</v>
      </c>
      <c r="G51" s="448"/>
      <c r="I51" s="201"/>
      <c r="AE51" s="199"/>
    </row>
    <row r="52" spans="1:31">
      <c r="A52" s="615"/>
      <c r="C52" s="238" t="s">
        <v>342</v>
      </c>
      <c r="D52" s="239">
        <v>0.2248</v>
      </c>
      <c r="E52" s="239">
        <f>+D52</f>
        <v>0.2248</v>
      </c>
      <c r="F52" s="241" t="s">
        <v>343</v>
      </c>
      <c r="I52" s="201"/>
      <c r="AE52" s="199"/>
    </row>
    <row r="53" spans="1:31">
      <c r="A53" s="615"/>
      <c r="C53" s="238" t="s">
        <v>344</v>
      </c>
      <c r="D53" s="239">
        <v>1.6E-2</v>
      </c>
      <c r="E53" s="239">
        <v>1.6E-2</v>
      </c>
      <c r="F53" s="241" t="s">
        <v>345</v>
      </c>
    </row>
    <row r="54" spans="1:31">
      <c r="A54" s="615"/>
      <c r="C54" s="238" t="s">
        <v>346</v>
      </c>
      <c r="D54" s="239">
        <v>3.5000000000000003E-2</v>
      </c>
      <c r="E54" s="239">
        <v>3.5000000000000003E-2</v>
      </c>
      <c r="F54" s="240" t="s">
        <v>347</v>
      </c>
      <c r="H54" s="400"/>
    </row>
    <row r="55" spans="1:31">
      <c r="A55" s="615"/>
      <c r="C55" s="449" t="s">
        <v>348</v>
      </c>
      <c r="D55" s="239">
        <f>+$H$99</f>
        <v>-0.43078736543686913</v>
      </c>
      <c r="E55" s="239">
        <f>+D55-3%</f>
        <v>-0.46078736543686916</v>
      </c>
      <c r="F55" s="240" t="s">
        <v>349</v>
      </c>
      <c r="H55" s="400"/>
      <c r="J55" s="201"/>
    </row>
    <row r="56" spans="1:31">
      <c r="A56" s="615"/>
      <c r="C56" s="238" t="s">
        <v>350</v>
      </c>
      <c r="D56" s="239">
        <v>-0.71</v>
      </c>
      <c r="E56" s="239">
        <f>+D56</f>
        <v>-0.71</v>
      </c>
      <c r="F56" s="240" t="s">
        <v>351</v>
      </c>
    </row>
    <row r="57" spans="1:31">
      <c r="A57" s="615"/>
      <c r="C57" s="238" t="s">
        <v>352</v>
      </c>
      <c r="D57" s="239">
        <v>3.2399999999999998E-2</v>
      </c>
      <c r="E57" s="239">
        <f>+D57</f>
        <v>3.2399999999999998E-2</v>
      </c>
      <c r="F57" s="240" t="s">
        <v>341</v>
      </c>
    </row>
    <row r="58" spans="1:31">
      <c r="A58" s="615"/>
      <c r="C58" s="238" t="s">
        <v>86</v>
      </c>
      <c r="D58" s="239">
        <v>-0.25</v>
      </c>
      <c r="E58" s="239">
        <v>-0.3</v>
      </c>
      <c r="F58" s="240" t="s">
        <v>353</v>
      </c>
    </row>
    <row r="59" spans="1:31">
      <c r="A59" s="616"/>
      <c r="C59" s="242" t="s">
        <v>318</v>
      </c>
      <c r="D59" s="231"/>
      <c r="E59" s="231"/>
      <c r="F59" s="243" t="s">
        <v>354</v>
      </c>
    </row>
    <row r="60" spans="1:31">
      <c r="D60" s="199"/>
      <c r="E60" s="199"/>
      <c r="F60" s="199"/>
    </row>
    <row r="61" spans="1:31">
      <c r="A61" s="617" t="s">
        <v>355</v>
      </c>
      <c r="C61" s="213"/>
      <c r="D61" s="244" t="s">
        <v>356</v>
      </c>
      <c r="E61" s="244" t="s">
        <v>357</v>
      </c>
      <c r="F61" s="190" t="s">
        <v>292</v>
      </c>
      <c r="AE61" s="233">
        <f>((AE36-AE37)*AE38)</f>
        <v>4031.1162279144392</v>
      </c>
    </row>
    <row r="62" spans="1:31">
      <c r="A62" s="618"/>
      <c r="C62" s="213" t="s">
        <v>358</v>
      </c>
      <c r="D62" s="370">
        <f>SUMPRODUCT(G33:AE33,G38:AE38)+((AE36-AE37)*AE38)</f>
        <v>24482.332153157164</v>
      </c>
      <c r="E62" s="245">
        <f>D62/D64</f>
        <v>0.62287636867624552</v>
      </c>
      <c r="F62" s="199" t="s">
        <v>359</v>
      </c>
      <c r="AE62" s="233">
        <f>AE54+AE61</f>
        <v>4031.1162279144392</v>
      </c>
    </row>
    <row r="63" spans="1:31">
      <c r="A63" s="618"/>
      <c r="C63" s="213" t="s">
        <v>360</v>
      </c>
      <c r="D63" s="370">
        <f>(AF32/(D47-AF5))*AF38</f>
        <v>14822.951181299251</v>
      </c>
      <c r="E63" s="245">
        <f>D63/D64</f>
        <v>0.37712363132375448</v>
      </c>
      <c r="F63" s="246" t="s">
        <v>361</v>
      </c>
    </row>
    <row r="64" spans="1:31">
      <c r="A64" s="618"/>
      <c r="C64" s="213" t="s">
        <v>362</v>
      </c>
      <c r="D64" s="370">
        <f>D62+D63</f>
        <v>39305.283334456413</v>
      </c>
      <c r="E64" s="244"/>
      <c r="F64" s="189" t="s">
        <v>363</v>
      </c>
    </row>
    <row r="65" spans="1:11">
      <c r="A65" s="618"/>
      <c r="C65" s="247" t="s">
        <v>364</v>
      </c>
      <c r="D65" s="248">
        <f ca="1">D66/D67-1</f>
        <v>0.14053966810841945</v>
      </c>
      <c r="E65" s="249"/>
      <c r="F65" s="246" t="s">
        <v>365</v>
      </c>
    </row>
    <row r="66" spans="1:11">
      <c r="A66" s="619"/>
      <c r="C66" s="247" t="s">
        <v>366</v>
      </c>
      <c r="D66" s="541" cm="1">
        <f t="array" aca="1" ref="D66" ca="1">1000000*D64/_FV(OP!N2,"Shares outstanding",TRUE)</f>
        <v>29.300464073705296</v>
      </c>
      <c r="E66" s="250"/>
      <c r="F66" s="246" t="s">
        <v>367</v>
      </c>
    </row>
    <row r="67" spans="1:11">
      <c r="C67" s="247" t="s">
        <v>368</v>
      </c>
      <c r="D67" s="541" cm="1">
        <f t="array" aca="1" ref="D67" ca="1">+_FV(OP!N2,"Price")</f>
        <v>25.69</v>
      </c>
      <c r="E67" s="250"/>
      <c r="F67" s="246" t="s">
        <v>368</v>
      </c>
    </row>
    <row r="68" spans="1:11">
      <c r="D68" s="450"/>
    </row>
    <row r="70" spans="1:11">
      <c r="C70" s="397" t="s">
        <v>369</v>
      </c>
      <c r="D70" s="397">
        <v>2024</v>
      </c>
      <c r="E70" s="397">
        <f>+D70-1</f>
        <v>2023</v>
      </c>
      <c r="F70" s="397">
        <f t="shared" ref="F70:G70" si="51">+E70-1</f>
        <v>2022</v>
      </c>
      <c r="G70" s="397">
        <f t="shared" si="51"/>
        <v>2021</v>
      </c>
      <c r="H70" s="397" t="s">
        <v>370</v>
      </c>
    </row>
    <row r="71" spans="1:11">
      <c r="C71" s="189" t="s">
        <v>371</v>
      </c>
      <c r="D71" s="401"/>
      <c r="E71" s="400">
        <f>+E6-D6</f>
        <v>805.30000000000018</v>
      </c>
      <c r="F71" s="400">
        <f t="shared" ref="F71" si="52">+F6-E6</f>
        <v>286.09999999999945</v>
      </c>
      <c r="G71" s="400">
        <f>+G6-F6</f>
        <v>262.20000000000073</v>
      </c>
    </row>
    <row r="72" spans="1:11">
      <c r="C72" s="451" t="s">
        <v>350</v>
      </c>
      <c r="D72" s="401"/>
      <c r="E72" s="400">
        <f>+E20</f>
        <v>-169.8</v>
      </c>
      <c r="F72" s="400">
        <f t="shared" ref="F72:G72" si="53">+F20</f>
        <v>-239.5</v>
      </c>
      <c r="G72" s="400">
        <f t="shared" si="53"/>
        <v>-286.3</v>
      </c>
    </row>
    <row r="73" spans="1:11">
      <c r="C73" s="398" t="s">
        <v>372</v>
      </c>
      <c r="D73" s="398"/>
      <c r="E73" s="430">
        <f>+E72/E71</f>
        <v>-0.21085309822426421</v>
      </c>
      <c r="F73" s="430">
        <f t="shared" ref="F73" si="54">+F72/F71</f>
        <v>-0.8371198881509978</v>
      </c>
      <c r="G73" s="430">
        <f>+G72/G71</f>
        <v>-1.0919145690312708</v>
      </c>
      <c r="H73" s="435">
        <f>+AVERAGE(E73:G73)</f>
        <v>-0.71329585180217769</v>
      </c>
    </row>
    <row r="74" spans="1:11">
      <c r="C74" s="189" t="s">
        <v>373</v>
      </c>
      <c r="D74" s="400">
        <f>+D6</f>
        <v>4860</v>
      </c>
      <c r="E74" s="400">
        <f t="shared" ref="E74:G74" si="55">+E6</f>
        <v>5665.3</v>
      </c>
      <c r="F74" s="400">
        <f>+F6</f>
        <v>5951.4</v>
      </c>
      <c r="G74" s="400">
        <f t="shared" si="55"/>
        <v>6213.6</v>
      </c>
    </row>
    <row r="75" spans="1:11">
      <c r="C75" s="189" t="s">
        <v>374</v>
      </c>
      <c r="D75" s="433">
        <f>+Cifras_en_Millones!C35</f>
        <v>-191.8</v>
      </c>
      <c r="E75" s="433">
        <f>+Cifras_en_Millones!D35</f>
        <v>-161.70000000000002</v>
      </c>
      <c r="F75" s="433">
        <f>+Cifras_en_Millones!E35</f>
        <v>-213.9</v>
      </c>
      <c r="G75" s="433">
        <f>+Cifras_en_Millones!F35</f>
        <v>-160.4</v>
      </c>
    </row>
    <row r="76" spans="1:11">
      <c r="C76" s="398" t="s">
        <v>375</v>
      </c>
      <c r="D76" s="432">
        <f>+D75/D74</f>
        <v>-3.9465020576131687E-2</v>
      </c>
      <c r="E76" s="432">
        <f>+E75/E74</f>
        <v>-2.8542177819356435E-2</v>
      </c>
      <c r="F76" s="432">
        <f>+F75/F74</f>
        <v>-3.59411230970864E-2</v>
      </c>
      <c r="G76" s="432">
        <f>+G75/G74</f>
        <v>-2.5814342732071584E-2</v>
      </c>
      <c r="H76" s="436">
        <f>+AVERAGE(D76:G76)</f>
        <v>-3.2440666056161527E-2</v>
      </c>
    </row>
    <row r="78" spans="1:11">
      <c r="E78" s="199"/>
      <c r="F78" s="199"/>
      <c r="G78" s="199"/>
      <c r="H78" s="199"/>
    </row>
    <row r="79" spans="1:11">
      <c r="C79" s="397" t="s">
        <v>369</v>
      </c>
      <c r="D79" s="397">
        <v>2024</v>
      </c>
      <c r="E79" s="397">
        <f>+D79-1</f>
        <v>2023</v>
      </c>
      <c r="F79" s="397">
        <f>+E79-1</f>
        <v>2022</v>
      </c>
      <c r="G79" s="397">
        <f>+F79-1</f>
        <v>2021</v>
      </c>
      <c r="H79" s="397">
        <f>+G79-1</f>
        <v>2020</v>
      </c>
      <c r="I79" s="399" t="s">
        <v>370</v>
      </c>
      <c r="J79" s="189"/>
    </row>
    <row r="80" spans="1:11">
      <c r="C80" s="189" t="s">
        <v>376</v>
      </c>
      <c r="D80" s="426">
        <f>7687.1-4805</f>
        <v>2882.1000000000004</v>
      </c>
      <c r="E80" s="426">
        <v>2842.1</v>
      </c>
      <c r="F80" s="426">
        <v>3302.4</v>
      </c>
      <c r="G80" s="426">
        <v>3462.6</v>
      </c>
      <c r="H80" s="426">
        <v>3546.8</v>
      </c>
      <c r="I80" s="452"/>
      <c r="J80" s="189"/>
      <c r="K80" s="246" t="s">
        <v>377</v>
      </c>
    </row>
    <row r="81" spans="3:32">
      <c r="C81" s="189" t="s">
        <v>378</v>
      </c>
      <c r="D81" s="426">
        <v>945.8</v>
      </c>
      <c r="E81" s="426">
        <v>882.8</v>
      </c>
      <c r="F81" s="426">
        <v>819.9</v>
      </c>
      <c r="G81" s="426">
        <v>817</v>
      </c>
      <c r="H81" s="426">
        <v>861.1</v>
      </c>
      <c r="I81" s="452"/>
      <c r="K81" s="246" t="s">
        <v>379</v>
      </c>
    </row>
    <row r="82" spans="3:32">
      <c r="C82" s="398" t="s">
        <v>380</v>
      </c>
      <c r="D82" s="453">
        <f>+SUM(D80:D81)</f>
        <v>3827.9000000000005</v>
      </c>
      <c r="E82" s="453">
        <f t="shared" ref="E82:H82" si="56">+SUM(E80:E81)</f>
        <v>3724.8999999999996</v>
      </c>
      <c r="F82" s="453">
        <f t="shared" si="56"/>
        <v>4122.3</v>
      </c>
      <c r="G82" s="453">
        <f t="shared" si="56"/>
        <v>4279.6000000000004</v>
      </c>
      <c r="H82" s="453">
        <f t="shared" si="56"/>
        <v>4407.9000000000005</v>
      </c>
      <c r="I82" s="452"/>
      <c r="K82" s="246" t="s">
        <v>381</v>
      </c>
    </row>
    <row r="83" spans="3:32">
      <c r="C83" s="189" t="s">
        <v>382</v>
      </c>
      <c r="D83" s="426">
        <v>561</v>
      </c>
      <c r="E83" s="426">
        <v>569.5</v>
      </c>
      <c r="F83" s="426">
        <v>596.79999999999995</v>
      </c>
      <c r="G83" s="426">
        <v>574.6</v>
      </c>
      <c r="H83" s="426">
        <v>604.5</v>
      </c>
      <c r="I83" s="452"/>
    </row>
    <row r="84" spans="3:32" ht="17.25" customHeight="1">
      <c r="C84" s="424" t="s">
        <v>383</v>
      </c>
      <c r="D84" s="454">
        <f>+D83/D82</f>
        <v>0.14655555265289061</v>
      </c>
      <c r="E84" s="454">
        <f>+E83/E82</f>
        <v>0.15289001047007975</v>
      </c>
      <c r="F84" s="454">
        <f t="shared" ref="F84:H84" si="57">+F83/F82</f>
        <v>0.14477354874705867</v>
      </c>
      <c r="G84" s="454">
        <f t="shared" si="57"/>
        <v>0.13426488456865127</v>
      </c>
      <c r="H84" s="454">
        <f t="shared" si="57"/>
        <v>0.13714013475804804</v>
      </c>
      <c r="I84" s="425">
        <f>+AVERAGE(D84:H84)</f>
        <v>0.14312482623934569</v>
      </c>
    </row>
    <row r="85" spans="3:32">
      <c r="C85" s="189" t="s">
        <v>84</v>
      </c>
      <c r="D85" s="427">
        <v>-193.4</v>
      </c>
      <c r="E85" s="427">
        <v>-145.30000000000001</v>
      </c>
      <c r="F85" s="427">
        <v>-132.30000000000001</v>
      </c>
      <c r="G85" s="427">
        <v>-103.7</v>
      </c>
      <c r="H85" s="427">
        <v>-127</v>
      </c>
      <c r="I85" s="452"/>
    </row>
    <row r="86" spans="3:32">
      <c r="C86" s="189" t="s">
        <v>384</v>
      </c>
      <c r="D86" s="427">
        <v>1286.2</v>
      </c>
      <c r="E86" s="427">
        <v>1228.3</v>
      </c>
      <c r="F86" s="427">
        <v>1087.2</v>
      </c>
      <c r="G86" s="427">
        <v>949.3</v>
      </c>
      <c r="H86" s="427">
        <v>935.4</v>
      </c>
      <c r="I86" s="452"/>
    </row>
    <row r="87" spans="3:32">
      <c r="C87" s="428" t="s">
        <v>385</v>
      </c>
      <c r="D87" s="455">
        <f>+D86/G6</f>
        <v>0.20699755375305781</v>
      </c>
      <c r="E87" s="455">
        <f>+E86/F6</f>
        <v>0.20638841281043116</v>
      </c>
      <c r="F87" s="455">
        <f>+F86/E6</f>
        <v>0.19190510652569148</v>
      </c>
      <c r="G87" s="455">
        <f>+G86/D6</f>
        <v>0.19532921810699588</v>
      </c>
      <c r="H87" s="455"/>
      <c r="I87" s="425">
        <f>+AVERAGE(D87:G87)</f>
        <v>0.2001550727990441</v>
      </c>
    </row>
    <row r="88" spans="3:32">
      <c r="C88" s="189" t="s">
        <v>386</v>
      </c>
      <c r="D88" s="437">
        <f>+E82-D83-D85</f>
        <v>3357.2999999999997</v>
      </c>
      <c r="E88" s="437">
        <f>+F82-E83-E85</f>
        <v>3698.1000000000004</v>
      </c>
      <c r="F88" s="437">
        <f>+G82-F83-F85</f>
        <v>3815.1000000000004</v>
      </c>
      <c r="G88" s="437">
        <f t="shared" ref="G88" si="58">+H82-G83-G85</f>
        <v>3937.0000000000005</v>
      </c>
      <c r="H88" s="438"/>
      <c r="I88" s="452"/>
    </row>
    <row r="89" spans="3:32">
      <c r="C89" s="189" t="s">
        <v>387</v>
      </c>
      <c r="D89" s="437">
        <f>+D82-D88</f>
        <v>470.60000000000082</v>
      </c>
      <c r="E89" s="437">
        <f>+E82-E88</f>
        <v>26.799999999999272</v>
      </c>
      <c r="F89" s="437">
        <f t="shared" ref="F89:G89" si="59">+F82-F88</f>
        <v>307.19999999999982</v>
      </c>
      <c r="G89" s="437">
        <f t="shared" si="59"/>
        <v>342.59999999999991</v>
      </c>
      <c r="H89" s="438"/>
      <c r="I89" s="452"/>
    </row>
    <row r="90" spans="3:32">
      <c r="C90" s="398" t="s">
        <v>388</v>
      </c>
      <c r="D90" s="425">
        <f>+D89/D86</f>
        <v>0.36588399937801336</v>
      </c>
      <c r="E90" s="425">
        <f t="shared" ref="E90:G90" si="60">+E89/E86</f>
        <v>2.1818773915166713E-2</v>
      </c>
      <c r="F90" s="425">
        <f t="shared" si="60"/>
        <v>0.28256070640176584</v>
      </c>
      <c r="G90" s="425">
        <f t="shared" si="60"/>
        <v>0.36089750342357518</v>
      </c>
      <c r="H90" s="456"/>
      <c r="I90" s="429">
        <f>+AVERAGE(D90:H90)</f>
        <v>0.25779024577963028</v>
      </c>
    </row>
    <row r="92" spans="3:32">
      <c r="C92" s="397" t="s">
        <v>389</v>
      </c>
      <c r="D92" s="397"/>
      <c r="E92" s="397"/>
      <c r="F92" s="397"/>
      <c r="G92" s="397"/>
      <c r="H92" s="397">
        <v>2025</v>
      </c>
      <c r="I92" s="397">
        <f>+H92+1</f>
        <v>2026</v>
      </c>
      <c r="J92" s="397">
        <f t="shared" ref="J92:AF92" si="61">+I92+1</f>
        <v>2027</v>
      </c>
      <c r="K92" s="397">
        <f t="shared" si="61"/>
        <v>2028</v>
      </c>
      <c r="L92" s="397">
        <f t="shared" si="61"/>
        <v>2029</v>
      </c>
      <c r="M92" s="397">
        <f t="shared" si="61"/>
        <v>2030</v>
      </c>
      <c r="N92" s="397">
        <f t="shared" si="61"/>
        <v>2031</v>
      </c>
      <c r="O92" s="397">
        <f t="shared" si="61"/>
        <v>2032</v>
      </c>
      <c r="P92" s="397">
        <f t="shared" si="61"/>
        <v>2033</v>
      </c>
      <c r="Q92" s="397">
        <f t="shared" si="61"/>
        <v>2034</v>
      </c>
      <c r="R92" s="397">
        <f t="shared" si="61"/>
        <v>2035</v>
      </c>
      <c r="S92" s="397">
        <f t="shared" si="61"/>
        <v>2036</v>
      </c>
      <c r="T92" s="397">
        <f t="shared" si="61"/>
        <v>2037</v>
      </c>
      <c r="U92" s="397">
        <f t="shared" si="61"/>
        <v>2038</v>
      </c>
      <c r="V92" s="397">
        <f t="shared" si="61"/>
        <v>2039</v>
      </c>
      <c r="W92" s="397">
        <f t="shared" si="61"/>
        <v>2040</v>
      </c>
      <c r="X92" s="397">
        <f t="shared" si="61"/>
        <v>2041</v>
      </c>
      <c r="Y92" s="397">
        <f t="shared" si="61"/>
        <v>2042</v>
      </c>
      <c r="Z92" s="397">
        <f t="shared" si="61"/>
        <v>2043</v>
      </c>
      <c r="AA92" s="397">
        <f t="shared" si="61"/>
        <v>2044</v>
      </c>
      <c r="AB92" s="397">
        <f t="shared" si="61"/>
        <v>2045</v>
      </c>
      <c r="AC92" s="397">
        <f t="shared" si="61"/>
        <v>2046</v>
      </c>
      <c r="AD92" s="397">
        <f t="shared" si="61"/>
        <v>2047</v>
      </c>
      <c r="AE92" s="397">
        <f t="shared" si="61"/>
        <v>2048</v>
      </c>
      <c r="AF92" s="397">
        <f t="shared" si="61"/>
        <v>2049</v>
      </c>
    </row>
    <row r="93" spans="3:32">
      <c r="C93" s="189" t="s">
        <v>384</v>
      </c>
      <c r="H93" s="400">
        <f>+H6*$I$87</f>
        <v>1343.240693554385</v>
      </c>
      <c r="I93" s="400">
        <f>+I6*$I$87</f>
        <v>1449.7231922834765</v>
      </c>
      <c r="J93" s="400">
        <f t="shared" ref="J93:AF93" si="62">+J6*$I$87</f>
        <v>1532.3574142436346</v>
      </c>
      <c r="K93" s="400">
        <f t="shared" si="62"/>
        <v>1619.7017868555215</v>
      </c>
      <c r="L93" s="400">
        <f t="shared" si="62"/>
        <v>1712.024788706286</v>
      </c>
      <c r="M93" s="400">
        <f t="shared" si="62"/>
        <v>1809.6102016625443</v>
      </c>
      <c r="N93" s="400">
        <f t="shared" si="62"/>
        <v>1909.7102186071411</v>
      </c>
      <c r="O93" s="400">
        <f t="shared" si="62"/>
        <v>2012.1309929629663</v>
      </c>
      <c r="P93" s="400">
        <f t="shared" si="62"/>
        <v>2116.655902965832</v>
      </c>
      <c r="Q93" s="400">
        <f t="shared" si="62"/>
        <v>2223.0457128254302</v>
      </c>
      <c r="R93" s="400">
        <f t="shared" si="62"/>
        <v>2331.038933506371</v>
      </c>
      <c r="S93" s="400">
        <f t="shared" si="62"/>
        <v>2440.3523908618545</v>
      </c>
      <c r="T93" s="400">
        <f t="shared" si="62"/>
        <v>2550.6820068487145</v>
      </c>
      <c r="U93" s="400">
        <f t="shared" si="62"/>
        <v>2661.7037973573397</v>
      </c>
      <c r="V93" s="400">
        <f t="shared" si="62"/>
        <v>2773.0750878257127</v>
      </c>
      <c r="W93" s="400">
        <f t="shared" si="62"/>
        <v>2884.435945299977</v>
      </c>
      <c r="X93" s="400">
        <f t="shared" si="62"/>
        <v>2995.4108229849398</v>
      </c>
      <c r="Y93" s="400">
        <f t="shared" si="62"/>
        <v>3105.6104106305434</v>
      </c>
      <c r="Z93" s="400">
        <f t="shared" si="62"/>
        <v>3214.6336813616267</v>
      </c>
      <c r="AA93" s="400">
        <f t="shared" si="62"/>
        <v>3322.0701228176599</v>
      </c>
      <c r="AB93" s="400">
        <f t="shared" si="62"/>
        <v>3427.5021377681364</v>
      </c>
      <c r="AC93" s="400">
        <f t="shared" si="62"/>
        <v>3530.5075967505368</v>
      </c>
      <c r="AD93" s="400">
        <f t="shared" si="62"/>
        <v>3630.6625227846707</v>
      </c>
      <c r="AE93" s="400">
        <f t="shared" si="62"/>
        <v>3727.5438858926623</v>
      </c>
      <c r="AF93" s="400">
        <f t="shared" si="62"/>
        <v>3820.7324830399784</v>
      </c>
    </row>
    <row r="94" spans="3:32">
      <c r="C94" s="189" t="s">
        <v>390</v>
      </c>
      <c r="H94" s="400">
        <f>+D82+G9-H22+$I$90*H93</f>
        <v>3830.6107485325865</v>
      </c>
      <c r="I94" s="400">
        <f>+H94-H22-H95+$I$90*I93</f>
        <v>3873.5161488094782</v>
      </c>
      <c r="J94" s="400">
        <f t="shared" ref="J94:AF94" si="63">+I94-I22-I95+$I$90*J93</f>
        <v>3948.8198175159273</v>
      </c>
      <c r="K94" s="400">
        <f t="shared" si="63"/>
        <v>4049.2385614066661</v>
      </c>
      <c r="L94" s="400">
        <f t="shared" si="63"/>
        <v>4173.2236849918927</v>
      </c>
      <c r="M94" s="400">
        <f t="shared" si="63"/>
        <v>4319.5647655857474</v>
      </c>
      <c r="N94" s="400">
        <f t="shared" si="63"/>
        <v>4486.5622012113381</v>
      </c>
      <c r="O94" s="400">
        <f t="shared" si="63"/>
        <v>4672.26487350146</v>
      </c>
      <c r="P94" s="400">
        <f t="shared" si="63"/>
        <v>4874.913695772867</v>
      </c>
      <c r="Q94" s="400">
        <f t="shared" si="63"/>
        <v>5092.904612127767</v>
      </c>
      <c r="R94" s="400">
        <f t="shared" si="63"/>
        <v>5324.7570113961647</v>
      </c>
      <c r="S94" s="400">
        <f t="shared" si="63"/>
        <v>5569.0868666877841</v>
      </c>
      <c r="T94" s="400">
        <f t="shared" si="63"/>
        <v>5824.5840126969179</v>
      </c>
      <c r="U94" s="400">
        <f t="shared" si="63"/>
        <v>6089.9930588786829</v>
      </c>
      <c r="V94" s="400">
        <f t="shared" si="63"/>
        <v>6364.0975093202514</v>
      </c>
      <c r="W94" s="400">
        <f t="shared" si="63"/>
        <v>6645.7067214009057</v>
      </c>
      <c r="X94" s="400">
        <f t="shared" si="63"/>
        <v>6933.6453867547516</v>
      </c>
      <c r="Y94" s="400">
        <f t="shared" si="63"/>
        <v>7226.7452609911688</v>
      </c>
      <c r="Z94" s="400">
        <f t="shared" si="63"/>
        <v>7523.838904280703</v>
      </c>
      <c r="AA94" s="400">
        <f t="shared" si="63"/>
        <v>7823.7552243140835</v>
      </c>
      <c r="AB94" s="400">
        <f t="shared" si="63"/>
        <v>8125.3166371943062</v>
      </c>
      <c r="AC94" s="400">
        <f t="shared" si="63"/>
        <v>8427.337681319088</v>
      </c>
      <c r="AD94" s="400">
        <f t="shared" si="63"/>
        <v>8728.6249349512964</v>
      </c>
      <c r="AE94" s="400">
        <f t="shared" si="63"/>
        <v>9027.9781005738459</v>
      </c>
      <c r="AF94" s="400">
        <f t="shared" si="63"/>
        <v>9324.192128828694</v>
      </c>
    </row>
    <row r="95" spans="3:32">
      <c r="C95" s="189" t="s">
        <v>382</v>
      </c>
      <c r="H95" s="400">
        <f>+$I$84*H94</f>
        <v>548.25549777429637</v>
      </c>
      <c r="I95" s="400">
        <f>+$I$84*I94</f>
        <v>554.39632573365611</v>
      </c>
      <c r="J95" s="400">
        <f>+$I$84*J94</f>
        <v>565.17415023245189</v>
      </c>
      <c r="K95" s="400">
        <f t="shared" ref="K95:AF95" si="64">+$I$84*K94</f>
        <v>579.54656550298716</v>
      </c>
      <c r="L95" s="400">
        <f t="shared" si="64"/>
        <v>597.29191477238658</v>
      </c>
      <c r="M95" s="400">
        <f t="shared" si="64"/>
        <v>618.23695650406012</v>
      </c>
      <c r="N95" s="400">
        <f t="shared" si="64"/>
        <v>642.13843546038913</v>
      </c>
      <c r="O95" s="400">
        <f t="shared" si="64"/>
        <v>668.71709816409498</v>
      </c>
      <c r="P95" s="400">
        <f t="shared" si="64"/>
        <v>697.72117563929817</v>
      </c>
      <c r="Q95" s="400">
        <f t="shared" si="64"/>
        <v>728.92108766434887</v>
      </c>
      <c r="R95" s="400">
        <f t="shared" si="64"/>
        <v>762.10492202281375</v>
      </c>
      <c r="S95" s="400">
        <f t="shared" si="64"/>
        <v>797.07459010651121</v>
      </c>
      <c r="T95" s="400">
        <f t="shared" si="64"/>
        <v>833.6425747337172</v>
      </c>
      <c r="U95" s="400">
        <f t="shared" si="64"/>
        <v>871.62919835083289</v>
      </c>
      <c r="V95" s="400">
        <f t="shared" si="64"/>
        <v>910.86035019171368</v>
      </c>
      <c r="W95" s="400">
        <f t="shared" si="64"/>
        <v>951.16561973815635</v>
      </c>
      <c r="X95" s="400">
        <f t="shared" si="64"/>
        <v>992.37679118451467</v>
      </c>
      <c r="Y95" s="400">
        <f t="shared" si="64"/>
        <v>1034.3266597553759</v>
      </c>
      <c r="Z95" s="400">
        <f t="shared" si="64"/>
        <v>1076.8481358280046</v>
      </c>
      <c r="AA95" s="400">
        <f t="shared" si="64"/>
        <v>1119.7736070191263</v>
      </c>
      <c r="AB95" s="400">
        <f t="shared" si="64"/>
        <v>1162.9345318380997</v>
      </c>
      <c r="AC95" s="400">
        <f t="shared" si="64"/>
        <v>1206.1612412990848</v>
      </c>
      <c r="AD95" s="400">
        <f t="shared" si="64"/>
        <v>1249.2829271233245</v>
      </c>
      <c r="AE95" s="400">
        <f t="shared" si="64"/>
        <v>1292.12779693725</v>
      </c>
      <c r="AF95" s="400">
        <f t="shared" si="64"/>
        <v>1334.5233782608816</v>
      </c>
    </row>
    <row r="96" spans="3:32">
      <c r="H96" s="402"/>
      <c r="I96" s="402"/>
      <c r="J96" s="402"/>
      <c r="K96" s="402"/>
      <c r="L96" s="402"/>
      <c r="M96" s="402"/>
      <c r="N96" s="402"/>
      <c r="O96" s="402"/>
      <c r="P96" s="402"/>
      <c r="Q96" s="402"/>
      <c r="R96" s="402"/>
      <c r="S96" s="402"/>
      <c r="T96" s="402"/>
      <c r="U96" s="402"/>
      <c r="V96" s="402"/>
      <c r="W96" s="402"/>
      <c r="X96" s="402"/>
      <c r="Y96" s="402"/>
      <c r="Z96" s="402"/>
      <c r="AA96" s="402"/>
      <c r="AB96" s="402"/>
      <c r="AC96" s="402"/>
      <c r="AD96" s="403"/>
      <c r="AE96" s="403"/>
      <c r="AF96" s="403"/>
    </row>
    <row r="97" spans="3:8">
      <c r="C97" s="397" t="s">
        <v>369</v>
      </c>
      <c r="D97" s="397">
        <v>2021</v>
      </c>
      <c r="E97" s="397">
        <f>+D97+1</f>
        <v>2022</v>
      </c>
      <c r="F97" s="397">
        <f t="shared" ref="F97:G97" si="65">+E97+1</f>
        <v>2023</v>
      </c>
      <c r="G97" s="397">
        <f t="shared" si="65"/>
        <v>2024</v>
      </c>
      <c r="H97" s="399" t="s">
        <v>370</v>
      </c>
    </row>
    <row r="98" spans="3:8">
      <c r="C98" s="189" t="s">
        <v>391</v>
      </c>
      <c r="D98" s="400">
        <f>+D27</f>
        <v>-283.2</v>
      </c>
      <c r="E98" s="400">
        <f>+E27</f>
        <v>-639.6</v>
      </c>
      <c r="F98" s="400">
        <f t="shared" ref="F98:G98" si="66">+F27</f>
        <v>-375.4</v>
      </c>
      <c r="G98" s="400">
        <f t="shared" si="66"/>
        <v>-374</v>
      </c>
    </row>
    <row r="99" spans="3:8">
      <c r="C99" s="189" t="s">
        <v>392</v>
      </c>
      <c r="D99" s="355">
        <f>+D98/D16</f>
        <v>-0.36593875177671525</v>
      </c>
      <c r="E99" s="355">
        <f>+E98/E16</f>
        <v>-0.68759406579230264</v>
      </c>
      <c r="F99" s="355">
        <f>+F98/F16</f>
        <v>-0.35745572271948195</v>
      </c>
      <c r="G99" s="355">
        <f>+G98/G16</f>
        <v>-0.31216092145897673</v>
      </c>
      <c r="H99" s="355">
        <f>+AVERAGE(D99:G99)</f>
        <v>-0.43078736543686913</v>
      </c>
    </row>
  </sheetData>
  <mergeCells count="8">
    <mergeCell ref="A50:A59"/>
    <mergeCell ref="A61:A66"/>
    <mergeCell ref="C1:L1"/>
    <mergeCell ref="A5:A16"/>
    <mergeCell ref="A32:A34"/>
    <mergeCell ref="A36:A38"/>
    <mergeCell ref="A46:A47"/>
    <mergeCell ref="A18:A30"/>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94"/>
  <sheetViews>
    <sheetView view="pageBreakPreview" zoomScale="152" zoomScaleNormal="85" zoomScaleSheetLayoutView="130" workbookViewId="0">
      <selection activeCell="D31" sqref="D31"/>
    </sheetView>
  </sheetViews>
  <sheetFormatPr defaultColWidth="11.28515625" defaultRowHeight="12"/>
  <cols>
    <col min="1" max="1" width="36.140625" style="139" customWidth="1"/>
    <col min="2" max="11" width="12.28515625" style="139" customWidth="1"/>
    <col min="12" max="13" width="12.28515625" style="183" customWidth="1"/>
    <col min="14" max="14" width="12.28515625" style="183" bestFit="1" customWidth="1"/>
    <col min="15" max="16384" width="11.28515625" style="138"/>
  </cols>
  <sheetData>
    <row r="1" spans="1:15" ht="15.75">
      <c r="A1" s="629" t="str">
        <f ca="1">Cifras_Originales!G3</f>
        <v>Dassault Systemes SE (DSY)</v>
      </c>
      <c r="B1" s="629"/>
      <c r="C1" s="629"/>
      <c r="D1" s="629"/>
      <c r="E1" s="629"/>
      <c r="F1" s="629"/>
      <c r="G1" s="629"/>
      <c r="H1" s="629"/>
      <c r="I1" s="629"/>
      <c r="J1" s="629"/>
      <c r="K1" s="629"/>
      <c r="L1" s="629"/>
      <c r="M1" s="137"/>
      <c r="N1" s="137"/>
    </row>
    <row r="2" spans="1:15" ht="12" customHeight="1">
      <c r="A2" s="630" t="str">
        <f>Cifras_Originales!C2</f>
        <v>Cifras en Millones de USD</v>
      </c>
      <c r="B2" s="630"/>
      <c r="C2" s="630"/>
      <c r="D2" s="630"/>
      <c r="E2" s="630"/>
      <c r="F2" s="630"/>
      <c r="G2" s="630"/>
      <c r="H2" s="630"/>
      <c r="I2" s="630"/>
      <c r="J2" s="630"/>
      <c r="K2" s="630"/>
      <c r="L2" s="630"/>
      <c r="M2" s="139"/>
      <c r="N2" s="139"/>
    </row>
    <row r="3" spans="1:15" ht="12" customHeight="1">
      <c r="G3" s="140"/>
    </row>
    <row r="4" spans="1:15">
      <c r="A4" s="141" t="s">
        <v>393</v>
      </c>
      <c r="B4" s="142">
        <v>2025</v>
      </c>
      <c r="C4" s="142">
        <f>Cifras_Originales!B5</f>
        <v>2024</v>
      </c>
      <c r="D4" s="142">
        <f>Cifras_Originales!C5</f>
        <v>2023</v>
      </c>
      <c r="E4" s="142">
        <f>Cifras_Originales!D5</f>
        <v>2022</v>
      </c>
      <c r="F4" s="142">
        <f>Cifras_Originales!E5</f>
        <v>2021</v>
      </c>
      <c r="G4" s="142">
        <f>Cifras_Originales!F5</f>
        <v>2020</v>
      </c>
      <c r="H4" s="142">
        <f>Cifras_Originales!G5</f>
        <v>2019</v>
      </c>
      <c r="I4" s="142">
        <f>Cifras_Originales!H5</f>
        <v>2018</v>
      </c>
      <c r="J4" s="142">
        <f>Cifras_Originales!I5</f>
        <v>2017</v>
      </c>
      <c r="K4" s="142">
        <f>Cifras_Originales!J5</f>
        <v>2016</v>
      </c>
      <c r="L4" s="142">
        <f>Cifras_Originales!K5</f>
        <v>2015</v>
      </c>
      <c r="M4" s="142">
        <f>Cifras_Originales!L5</f>
        <v>2014</v>
      </c>
      <c r="N4" s="142"/>
      <c r="O4" s="142"/>
    </row>
    <row r="5" spans="1:15" ht="12" customHeight="1">
      <c r="A5" s="139" t="s">
        <v>394</v>
      </c>
      <c r="B5" s="143"/>
      <c r="C5" s="143">
        <f>Cifras_Originales!B6</f>
        <v>6213.6</v>
      </c>
      <c r="D5" s="143">
        <f>Cifras_Originales!C6</f>
        <v>5951.4</v>
      </c>
      <c r="E5" s="143">
        <f>Cifras_Originales!D6</f>
        <v>5665.3</v>
      </c>
      <c r="F5" s="143">
        <f>Cifras_Originales!E6</f>
        <v>4860</v>
      </c>
      <c r="G5" s="143">
        <f>Cifras_Originales!F6</f>
        <v>4452.3</v>
      </c>
      <c r="H5" s="143">
        <f>Cifras_Originales!G6</f>
        <v>4018.2</v>
      </c>
      <c r="I5" s="143">
        <f>Cifras_Originales!H6</f>
        <v>3477.4</v>
      </c>
      <c r="J5" s="143">
        <f>Cifras_Originales!I6</f>
        <v>3228</v>
      </c>
      <c r="K5" s="143">
        <f>Cifras_Originales!J6</f>
        <v>3055.6</v>
      </c>
      <c r="L5" s="143">
        <f>Cifras_Originales!K6</f>
        <v>2839.5</v>
      </c>
      <c r="M5" s="143">
        <f>Cifras_Originales!L6</f>
        <v>2294.3000000000002</v>
      </c>
      <c r="N5" s="143"/>
      <c r="O5" s="143"/>
    </row>
    <row r="6" spans="1:15" ht="12" customHeight="1">
      <c r="A6" s="139" t="s">
        <v>395</v>
      </c>
      <c r="B6" s="144">
        <f>B5/C5-1</f>
        <v>-1</v>
      </c>
      <c r="C6" s="144">
        <f>C5/D5-1</f>
        <v>4.4056860570622192E-2</v>
      </c>
      <c r="D6" s="144">
        <f>D5/E5-1</f>
        <v>5.0500414805923599E-2</v>
      </c>
      <c r="E6" s="144">
        <f t="shared" ref="E6:L6" si="0">E5/F5-1</f>
        <v>0.16569958847736621</v>
      </c>
      <c r="F6" s="144">
        <f t="shared" si="0"/>
        <v>9.1570648878107841E-2</v>
      </c>
      <c r="G6" s="144">
        <f t="shared" si="0"/>
        <v>0.10803344781245339</v>
      </c>
      <c r="H6" s="144">
        <f t="shared" si="0"/>
        <v>0.15551849082647951</v>
      </c>
      <c r="I6" s="144">
        <f t="shared" si="0"/>
        <v>7.7261462205700182E-2</v>
      </c>
      <c r="J6" s="144">
        <f t="shared" si="0"/>
        <v>5.6420997512763416E-2</v>
      </c>
      <c r="K6" s="144">
        <f t="shared" si="0"/>
        <v>7.6104948054234844E-2</v>
      </c>
      <c r="L6" s="144">
        <f t="shared" si="0"/>
        <v>0.2376323933225819</v>
      </c>
      <c r="M6" s="144"/>
      <c r="N6" s="144"/>
      <c r="O6" s="144"/>
    </row>
    <row r="7" spans="1:15" ht="12" customHeight="1">
      <c r="A7" s="139" t="s">
        <v>396</v>
      </c>
      <c r="B7" s="143"/>
      <c r="C7" s="143">
        <f>Cifras_Originales!B7</f>
        <v>5197.3</v>
      </c>
      <c r="D7" s="143">
        <f>Cifras_Originales!C7</f>
        <v>4980.3999999999996</v>
      </c>
      <c r="E7" s="143">
        <f>Cifras_Originales!D7</f>
        <v>4746</v>
      </c>
      <c r="F7" s="143">
        <f>Cifras_Originales!E7</f>
        <v>4069.7</v>
      </c>
      <c r="G7" s="143">
        <f>Cifras_Originales!F7</f>
        <v>3702.6</v>
      </c>
      <c r="H7" s="143">
        <f>Cifras_Originales!G7</f>
        <v>3384.6</v>
      </c>
      <c r="I7" s="143">
        <f>Cifras_Originales!H7</f>
        <v>2966.6</v>
      </c>
      <c r="J7" s="143">
        <f>Cifras_Originales!I7</f>
        <v>2754</v>
      </c>
      <c r="K7" s="143">
        <f>Cifras_Originales!J7</f>
        <v>2592</v>
      </c>
      <c r="L7" s="143">
        <f>Cifras_Originales!K7</f>
        <v>2401.5</v>
      </c>
      <c r="M7" s="143">
        <f>Cifras_Originales!L7</f>
        <v>1951</v>
      </c>
      <c r="N7" s="143"/>
      <c r="O7" s="143"/>
    </row>
    <row r="8" spans="1:15" ht="12" customHeight="1">
      <c r="A8" s="139" t="s">
        <v>397</v>
      </c>
      <c r="B8" s="144" t="e">
        <f>B7/B5</f>
        <v>#DIV/0!</v>
      </c>
      <c r="C8" s="144">
        <f>C7/C5</f>
        <v>0.83643942320072096</v>
      </c>
      <c r="D8" s="144">
        <f>D7/D5</f>
        <v>0.83684511207446988</v>
      </c>
      <c r="E8" s="144">
        <f t="shared" ref="E8:M8" si="1">E7/E5</f>
        <v>0.83773145287981221</v>
      </c>
      <c r="F8" s="144">
        <f t="shared" si="1"/>
        <v>0.83738683127572011</v>
      </c>
      <c r="G8" s="144">
        <f t="shared" si="1"/>
        <v>0.83161512027491402</v>
      </c>
      <c r="H8" s="144">
        <f t="shared" si="1"/>
        <v>0.84231745557712412</v>
      </c>
      <c r="I8" s="144">
        <f t="shared" si="1"/>
        <v>0.8531086443894863</v>
      </c>
      <c r="J8" s="144">
        <f t="shared" si="1"/>
        <v>0.85315985130111527</v>
      </c>
      <c r="K8" s="144">
        <f t="shared" si="1"/>
        <v>0.84827857049352007</v>
      </c>
      <c r="L8" s="144">
        <f t="shared" si="1"/>
        <v>0.84574749075541467</v>
      </c>
      <c r="M8" s="144">
        <f t="shared" si="1"/>
        <v>0.85036830405788255</v>
      </c>
      <c r="N8" s="144"/>
      <c r="O8" s="144"/>
    </row>
    <row r="9" spans="1:15" ht="12" customHeight="1">
      <c r="A9" s="139" t="s">
        <v>398</v>
      </c>
      <c r="B9" s="143">
        <f>B5-B11</f>
        <v>0</v>
      </c>
      <c r="C9" s="143">
        <f>C5-C11</f>
        <v>4854</v>
      </c>
      <c r="D9" s="143">
        <f>D5-D11</f>
        <v>4709.5</v>
      </c>
      <c r="E9" s="143">
        <f t="shared" ref="E9:M9" si="2">E5-E11</f>
        <v>4362.3999999999996</v>
      </c>
      <c r="F9" s="143">
        <f t="shared" si="2"/>
        <v>3840.6</v>
      </c>
      <c r="G9" s="143">
        <f t="shared" si="2"/>
        <v>3782.6000000000004</v>
      </c>
      <c r="H9" s="143">
        <f t="shared" si="2"/>
        <v>3205.3999999999996</v>
      </c>
      <c r="I9" s="143">
        <f t="shared" si="2"/>
        <v>2709.2</v>
      </c>
      <c r="J9" s="143">
        <f t="shared" si="2"/>
        <v>2499</v>
      </c>
      <c r="K9" s="143">
        <f t="shared" si="2"/>
        <v>2383.6</v>
      </c>
      <c r="L9" s="143">
        <f t="shared" si="2"/>
        <v>2206.3000000000002</v>
      </c>
      <c r="M9" s="143">
        <f t="shared" si="2"/>
        <v>1863.5000000000002</v>
      </c>
      <c r="N9" s="143"/>
      <c r="O9" s="143"/>
    </row>
    <row r="10" spans="1:15" ht="12" customHeight="1">
      <c r="A10" s="139" t="s">
        <v>397</v>
      </c>
      <c r="B10" s="144" t="e">
        <f>B9/B5</f>
        <v>#DIV/0!</v>
      </c>
      <c r="C10" s="144">
        <f>C9/C5</f>
        <v>0.78118964851293926</v>
      </c>
      <c r="D10" s="144">
        <f>D9/D5</f>
        <v>0.79132641059246567</v>
      </c>
      <c r="E10" s="144">
        <f t="shared" ref="E10:M10" si="3">E9/E5</f>
        <v>0.77002100506592752</v>
      </c>
      <c r="F10" s="144">
        <f t="shared" si="3"/>
        <v>0.7902469135802469</v>
      </c>
      <c r="G10" s="144">
        <f t="shared" si="3"/>
        <v>0.84958336140871016</v>
      </c>
      <c r="H10" s="144">
        <f t="shared" si="3"/>
        <v>0.79772037230600756</v>
      </c>
      <c r="I10" s="144">
        <f t="shared" si="3"/>
        <v>0.77908782423649847</v>
      </c>
      <c r="J10" s="144">
        <f t="shared" si="3"/>
        <v>0.77416356877323422</v>
      </c>
      <c r="K10" s="144">
        <f t="shared" si="3"/>
        <v>0.78007592616834665</v>
      </c>
      <c r="L10" s="144">
        <f t="shared" si="3"/>
        <v>0.77700299348476853</v>
      </c>
      <c r="M10" s="144">
        <f t="shared" si="3"/>
        <v>0.81223030989844403</v>
      </c>
      <c r="N10" s="144"/>
      <c r="O10" s="144"/>
    </row>
    <row r="11" spans="1:15" ht="12" customHeight="1">
      <c r="A11" s="139" t="s">
        <v>399</v>
      </c>
      <c r="B11" s="143"/>
      <c r="C11" s="143">
        <f>Cifras_Originales!B8</f>
        <v>1359.6</v>
      </c>
      <c r="D11" s="143">
        <f>Cifras_Originales!C8</f>
        <v>1241.9000000000001</v>
      </c>
      <c r="E11" s="143">
        <f>Cifras_Originales!D8</f>
        <v>1302.9000000000001</v>
      </c>
      <c r="F11" s="143">
        <f>Cifras_Originales!E8</f>
        <v>1019.4</v>
      </c>
      <c r="G11" s="143">
        <f>Cifras_Originales!F8</f>
        <v>669.7</v>
      </c>
      <c r="H11" s="143">
        <f>Cifras_Originales!G8</f>
        <v>812.8</v>
      </c>
      <c r="I11" s="143">
        <f>Cifras_Originales!H8</f>
        <v>768.2</v>
      </c>
      <c r="J11" s="143">
        <f>Cifras_Originales!I8</f>
        <v>729</v>
      </c>
      <c r="K11" s="143">
        <f>Cifras_Originales!J8</f>
        <v>672</v>
      </c>
      <c r="L11" s="143">
        <f>Cifras_Originales!K8</f>
        <v>633.20000000000005</v>
      </c>
      <c r="M11" s="143">
        <f>Cifras_Originales!L8</f>
        <v>430.8</v>
      </c>
      <c r="N11" s="143"/>
      <c r="O11" s="143"/>
    </row>
    <row r="12" spans="1:15" ht="12" customHeight="1">
      <c r="A12" s="139" t="s">
        <v>397</v>
      </c>
      <c r="B12" s="144" t="e">
        <f>B11/B5</f>
        <v>#DIV/0!</v>
      </c>
      <c r="C12" s="144">
        <f>C11/C5</f>
        <v>0.2188103514870606</v>
      </c>
      <c r="D12" s="144">
        <f>D11/D5</f>
        <v>0.20867358940753439</v>
      </c>
      <c r="E12" s="144">
        <f t="shared" ref="E12:M12" si="4">E11/E5</f>
        <v>0.22997899493407234</v>
      </c>
      <c r="F12" s="144">
        <f t="shared" si="4"/>
        <v>0.20975308641975307</v>
      </c>
      <c r="G12" s="144">
        <f t="shared" si="4"/>
        <v>0.1504166385912899</v>
      </c>
      <c r="H12" s="144">
        <f t="shared" si="4"/>
        <v>0.20227962769399233</v>
      </c>
      <c r="I12" s="144">
        <f t="shared" si="4"/>
        <v>0.22091217576350147</v>
      </c>
      <c r="J12" s="144">
        <f t="shared" si="4"/>
        <v>0.2258364312267658</v>
      </c>
      <c r="K12" s="144">
        <f t="shared" si="4"/>
        <v>0.21992407383165335</v>
      </c>
      <c r="L12" s="144">
        <f t="shared" si="4"/>
        <v>0.22299700651523158</v>
      </c>
      <c r="M12" s="144">
        <f t="shared" si="4"/>
        <v>0.18776969010155603</v>
      </c>
      <c r="N12" s="144"/>
      <c r="O12" s="144"/>
    </row>
    <row r="13" spans="1:15" ht="12" customHeight="1">
      <c r="A13" s="139" t="s">
        <v>400</v>
      </c>
      <c r="B13" s="145">
        <f>B11/C11-1</f>
        <v>-1</v>
      </c>
      <c r="C13" s="145">
        <f>C11/D11-1</f>
        <v>9.4774136403897202E-2</v>
      </c>
      <c r="D13" s="145">
        <f>D11/E11-1</f>
        <v>-4.6818635351907334E-2</v>
      </c>
      <c r="E13" s="145">
        <f t="shared" ref="E13:L13" si="5">E11/F11-1</f>
        <v>0.27810476751030033</v>
      </c>
      <c r="F13" s="145">
        <f t="shared" si="5"/>
        <v>0.52217410780946683</v>
      </c>
      <c r="G13" s="145">
        <f t="shared" si="5"/>
        <v>-0.17605807086614167</v>
      </c>
      <c r="H13" s="145">
        <f t="shared" si="5"/>
        <v>5.8057797448580972E-2</v>
      </c>
      <c r="I13" s="145">
        <f t="shared" si="5"/>
        <v>5.3772290809327883E-2</v>
      </c>
      <c r="J13" s="145">
        <f t="shared" si="5"/>
        <v>8.4821428571428603E-2</v>
      </c>
      <c r="K13" s="145">
        <f t="shared" si="5"/>
        <v>6.1276058117498255E-2</v>
      </c>
      <c r="L13" s="145">
        <f t="shared" si="5"/>
        <v>0.46982358402971225</v>
      </c>
      <c r="M13" s="145"/>
      <c r="N13" s="145"/>
      <c r="O13" s="145"/>
    </row>
    <row r="14" spans="1:15" ht="12" customHeight="1">
      <c r="A14" s="139" t="s">
        <v>401</v>
      </c>
      <c r="B14" s="143"/>
      <c r="C14" s="143">
        <f>Cifras_Originales!B9</f>
        <v>-118.4</v>
      </c>
      <c r="D14" s="143">
        <f>Cifras_Originales!C9</f>
        <v>-98.3</v>
      </c>
      <c r="E14" s="143">
        <f>Cifras_Originales!D9</f>
        <v>-13.8</v>
      </c>
      <c r="F14" s="143">
        <f>Cifras_Originales!E9</f>
        <v>16.8</v>
      </c>
      <c r="G14" s="143">
        <f>Cifras_Originales!F9</f>
        <v>22.9</v>
      </c>
      <c r="H14" s="143">
        <f>Cifras_Originales!G9</f>
        <v>-8.5</v>
      </c>
      <c r="I14" s="143">
        <f>Cifras_Originales!H9</f>
        <v>-21.9</v>
      </c>
      <c r="J14" s="143">
        <f>Cifras_Originales!I9</f>
        <v>-13</v>
      </c>
      <c r="K14" s="143">
        <f>Cifras_Originales!J9</f>
        <v>7.9</v>
      </c>
      <c r="L14" s="143">
        <f>Cifras_Originales!K9</f>
        <v>-11.2</v>
      </c>
      <c r="M14" s="143">
        <f>Cifras_Originales!L9</f>
        <v>-17.100000000000001</v>
      </c>
      <c r="N14" s="143"/>
      <c r="O14" s="143"/>
    </row>
    <row r="15" spans="1:15" ht="12" customHeight="1">
      <c r="A15" s="139" t="s">
        <v>402</v>
      </c>
      <c r="B15" s="143"/>
      <c r="C15" s="143">
        <f>Cifras_Originales!B10</f>
        <v>0</v>
      </c>
      <c r="D15" s="143">
        <f>Cifras_Originales!C10</f>
        <v>-39.299999999999997</v>
      </c>
      <c r="E15" s="143">
        <f>Cifras_Originales!D10</f>
        <v>-11.1</v>
      </c>
      <c r="F15" s="143">
        <f>Cifras_Originales!E10</f>
        <v>1.7000000000000002</v>
      </c>
      <c r="G15" s="143">
        <f>Cifras_Originales!F10</f>
        <v>-0.5</v>
      </c>
      <c r="H15" s="143">
        <f>Cifras_Originales!G10</f>
        <v>-5.3999999999999995</v>
      </c>
      <c r="I15" s="143">
        <f>Cifras_Originales!H10</f>
        <v>-6.3000000000000007</v>
      </c>
      <c r="J15" s="143">
        <f>Cifras_Originales!I10</f>
        <v>9.4000000000000021</v>
      </c>
      <c r="K15" s="143">
        <f>Cifras_Originales!J10</f>
        <v>-2.6000000000000005</v>
      </c>
      <c r="L15" s="143">
        <f>Cifras_Originales!K10</f>
        <v>-11.3</v>
      </c>
      <c r="M15" s="143">
        <f>Cifras_Originales!L10</f>
        <v>-2.1999999999999997</v>
      </c>
      <c r="N15" s="143"/>
      <c r="O15" s="143"/>
    </row>
    <row r="16" spans="1:15" ht="12" customHeight="1">
      <c r="A16" s="139" t="s">
        <v>403</v>
      </c>
      <c r="B16" s="143">
        <f>B11-B14-B15</f>
        <v>0</v>
      </c>
      <c r="C16" s="143">
        <f>C11-C14-C15</f>
        <v>1478</v>
      </c>
      <c r="D16" s="143">
        <f>D11-D14-D15</f>
        <v>1379.5</v>
      </c>
      <c r="E16" s="143">
        <f t="shared" ref="E16:M16" si="6">E11-E14-E15</f>
        <v>1327.8</v>
      </c>
      <c r="F16" s="143">
        <f t="shared" si="6"/>
        <v>1000.9</v>
      </c>
      <c r="G16" s="143">
        <f t="shared" si="6"/>
        <v>647.30000000000007</v>
      </c>
      <c r="H16" s="143">
        <f t="shared" si="6"/>
        <v>826.69999999999993</v>
      </c>
      <c r="I16" s="143">
        <f t="shared" si="6"/>
        <v>796.4</v>
      </c>
      <c r="J16" s="143">
        <f t="shared" si="6"/>
        <v>732.6</v>
      </c>
      <c r="K16" s="143">
        <f t="shared" si="6"/>
        <v>666.7</v>
      </c>
      <c r="L16" s="143">
        <f t="shared" si="6"/>
        <v>655.7</v>
      </c>
      <c r="M16" s="143">
        <f t="shared" si="6"/>
        <v>450.1</v>
      </c>
      <c r="N16" s="143"/>
      <c r="O16" s="143"/>
    </row>
    <row r="17" spans="1:15" ht="12" customHeight="1">
      <c r="A17" s="139" t="s">
        <v>404</v>
      </c>
      <c r="B17" s="143"/>
      <c r="C17" s="143">
        <f>Cifras_Originales!B11</f>
        <v>-561</v>
      </c>
      <c r="D17" s="143">
        <f>Cifras_Originales!C11</f>
        <v>-569.5</v>
      </c>
      <c r="E17" s="143">
        <f>Cifras_Originales!D11</f>
        <v>-596.79999999999995</v>
      </c>
      <c r="F17" s="143">
        <f>Cifras_Originales!E11</f>
        <v>-574.6</v>
      </c>
      <c r="G17" s="143">
        <f>Cifras_Originales!F11</f>
        <v>-604.5</v>
      </c>
      <c r="H17" s="143">
        <f>Cifras_Originales!G11</f>
        <v>-396</v>
      </c>
      <c r="I17" s="143">
        <f>Cifras_Originales!H11</f>
        <v>-237.7</v>
      </c>
      <c r="J17" s="143">
        <f>Cifras_Originales!I11</f>
        <v>-217.7</v>
      </c>
      <c r="K17" s="143">
        <f>Cifras_Originales!J11</f>
        <v>-206.4</v>
      </c>
      <c r="L17" s="143">
        <f>Cifras_Originales!K11</f>
        <v>-211.4</v>
      </c>
      <c r="M17" s="143">
        <f>Cifras_Originales!L11</f>
        <v>-176.3</v>
      </c>
      <c r="N17" s="143"/>
      <c r="O17" s="143"/>
    </row>
    <row r="18" spans="1:15" ht="12" customHeight="1">
      <c r="A18" s="139" t="s">
        <v>405</v>
      </c>
      <c r="B18" s="143"/>
      <c r="C18" s="143">
        <f>Cifras_Originales!B12</f>
        <v>-286.3</v>
      </c>
      <c r="D18" s="143">
        <f>Cifras_Originales!C12</f>
        <v>-239.5</v>
      </c>
      <c r="E18" s="143">
        <f>Cifras_Originales!D12</f>
        <v>-169.8</v>
      </c>
      <c r="F18" s="143">
        <f>Cifras_Originales!E12</f>
        <v>93.200000000000017</v>
      </c>
      <c r="G18" s="143">
        <f>Cifras_Originales!F12</f>
        <v>-32.500000000000007</v>
      </c>
      <c r="H18" s="143">
        <f>Cifras_Originales!G12</f>
        <v>58.3</v>
      </c>
      <c r="I18" s="143">
        <f>Cifras_Originales!H12</f>
        <v>8.0999999999999943</v>
      </c>
      <c r="J18" s="143">
        <f>Cifras_Originales!I12</f>
        <v>-84.6</v>
      </c>
      <c r="K18" s="143">
        <f>Cifras_Originales!J12</f>
        <v>-103.7</v>
      </c>
      <c r="L18" s="143">
        <f>Cifras_Originales!K12</f>
        <v>-20.5</v>
      </c>
      <c r="M18" s="143">
        <f>Cifras_Originales!L12</f>
        <v>2.0000000000000036</v>
      </c>
      <c r="N18" s="143"/>
      <c r="O18" s="143"/>
    </row>
    <row r="19" spans="1:15" ht="12" customHeight="1">
      <c r="A19" s="139" t="s">
        <v>406</v>
      </c>
      <c r="B19" s="143">
        <f>B11-B15+B17</f>
        <v>0</v>
      </c>
      <c r="C19" s="143">
        <f>C11-C15+C17</f>
        <v>798.59999999999991</v>
      </c>
      <c r="D19" s="143">
        <f>D11-D15+D17</f>
        <v>711.7</v>
      </c>
      <c r="E19" s="143">
        <f t="shared" ref="E19:M19" si="7">E11-E15+E17</f>
        <v>717.2</v>
      </c>
      <c r="F19" s="143">
        <f t="shared" si="7"/>
        <v>443.09999999999991</v>
      </c>
      <c r="G19" s="143">
        <f t="shared" si="7"/>
        <v>65.700000000000045</v>
      </c>
      <c r="H19" s="143">
        <f t="shared" si="7"/>
        <v>422.19999999999993</v>
      </c>
      <c r="I19" s="143">
        <f t="shared" si="7"/>
        <v>536.79999999999995</v>
      </c>
      <c r="J19" s="143">
        <f t="shared" si="7"/>
        <v>501.90000000000003</v>
      </c>
      <c r="K19" s="143">
        <f t="shared" si="7"/>
        <v>468.20000000000005</v>
      </c>
      <c r="L19" s="143">
        <f t="shared" si="7"/>
        <v>433.1</v>
      </c>
      <c r="M19" s="143">
        <f t="shared" si="7"/>
        <v>256.7</v>
      </c>
      <c r="N19" s="143"/>
      <c r="O19" s="143"/>
    </row>
    <row r="20" spans="1:15" ht="12.75">
      <c r="A20" s="139" t="s">
        <v>397</v>
      </c>
      <c r="B20" s="144" t="e">
        <f>B19/B5</f>
        <v>#DIV/0!</v>
      </c>
      <c r="C20" s="144">
        <f>C19/C5</f>
        <v>0.12852452684434143</v>
      </c>
      <c r="D20" s="144">
        <f>D19/D5</f>
        <v>0.11958530765870216</v>
      </c>
      <c r="E20" s="144">
        <f t="shared" ref="E20:M20" si="8">E19/E5</f>
        <v>0.12659523767496866</v>
      </c>
      <c r="F20" s="144">
        <f t="shared" si="8"/>
        <v>9.1172839506172818E-2</v>
      </c>
      <c r="G20" s="144">
        <f t="shared" si="8"/>
        <v>1.4756418031129988E-2</v>
      </c>
      <c r="H20" s="144">
        <f t="shared" si="8"/>
        <v>0.10507192275148075</v>
      </c>
      <c r="I20" s="144">
        <f t="shared" si="8"/>
        <v>0.1543682061310174</v>
      </c>
      <c r="J20" s="144">
        <f t="shared" si="8"/>
        <v>0.15548327137546469</v>
      </c>
      <c r="K20" s="144">
        <f t="shared" si="8"/>
        <v>0.1532268621547323</v>
      </c>
      <c r="L20" s="144">
        <f t="shared" si="8"/>
        <v>0.15252685331924634</v>
      </c>
      <c r="M20" s="144">
        <f t="shared" si="8"/>
        <v>0.11188597829403303</v>
      </c>
      <c r="N20" s="144"/>
      <c r="O20" s="144"/>
    </row>
    <row r="21" spans="1:15" ht="12" customHeight="1">
      <c r="A21" s="139" t="s">
        <v>407</v>
      </c>
      <c r="B21" s="143"/>
      <c r="C21" s="143">
        <f>Cifras_Originales!B15</f>
        <v>-279.89999999999998</v>
      </c>
      <c r="D21" s="143">
        <f>Cifras_Originales!C15</f>
        <v>-250.7</v>
      </c>
      <c r="E21" s="143">
        <f>Cifras_Originales!D15</f>
        <v>-375.4</v>
      </c>
      <c r="F21" s="143">
        <f>Cifras_Originales!E15</f>
        <v>-230.4</v>
      </c>
      <c r="G21" s="143">
        <f>Cifras_Originales!F15</f>
        <v>-160.80000000000001</v>
      </c>
      <c r="H21" s="143">
        <f>Cifras_Originales!G15</f>
        <v>-209.6</v>
      </c>
      <c r="I21" s="143">
        <f>Cifras_Originales!H15</f>
        <v>-220.4</v>
      </c>
      <c r="J21" s="143">
        <f>Cifras_Originales!I15</f>
        <v>-231.3</v>
      </c>
      <c r="K21" s="143">
        <f>Cifras_Originales!J15</f>
        <v>-209.3</v>
      </c>
      <c r="L21" s="143">
        <f>Cifras_Originales!K15</f>
        <v>-227.1</v>
      </c>
      <c r="M21" s="143">
        <f>Cifras_Originales!L15</f>
        <v>-153.30000000000001</v>
      </c>
      <c r="N21" s="143"/>
      <c r="O21" s="143"/>
    </row>
    <row r="22" spans="1:15" ht="12" customHeight="1">
      <c r="A22" s="139" t="s">
        <v>408</v>
      </c>
      <c r="B22" s="146" t="e">
        <f>+B21/B16</f>
        <v>#DIV/0!</v>
      </c>
      <c r="C22" s="146">
        <f>+C21/C16</f>
        <v>-0.18937753721244924</v>
      </c>
      <c r="D22" s="146">
        <f>+D21/D16</f>
        <v>-0.18173251177963029</v>
      </c>
      <c r="E22" s="146">
        <f t="shared" ref="E22:M22" si="9">+E21/E16</f>
        <v>-0.28272330170206356</v>
      </c>
      <c r="F22" s="146">
        <f t="shared" si="9"/>
        <v>-0.23019282645618944</v>
      </c>
      <c r="G22" s="146">
        <f t="shared" si="9"/>
        <v>-0.24841649930480456</v>
      </c>
      <c r="H22" s="146">
        <f t="shared" si="9"/>
        <v>-0.25353816378371841</v>
      </c>
      <c r="I22" s="146">
        <f t="shared" si="9"/>
        <v>-0.27674535409342038</v>
      </c>
      <c r="J22" s="146">
        <f t="shared" si="9"/>
        <v>-0.31572481572481575</v>
      </c>
      <c r="K22" s="146">
        <f t="shared" si="9"/>
        <v>-0.31393430328483574</v>
      </c>
      <c r="L22" s="146">
        <f t="shared" si="9"/>
        <v>-0.34634741497636112</v>
      </c>
      <c r="M22" s="146">
        <f t="shared" si="9"/>
        <v>-0.3405909797822706</v>
      </c>
      <c r="N22" s="146"/>
      <c r="O22" s="146"/>
    </row>
    <row r="23" spans="1:15" ht="12" customHeight="1">
      <c r="A23" s="139" t="s">
        <v>38</v>
      </c>
      <c r="B23" s="143"/>
      <c r="C23" s="143">
        <f>Cifras_Originales!B16</f>
        <v>1198.0999999999999</v>
      </c>
      <c r="D23" s="143">
        <f>Cifras_Originales!C16</f>
        <v>1050.2</v>
      </c>
      <c r="E23" s="143">
        <f>Cifras_Originales!D16</f>
        <v>930.2</v>
      </c>
      <c r="F23" s="143">
        <f>Cifras_Originales!E16</f>
        <v>773.9</v>
      </c>
      <c r="G23" s="143">
        <f>Cifras_Originales!F16</f>
        <v>485.5</v>
      </c>
      <c r="H23" s="143">
        <f>Cifras_Originales!G16</f>
        <v>606.29999999999995</v>
      </c>
      <c r="I23" s="143">
        <f>Cifras_Originales!H16</f>
        <v>563.4</v>
      </c>
      <c r="J23" s="143">
        <f>Cifras_Originales!I16</f>
        <v>520.1</v>
      </c>
      <c r="K23" s="143">
        <f>Cifras_Originales!J16</f>
        <v>452.2</v>
      </c>
      <c r="L23" s="143">
        <f>Cifras_Originales!K16</f>
        <v>406</v>
      </c>
      <c r="M23" s="143">
        <f>Cifras_Originales!L16</f>
        <v>292.5</v>
      </c>
      <c r="N23" s="143"/>
      <c r="O23" s="143"/>
    </row>
    <row r="24" spans="1:15" ht="12" customHeight="1">
      <c r="A24" s="139" t="s">
        <v>397</v>
      </c>
      <c r="B24" s="144" t="e">
        <f>B23/B5</f>
        <v>#DIV/0!</v>
      </c>
      <c r="C24" s="144">
        <f>C23/C5</f>
        <v>0.19281897772627782</v>
      </c>
      <c r="D24" s="144">
        <f>D23/D5</f>
        <v>0.17646268104983703</v>
      </c>
      <c r="E24" s="144">
        <f t="shared" ref="E24:M24" si="10">E23/E5</f>
        <v>0.16419254055389829</v>
      </c>
      <c r="F24" s="144">
        <f t="shared" si="10"/>
        <v>0.159238683127572</v>
      </c>
      <c r="G24" s="144">
        <f t="shared" si="10"/>
        <v>0.10904476338072457</v>
      </c>
      <c r="H24" s="144">
        <f t="shared" si="10"/>
        <v>0.15088845751829177</v>
      </c>
      <c r="I24" s="144">
        <f t="shared" si="10"/>
        <v>0.16201759935584056</v>
      </c>
      <c r="J24" s="144">
        <f t="shared" si="10"/>
        <v>0.16112143742255267</v>
      </c>
      <c r="K24" s="144">
        <f t="shared" si="10"/>
        <v>0.14799057468255009</v>
      </c>
      <c r="L24" s="144">
        <f t="shared" si="10"/>
        <v>0.14298291952808592</v>
      </c>
      <c r="M24" s="144">
        <f t="shared" si="10"/>
        <v>0.12748986619012334</v>
      </c>
      <c r="N24" s="144"/>
      <c r="O24" s="144"/>
    </row>
    <row r="25" spans="1:15" ht="12" customHeight="1">
      <c r="A25" s="147" t="s">
        <v>409</v>
      </c>
      <c r="B25" s="148">
        <f>B23/C23-1</f>
        <v>-1</v>
      </c>
      <c r="C25" s="148">
        <f>C23/D23-1</f>
        <v>0.14083031803465995</v>
      </c>
      <c r="D25" s="148">
        <f>D23/E23-1</f>
        <v>0.12900451515803057</v>
      </c>
      <c r="E25" s="148">
        <f t="shared" ref="E25:L25" si="11">E23/F23-1</f>
        <v>0.20196407804625927</v>
      </c>
      <c r="F25" s="148">
        <f t="shared" si="11"/>
        <v>0.59402677651905256</v>
      </c>
      <c r="G25" s="148">
        <f t="shared" si="11"/>
        <v>-0.19924129968662374</v>
      </c>
      <c r="H25" s="148">
        <f t="shared" si="11"/>
        <v>7.6144834930777394E-2</v>
      </c>
      <c r="I25" s="148">
        <f t="shared" si="11"/>
        <v>8.3253220534512451E-2</v>
      </c>
      <c r="J25" s="148">
        <f t="shared" si="11"/>
        <v>0.15015479876161009</v>
      </c>
      <c r="K25" s="148">
        <f t="shared" si="11"/>
        <v>0.11379310344827576</v>
      </c>
      <c r="L25" s="148">
        <f t="shared" si="11"/>
        <v>0.38803418803418799</v>
      </c>
      <c r="M25" s="148"/>
      <c r="N25" s="144"/>
      <c r="O25" s="144"/>
    </row>
    <row r="26" spans="1:15" ht="12" customHeight="1">
      <c r="A26" s="139" t="s">
        <v>410</v>
      </c>
      <c r="B26" s="143">
        <f>B40-C40</f>
        <v>-3952.6</v>
      </c>
      <c r="C26" s="143">
        <f>C40-D40</f>
        <v>384.29999999999973</v>
      </c>
      <c r="D26" s="143">
        <f>D40-E40</f>
        <v>799.30000000000018</v>
      </c>
      <c r="E26" s="143">
        <f t="shared" ref="E26:M26" si="12">E40-F40</f>
        <v>-210.5</v>
      </c>
      <c r="F26" s="143">
        <f t="shared" si="12"/>
        <v>830.69999999999982</v>
      </c>
      <c r="G26" s="143">
        <f t="shared" si="12"/>
        <v>203.90000000000009</v>
      </c>
      <c r="H26" s="143">
        <f t="shared" si="12"/>
        <v>-865</v>
      </c>
      <c r="I26" s="143">
        <f t="shared" si="12"/>
        <v>349.20000000000027</v>
      </c>
      <c r="J26" s="143">
        <f t="shared" si="12"/>
        <v>-32.100000000000364</v>
      </c>
      <c r="K26" s="143">
        <f t="shared" si="12"/>
        <v>141.5</v>
      </c>
      <c r="L26" s="143">
        <f t="shared" si="12"/>
        <v>1175.8000000000002</v>
      </c>
      <c r="M26" s="143">
        <f t="shared" si="12"/>
        <v>1175.5</v>
      </c>
      <c r="N26" s="144"/>
      <c r="O26" s="144"/>
    </row>
    <row r="27" spans="1:15" ht="12" customHeight="1">
      <c r="A27" s="149" t="s">
        <v>411</v>
      </c>
      <c r="B27" s="150"/>
      <c r="C27" s="150">
        <f>Cifras_Originales!B17</f>
        <v>-302.7</v>
      </c>
      <c r="D27" s="150">
        <f>Cifras_Originales!C17</f>
        <v>-276.2</v>
      </c>
      <c r="E27" s="150">
        <f>Cifras_Originales!D17</f>
        <v>-223.5</v>
      </c>
      <c r="F27" s="150">
        <f>Cifras_Originales!E17</f>
        <v>-147.1</v>
      </c>
      <c r="G27" s="150">
        <f>Cifras_Originales!F17</f>
        <v>-182.5</v>
      </c>
      <c r="H27" s="150">
        <f>Cifras_Originales!G17</f>
        <v>-168.8</v>
      </c>
      <c r="I27" s="150">
        <f>Cifras_Originales!H17</f>
        <v>-38</v>
      </c>
      <c r="J27" s="150">
        <f>Cifras_Originales!I17</f>
        <v>-51.3</v>
      </c>
      <c r="K27" s="150">
        <f>Cifras_Originales!J17</f>
        <v>-101.9</v>
      </c>
      <c r="L27" s="150">
        <f>Cifras_Originales!K17</f>
        <v>-98.4</v>
      </c>
      <c r="M27" s="150">
        <f>Cifras_Originales!L17</f>
        <v>-35.799999999999997</v>
      </c>
      <c r="N27" s="144"/>
      <c r="O27" s="144"/>
    </row>
    <row r="28" spans="1:15" ht="12" customHeight="1">
      <c r="A28" s="252"/>
      <c r="B28" s="253">
        <f>B27/C27-1</f>
        <v>-1</v>
      </c>
      <c r="C28" s="253">
        <f>C27/D27-1</f>
        <v>9.5944967414916649E-2</v>
      </c>
      <c r="D28" s="253">
        <f t="shared" ref="D28:L28" si="13">D27/E27-1</f>
        <v>0.23579418344519021</v>
      </c>
      <c r="E28" s="253">
        <f t="shared" si="13"/>
        <v>0.51937457511896667</v>
      </c>
      <c r="F28" s="253">
        <f t="shared" si="13"/>
        <v>-0.19397260273972605</v>
      </c>
      <c r="G28" s="253">
        <f t="shared" si="13"/>
        <v>8.1161137440758147E-2</v>
      </c>
      <c r="H28" s="253">
        <f t="shared" si="13"/>
        <v>3.4421052631578952</v>
      </c>
      <c r="I28" s="253">
        <f t="shared" si="13"/>
        <v>-0.25925925925925919</v>
      </c>
      <c r="J28" s="253">
        <f t="shared" si="13"/>
        <v>-0.49656526005888135</v>
      </c>
      <c r="K28" s="253">
        <f t="shared" si="13"/>
        <v>3.5569105691056979E-2</v>
      </c>
      <c r="L28" s="253">
        <f t="shared" si="13"/>
        <v>1.7486033519553077</v>
      </c>
      <c r="M28" s="143"/>
      <c r="N28" s="144"/>
      <c r="O28" s="144"/>
    </row>
    <row r="29" spans="1:15" ht="12" customHeight="1">
      <c r="A29" s="151" t="s">
        <v>412</v>
      </c>
      <c r="B29" s="152"/>
      <c r="C29" s="152">
        <f>Cifras_Originales!B18</f>
        <v>-325.60000000000002</v>
      </c>
      <c r="D29" s="152">
        <f>Cifras_Originales!C18</f>
        <v>-162.30000000000001</v>
      </c>
      <c r="E29" s="152">
        <f>Cifras_Originales!D18</f>
        <v>-379</v>
      </c>
      <c r="F29" s="152">
        <f>Cifras_Originales!E18</f>
        <v>-127.2</v>
      </c>
      <c r="G29" s="152">
        <f>Cifras_Originales!F18</f>
        <v>-78.5</v>
      </c>
      <c r="H29" s="152">
        <f>Cifras_Originales!G18</f>
        <v>-43.4</v>
      </c>
      <c r="I29" s="152">
        <f>Cifras_Originales!H18</f>
        <v>-136.4</v>
      </c>
      <c r="J29" s="152">
        <f>Cifras_Originales!I18</f>
        <v>-70.599999999999994</v>
      </c>
      <c r="K29" s="152">
        <f>Cifras_Originales!J18</f>
        <v>-100.4</v>
      </c>
      <c r="L29" s="152">
        <f>Cifras_Originales!K18</f>
        <v>7.6</v>
      </c>
      <c r="M29" s="152">
        <f>Cifras_Originales!L18</f>
        <v>-113.8</v>
      </c>
      <c r="N29" s="144"/>
      <c r="O29" s="144"/>
    </row>
    <row r="30" spans="1:15" ht="12" customHeight="1">
      <c r="A30" s="139" t="s">
        <v>77</v>
      </c>
      <c r="B30" s="143">
        <f>+B26+B27+B29</f>
        <v>-3952.6</v>
      </c>
      <c r="C30" s="143">
        <f>+C26+C27+C29</f>
        <v>-244.00000000000028</v>
      </c>
      <c r="D30" s="143">
        <f t="shared" ref="D30:M30" si="14">+D26+D27+D29</f>
        <v>360.80000000000013</v>
      </c>
      <c r="E30" s="143">
        <f t="shared" si="14"/>
        <v>-813</v>
      </c>
      <c r="F30" s="143">
        <f t="shared" si="14"/>
        <v>556.39999999999975</v>
      </c>
      <c r="G30" s="143">
        <f t="shared" si="14"/>
        <v>-57.099999999999909</v>
      </c>
      <c r="H30" s="143">
        <f t="shared" si="14"/>
        <v>-1077.2</v>
      </c>
      <c r="I30" s="143">
        <f t="shared" si="14"/>
        <v>174.80000000000027</v>
      </c>
      <c r="J30" s="143">
        <f t="shared" si="14"/>
        <v>-154.00000000000034</v>
      </c>
      <c r="K30" s="143">
        <f t="shared" si="14"/>
        <v>-60.800000000000011</v>
      </c>
      <c r="L30" s="143">
        <f t="shared" si="14"/>
        <v>1085</v>
      </c>
      <c r="M30" s="143">
        <f t="shared" si="14"/>
        <v>1025.9000000000001</v>
      </c>
      <c r="N30" s="144"/>
      <c r="O30" s="144"/>
    </row>
    <row r="31" spans="1:15" ht="12" customHeight="1">
      <c r="A31" s="153" t="s">
        <v>413</v>
      </c>
      <c r="B31" s="154">
        <f>B30-(B60-C60)</f>
        <v>-1459</v>
      </c>
      <c r="C31" s="154">
        <f>C30-(C60-D60)</f>
        <v>863.2999999999995</v>
      </c>
      <c r="D31" s="154">
        <f>D30-(D60-E60)</f>
        <v>336.60000000000076</v>
      </c>
      <c r="E31" s="154">
        <f t="shared" ref="E31:M31" si="15">E30-(E60-F60)</f>
        <v>80.999999999999545</v>
      </c>
      <c r="F31" s="154">
        <f t="shared" si="15"/>
        <v>919.3000000000003</v>
      </c>
      <c r="G31" s="154">
        <f t="shared" si="15"/>
        <v>406.29999999999973</v>
      </c>
      <c r="H31" s="154">
        <f t="shared" si="15"/>
        <v>-5374.2</v>
      </c>
      <c r="I31" s="154">
        <f t="shared" si="15"/>
        <v>174.80000000000027</v>
      </c>
      <c r="J31" s="154">
        <f t="shared" si="15"/>
        <v>-154.00000000000034</v>
      </c>
      <c r="K31" s="154">
        <f t="shared" si="15"/>
        <v>-60.800000000000011</v>
      </c>
      <c r="L31" s="154">
        <f t="shared" si="15"/>
        <v>445</v>
      </c>
      <c r="M31" s="154">
        <f t="shared" si="15"/>
        <v>665.90000000000009</v>
      </c>
      <c r="N31" s="154"/>
      <c r="O31" s="154"/>
    </row>
    <row r="32" spans="1:15" ht="12" customHeight="1">
      <c r="A32" s="155" t="s">
        <v>414</v>
      </c>
      <c r="B32" s="156">
        <f>B31+B34</f>
        <v>-1459</v>
      </c>
      <c r="C32" s="156">
        <f>C31+C34</f>
        <v>864.89999999999952</v>
      </c>
      <c r="D32" s="156">
        <f>D31+D34</f>
        <v>320.20000000000078</v>
      </c>
      <c r="E32" s="156">
        <f t="shared" ref="E32:M32" si="16">E31+E34</f>
        <v>-0.60000000000044906</v>
      </c>
      <c r="F32" s="156">
        <f t="shared" si="16"/>
        <v>862.60000000000025</v>
      </c>
      <c r="G32" s="156">
        <f t="shared" si="16"/>
        <v>325.29999999999973</v>
      </c>
      <c r="H32" s="156">
        <f t="shared" si="16"/>
        <v>-10610.7</v>
      </c>
      <c r="I32" s="156">
        <f t="shared" si="16"/>
        <v>-75.999999999999716</v>
      </c>
      <c r="J32" s="156">
        <f t="shared" si="16"/>
        <v>-436.90000000000032</v>
      </c>
      <c r="K32" s="156">
        <f t="shared" si="16"/>
        <v>-303.10000000000002</v>
      </c>
      <c r="L32" s="156">
        <f t="shared" si="16"/>
        <v>428.1</v>
      </c>
      <c r="M32" s="156">
        <f t="shared" si="16"/>
        <v>-289.59999999999991</v>
      </c>
      <c r="N32" s="143"/>
      <c r="O32" s="143"/>
    </row>
    <row r="33" spans="1:15" ht="12" customHeight="1">
      <c r="A33" s="139" t="s">
        <v>84</v>
      </c>
      <c r="B33" s="143"/>
      <c r="C33" s="143">
        <f>Cifras_Originales!B13</f>
        <v>-193.4</v>
      </c>
      <c r="D33" s="143">
        <f>Cifras_Originales!C13</f>
        <v>-145.30000000000001</v>
      </c>
      <c r="E33" s="143">
        <f>Cifras_Originales!D13</f>
        <v>-132.30000000000001</v>
      </c>
      <c r="F33" s="143">
        <f>Cifras_Originales!E13</f>
        <v>-103.7</v>
      </c>
      <c r="G33" s="143">
        <f>Cifras_Originales!F13</f>
        <v>-127</v>
      </c>
      <c r="H33" s="143">
        <f>Cifras_Originales!G13</f>
        <v>-98.3</v>
      </c>
      <c r="I33" s="143">
        <f>Cifras_Originales!H13</f>
        <v>-72.400000000000006</v>
      </c>
      <c r="J33" s="143">
        <f>Cifras_Originales!I13</f>
        <v>-84.5</v>
      </c>
      <c r="K33" s="143">
        <f>Cifras_Originales!J13</f>
        <v>-56.7</v>
      </c>
      <c r="L33" s="143">
        <f>Cifras_Originales!K13</f>
        <v>-43.6</v>
      </c>
      <c r="M33" s="143">
        <f>Cifras_Originales!L13</f>
        <v>-45.4</v>
      </c>
      <c r="N33" s="143">
        <f>Cifras_Originales!M13</f>
        <v>-42.4</v>
      </c>
      <c r="O33" s="143">
        <f>Cifras_Originales!N13</f>
        <v>-40.6</v>
      </c>
    </row>
    <row r="34" spans="1:15" ht="12" customHeight="1">
      <c r="A34" s="157" t="s">
        <v>250</v>
      </c>
      <c r="B34" s="143"/>
      <c r="C34" s="143">
        <f>Cifras_Originales!B14</f>
        <v>1.6000000000000014</v>
      </c>
      <c r="D34" s="143">
        <f>Cifras_Originales!C14</f>
        <v>-16.400000000000002</v>
      </c>
      <c r="E34" s="143">
        <f>Cifras_Originales!D14</f>
        <v>-81.599999999999994</v>
      </c>
      <c r="F34" s="143">
        <f>Cifras_Originales!E14</f>
        <v>-56.699999999999996</v>
      </c>
      <c r="G34" s="143">
        <f>Cifras_Originales!F14</f>
        <v>-81</v>
      </c>
      <c r="H34" s="143">
        <f>Cifras_Originales!G14</f>
        <v>-5236.5</v>
      </c>
      <c r="I34" s="143">
        <f>Cifras_Originales!H14</f>
        <v>-250.79999999999998</v>
      </c>
      <c r="J34" s="143">
        <f>Cifras_Originales!I14</f>
        <v>-282.89999999999998</v>
      </c>
      <c r="K34" s="143">
        <f>Cifras_Originales!J14</f>
        <v>-242.29999999999998</v>
      </c>
      <c r="L34" s="143">
        <f>Cifras_Originales!K14</f>
        <v>-16.899999999999999</v>
      </c>
      <c r="M34" s="143">
        <f>Cifras_Originales!L14</f>
        <v>-955.5</v>
      </c>
      <c r="N34" s="143">
        <f>Cifras_Originales!M14</f>
        <v>-126.2</v>
      </c>
      <c r="O34" s="143">
        <f>Cifras_Originales!N14</f>
        <v>-178.2</v>
      </c>
    </row>
    <row r="35" spans="1:15" ht="12" customHeight="1">
      <c r="A35" s="157" t="s">
        <v>415</v>
      </c>
      <c r="B35" s="143">
        <f t="shared" ref="B35:O35" si="17">+B34+B33</f>
        <v>0</v>
      </c>
      <c r="C35" s="143">
        <f t="shared" si="17"/>
        <v>-191.8</v>
      </c>
      <c r="D35" s="143">
        <f t="shared" si="17"/>
        <v>-161.70000000000002</v>
      </c>
      <c r="E35" s="143">
        <f t="shared" si="17"/>
        <v>-213.9</v>
      </c>
      <c r="F35" s="143">
        <f t="shared" si="17"/>
        <v>-160.4</v>
      </c>
      <c r="G35" s="143">
        <f t="shared" si="17"/>
        <v>-208</v>
      </c>
      <c r="H35" s="143">
        <f t="shared" si="17"/>
        <v>-5334.8</v>
      </c>
      <c r="I35" s="143">
        <f t="shared" si="17"/>
        <v>-323.2</v>
      </c>
      <c r="J35" s="143">
        <f t="shared" si="17"/>
        <v>-367.4</v>
      </c>
      <c r="K35" s="143"/>
      <c r="L35" s="143">
        <f t="shared" si="17"/>
        <v>-60.5</v>
      </c>
      <c r="M35" s="143">
        <f t="shared" si="17"/>
        <v>-1000.9</v>
      </c>
      <c r="N35" s="143">
        <f t="shared" si="17"/>
        <v>-168.6</v>
      </c>
      <c r="O35" s="143">
        <f t="shared" si="17"/>
        <v>-218.79999999999998</v>
      </c>
    </row>
    <row r="36" spans="1:15" ht="12" customHeight="1">
      <c r="A36" s="157"/>
      <c r="B36" s="144" t="e">
        <f>+B35/B5</f>
        <v>#DIV/0!</v>
      </c>
      <c r="C36" s="144">
        <f>+C35/C5</f>
        <v>-3.0867773915282604E-2</v>
      </c>
      <c r="D36" s="144">
        <f t="shared" ref="D36:M36" si="18">+D35/D5</f>
        <v>-2.717007762879323E-2</v>
      </c>
      <c r="E36" s="144">
        <f t="shared" si="18"/>
        <v>-3.7756164722080029E-2</v>
      </c>
      <c r="F36" s="144">
        <f t="shared" si="18"/>
        <v>-3.3004115226337449E-2</v>
      </c>
      <c r="G36" s="144">
        <f t="shared" si="18"/>
        <v>-4.6717426947869636E-2</v>
      </c>
      <c r="H36" s="144">
        <f t="shared" si="18"/>
        <v>-1.3276591508635709</v>
      </c>
      <c r="I36" s="144">
        <f t="shared" si="18"/>
        <v>-9.2943003393339843E-2</v>
      </c>
      <c r="J36" s="144">
        <f t="shared" si="18"/>
        <v>-0.11381660470879801</v>
      </c>
      <c r="K36" s="144">
        <f t="shared" si="18"/>
        <v>0</v>
      </c>
      <c r="L36" s="144">
        <f t="shared" si="18"/>
        <v>-2.1306568057756648E-2</v>
      </c>
      <c r="M36" s="144">
        <f t="shared" si="18"/>
        <v>-0.43625506690493826</v>
      </c>
      <c r="N36" s="143"/>
      <c r="O36" s="143"/>
    </row>
    <row r="37" spans="1:15" ht="12" customHeight="1">
      <c r="A37" s="157" t="s">
        <v>416</v>
      </c>
      <c r="B37" s="143">
        <f t="shared" ref="B37:M37" si="19">SUM(B27:B29)</f>
        <v>-1</v>
      </c>
      <c r="C37" s="143">
        <f t="shared" si="19"/>
        <v>-628.20405503258507</v>
      </c>
      <c r="D37" s="143">
        <f t="shared" si="19"/>
        <v>-438.26420581655481</v>
      </c>
      <c r="E37" s="143">
        <f t="shared" si="19"/>
        <v>-601.98062542488105</v>
      </c>
      <c r="F37" s="143">
        <f t="shared" si="19"/>
        <v>-274.49397260273975</v>
      </c>
      <c r="G37" s="143">
        <f t="shared" si="19"/>
        <v>-260.91883886255926</v>
      </c>
      <c r="H37" s="143">
        <f t="shared" si="19"/>
        <v>-208.75789473684213</v>
      </c>
      <c r="I37" s="143">
        <f t="shared" si="19"/>
        <v>-174.65925925925927</v>
      </c>
      <c r="J37" s="143">
        <f t="shared" si="19"/>
        <v>-122.39656526005888</v>
      </c>
      <c r="K37" s="143">
        <f t="shared" si="19"/>
        <v>-202.26443089430896</v>
      </c>
      <c r="L37" s="143">
        <f t="shared" si="19"/>
        <v>-89.051396648044701</v>
      </c>
      <c r="M37" s="143">
        <f t="shared" si="19"/>
        <v>-149.6</v>
      </c>
      <c r="N37" s="143"/>
      <c r="O37" s="143"/>
    </row>
    <row r="38" spans="1:15" ht="12" customHeight="1">
      <c r="A38" s="142"/>
      <c r="B38" s="136"/>
      <c r="C38" s="136"/>
      <c r="D38" s="136"/>
      <c r="E38" s="136"/>
      <c r="F38" s="136"/>
      <c r="G38" s="136"/>
      <c r="H38" s="136"/>
      <c r="I38" s="136"/>
      <c r="J38" s="136"/>
      <c r="K38" s="136"/>
      <c r="L38" s="136"/>
      <c r="M38" s="136"/>
      <c r="N38" s="136"/>
      <c r="O38" s="136"/>
    </row>
    <row r="39" spans="1:15" ht="12" customHeight="1">
      <c r="A39" s="158" t="s">
        <v>417</v>
      </c>
      <c r="B39" s="159"/>
      <c r="C39" s="159"/>
      <c r="D39" s="159"/>
      <c r="E39" s="159"/>
      <c r="F39" s="159"/>
      <c r="G39" s="159"/>
      <c r="H39" s="159"/>
      <c r="I39" s="159"/>
      <c r="J39" s="159"/>
      <c r="K39" s="159"/>
      <c r="L39" s="159"/>
      <c r="M39" s="159"/>
      <c r="N39" s="159"/>
      <c r="O39" s="159"/>
    </row>
    <row r="40" spans="1:15" ht="12" customHeight="1">
      <c r="A40" s="139" t="s">
        <v>418</v>
      </c>
      <c r="B40" s="143"/>
      <c r="C40" s="143">
        <f>Cifras_Originales!B22</f>
        <v>3952.6</v>
      </c>
      <c r="D40" s="143">
        <f>Cifras_Originales!C22</f>
        <v>3568.3</v>
      </c>
      <c r="E40" s="143">
        <f>Cifras_Originales!D22</f>
        <v>2769</v>
      </c>
      <c r="F40" s="143">
        <f>Cifras_Originales!E22</f>
        <v>2979.5</v>
      </c>
      <c r="G40" s="143">
        <f>Cifras_Originales!F22</f>
        <v>2148.8000000000002</v>
      </c>
      <c r="H40" s="143">
        <f>Cifras_Originales!G22</f>
        <v>1944.9</v>
      </c>
      <c r="I40" s="143">
        <f>Cifras_Originales!H22</f>
        <v>2809.9</v>
      </c>
      <c r="J40" s="143">
        <f>Cifras_Originales!I22</f>
        <v>2460.6999999999998</v>
      </c>
      <c r="K40" s="143">
        <f>Cifras_Originales!J22</f>
        <v>2492.8000000000002</v>
      </c>
      <c r="L40" s="143">
        <f>Cifras_Originales!K22</f>
        <v>2351.3000000000002</v>
      </c>
      <c r="M40" s="143">
        <f>Cifras_Originales!L22</f>
        <v>1175.5</v>
      </c>
      <c r="N40" s="143"/>
      <c r="O40" s="143"/>
    </row>
    <row r="41" spans="1:15" ht="12" customHeight="1">
      <c r="A41" s="139" t="s">
        <v>419</v>
      </c>
      <c r="B41" s="143"/>
      <c r="C41" s="143">
        <f>Cifras_Originales!B23</f>
        <v>2151</v>
      </c>
      <c r="D41" s="143">
        <f>Cifras_Originales!C23</f>
        <v>1734.7</v>
      </c>
      <c r="E41" s="143">
        <f>Cifras_Originales!D23</f>
        <v>1681.8999999999999</v>
      </c>
      <c r="F41" s="143">
        <f>Cifras_Originales!E23</f>
        <v>1379</v>
      </c>
      <c r="G41" s="143">
        <f>Cifras_Originales!F23</f>
        <v>1256.0999999999999</v>
      </c>
      <c r="H41" s="143">
        <f>Cifras_Originales!G23</f>
        <v>1346.1000000000001</v>
      </c>
      <c r="I41" s="143">
        <f>Cifras_Originales!H23</f>
        <v>1070.5999999999999</v>
      </c>
      <c r="J41" s="143">
        <f>Cifras_Originales!I23</f>
        <v>895.9</v>
      </c>
      <c r="K41" s="143">
        <f>Cifras_Originales!J23</f>
        <v>820.4</v>
      </c>
      <c r="L41" s="143">
        <f>Cifras_Originales!K23</f>
        <v>739.1</v>
      </c>
      <c r="M41" s="143">
        <f>Cifras_Originales!L23</f>
        <v>627.70000000000005</v>
      </c>
      <c r="N41" s="143"/>
      <c r="O41" s="143"/>
    </row>
    <row r="42" spans="1:15" ht="12" customHeight="1">
      <c r="A42" s="139" t="s">
        <v>420</v>
      </c>
      <c r="B42" s="143"/>
      <c r="C42" s="143">
        <f>Cifras_Originales!B24</f>
        <v>0</v>
      </c>
      <c r="D42" s="143">
        <f>Cifras_Originales!C24</f>
        <v>0</v>
      </c>
      <c r="E42" s="143">
        <f>Cifras_Originales!D24</f>
        <v>0</v>
      </c>
      <c r="F42" s="143">
        <f>Cifras_Originales!E24</f>
        <v>0</v>
      </c>
      <c r="G42" s="143">
        <f>Cifras_Originales!F24</f>
        <v>0</v>
      </c>
      <c r="H42" s="143">
        <f>Cifras_Originales!G24</f>
        <v>0</v>
      </c>
      <c r="I42" s="143">
        <f>Cifras_Originales!H24</f>
        <v>0</v>
      </c>
      <c r="J42" s="143">
        <f>Cifras_Originales!I24</f>
        <v>0</v>
      </c>
      <c r="K42" s="143">
        <f>Cifras_Originales!J24</f>
        <v>0</v>
      </c>
      <c r="L42" s="143">
        <f>Cifras_Originales!K24</f>
        <v>0</v>
      </c>
      <c r="M42" s="143">
        <f>Cifras_Originales!L24</f>
        <v>0</v>
      </c>
      <c r="N42" s="143"/>
      <c r="O42" s="143"/>
    </row>
    <row r="43" spans="1:15" ht="12" customHeight="1">
      <c r="A43" s="139" t="s">
        <v>421</v>
      </c>
      <c r="B43" s="143"/>
      <c r="C43" s="143">
        <f>Cifras_Originales!B25</f>
        <v>945.8</v>
      </c>
      <c r="D43" s="143">
        <f>Cifras_Originales!C25</f>
        <v>882.8</v>
      </c>
      <c r="E43" s="143">
        <f>Cifras_Originales!D25</f>
        <v>819.9</v>
      </c>
      <c r="F43" s="143">
        <f>Cifras_Originales!E25</f>
        <v>817</v>
      </c>
      <c r="G43" s="143">
        <f>Cifras_Originales!F25</f>
        <v>861.1</v>
      </c>
      <c r="H43" s="143">
        <f>Cifras_Originales!G25</f>
        <v>899.7</v>
      </c>
      <c r="I43" s="143">
        <f>Cifras_Originales!H25</f>
        <v>178.2</v>
      </c>
      <c r="J43" s="143">
        <f>Cifras_Originales!I25</f>
        <v>169</v>
      </c>
      <c r="K43" s="143">
        <f>Cifras_Originales!J25</f>
        <v>135.4</v>
      </c>
      <c r="L43" s="143">
        <f>Cifras_Originales!K25</f>
        <v>135.30000000000001</v>
      </c>
      <c r="M43" s="143">
        <f>Cifras_Originales!L25</f>
        <v>136.69999999999999</v>
      </c>
      <c r="N43" s="143"/>
      <c r="O43" s="143"/>
    </row>
    <row r="44" spans="1:15" ht="12" customHeight="1">
      <c r="A44" s="139" t="s">
        <v>422</v>
      </c>
      <c r="B44" s="143">
        <f>B45-SUM(B40:B43)</f>
        <v>0</v>
      </c>
      <c r="C44" s="143">
        <f>Cifras_Originales!B26</f>
        <v>8496.5</v>
      </c>
      <c r="D44" s="143">
        <f>Cifras_Originales!C26</f>
        <v>9011</v>
      </c>
      <c r="E44" s="143">
        <f>Cifras_Originales!D26</f>
        <v>9056</v>
      </c>
      <c r="F44" s="143">
        <f>Cifras_Originales!E26</f>
        <v>8725</v>
      </c>
      <c r="G44" s="143">
        <f>Cifras_Originales!F26</f>
        <v>9709</v>
      </c>
      <c r="H44" s="143">
        <f>Cifras_Originales!G26</f>
        <v>3942</v>
      </c>
      <c r="I44" s="143">
        <f>Cifras_Originales!H26</f>
        <v>3504</v>
      </c>
      <c r="J44" s="143">
        <f>Cifras_Originales!I26</f>
        <v>3495</v>
      </c>
      <c r="K44" s="143">
        <f>Cifras_Originales!J26</f>
        <v>3086</v>
      </c>
      <c r="L44" s="143">
        <f>Cifras_Originales!K26</f>
        <v>3023</v>
      </c>
      <c r="M44" s="143">
        <f>Cifras_Originales!L26</f>
        <v>1811</v>
      </c>
      <c r="N44" s="143"/>
      <c r="O44" s="143"/>
    </row>
    <row r="45" spans="1:15" ht="12" customHeight="1">
      <c r="A45" s="139" t="s">
        <v>423</v>
      </c>
      <c r="B45" s="160"/>
      <c r="C45" s="160">
        <f>Cifras_Originales!B27</f>
        <v>15545.9</v>
      </c>
      <c r="D45" s="160">
        <f>Cifras_Originales!C27</f>
        <v>14622.4</v>
      </c>
      <c r="E45" s="160">
        <f>Cifras_Originales!D27</f>
        <v>14261.1</v>
      </c>
      <c r="F45" s="160">
        <f>Cifras_Originales!E27</f>
        <v>14218.7</v>
      </c>
      <c r="G45" s="160">
        <f>Cifras_Originales!F27</f>
        <v>12964.2</v>
      </c>
      <c r="H45" s="160">
        <f>Cifras_Originales!G27</f>
        <v>13872.6</v>
      </c>
      <c r="I45" s="160">
        <f>Cifras_Originales!H27</f>
        <v>7974</v>
      </c>
      <c r="J45" s="160">
        <f>Cifras_Originales!I27</f>
        <v>7029.8</v>
      </c>
      <c r="K45" s="160">
        <f>Cifras_Originales!J27</f>
        <v>6943.1</v>
      </c>
      <c r="L45" s="160">
        <f>Cifras_Originales!K27</f>
        <v>6311.4</v>
      </c>
      <c r="M45" s="160">
        <f>Cifras_Originales!L27</f>
        <v>4962.3999999999996</v>
      </c>
      <c r="N45" s="160"/>
      <c r="O45" s="160"/>
    </row>
    <row r="46" spans="1:15" ht="12" customHeight="1">
      <c r="B46" s="135"/>
      <c r="C46" s="135"/>
      <c r="D46" s="135"/>
      <c r="E46" s="135"/>
      <c r="F46" s="135"/>
      <c r="G46" s="135"/>
      <c r="H46" s="135"/>
      <c r="I46" s="135"/>
      <c r="J46" s="135"/>
      <c r="K46" s="135"/>
      <c r="L46" s="135"/>
      <c r="M46" s="135"/>
      <c r="N46" s="135"/>
      <c r="O46" s="135"/>
    </row>
    <row r="47" spans="1:15" ht="12" customHeight="1">
      <c r="B47" s="135"/>
      <c r="C47" s="135"/>
      <c r="D47" s="135"/>
      <c r="E47" s="135"/>
      <c r="F47" s="135"/>
      <c r="G47" s="135"/>
      <c r="H47" s="135"/>
      <c r="I47" s="135"/>
      <c r="J47" s="135"/>
      <c r="K47" s="135"/>
      <c r="L47" s="135"/>
      <c r="M47" s="135"/>
      <c r="N47" s="135"/>
      <c r="O47" s="135"/>
    </row>
    <row r="48" spans="1:15" ht="12" customHeight="1">
      <c r="A48" s="158" t="s">
        <v>424</v>
      </c>
      <c r="B48" s="159"/>
      <c r="C48" s="159"/>
      <c r="D48" s="159"/>
      <c r="E48" s="159"/>
      <c r="F48" s="159"/>
      <c r="G48" s="159"/>
      <c r="H48" s="159"/>
      <c r="I48" s="159"/>
      <c r="J48" s="159"/>
      <c r="K48" s="159"/>
      <c r="L48" s="159"/>
      <c r="M48" s="159"/>
      <c r="N48" s="159"/>
      <c r="O48" s="159"/>
    </row>
    <row r="49" spans="1:15" ht="12" customHeight="1">
      <c r="A49" s="139" t="s">
        <v>425</v>
      </c>
      <c r="B49" s="143"/>
      <c r="C49" s="143">
        <f>Cifras_Originales!B31</f>
        <v>3521.5</v>
      </c>
      <c r="D49" s="143">
        <f>Cifras_Originales!C31</f>
        <v>3561</v>
      </c>
      <c r="E49" s="143">
        <f>Cifras_Originales!D31</f>
        <v>2881</v>
      </c>
      <c r="F49" s="143">
        <f>Cifras_Originales!E31</f>
        <v>3470.3</v>
      </c>
      <c r="G49" s="143">
        <f>Cifras_Originales!F31</f>
        <v>2086.9</v>
      </c>
      <c r="H49" s="143">
        <f>Cifras_Originales!G31</f>
        <v>2133.8000000000002</v>
      </c>
      <c r="I49" s="143">
        <f>Cifras_Originales!H31</f>
        <v>2022.7</v>
      </c>
      <c r="J49" s="143">
        <f>Cifras_Originales!I31</f>
        <v>1527.5</v>
      </c>
      <c r="K49" s="143">
        <f>Cifras_Originales!J31</f>
        <v>1465.6</v>
      </c>
      <c r="L49" s="143">
        <f>Cifras_Originales!K31</f>
        <v>1311.9</v>
      </c>
      <c r="M49" s="143">
        <f>Cifras_Originales!L31</f>
        <v>1134.9000000000001</v>
      </c>
      <c r="N49" s="143"/>
      <c r="O49" s="143"/>
    </row>
    <row r="50" spans="1:15" ht="12" customHeight="1">
      <c r="A50" s="139" t="s">
        <v>426</v>
      </c>
      <c r="B50" s="143"/>
      <c r="C50" s="143">
        <f>Cifras_Originales!B32</f>
        <v>450.8</v>
      </c>
      <c r="D50" s="143">
        <f>Cifras_Originales!C32</f>
        <v>950.1</v>
      </c>
      <c r="E50" s="143">
        <f>Cifras_Originales!D32</f>
        <v>258.60000000000002</v>
      </c>
      <c r="F50" s="143">
        <f>Cifras_Originales!E32</f>
        <v>903.19999999999993</v>
      </c>
      <c r="G50" s="143">
        <f>Cifras_Originales!F32</f>
        <v>16</v>
      </c>
      <c r="H50" s="143">
        <f>Cifras_Originales!G32</f>
        <v>4.4000000000000004</v>
      </c>
      <c r="I50" s="143">
        <f>Cifras_Originales!H32</f>
        <v>350</v>
      </c>
      <c r="J50" s="143">
        <f>Cifras_Originales!I32</f>
        <v>0</v>
      </c>
      <c r="K50" s="143">
        <f>Cifras_Originales!J32</f>
        <v>0</v>
      </c>
      <c r="L50" s="143">
        <f>Cifras_Originales!K32</f>
        <v>0</v>
      </c>
      <c r="M50" s="143">
        <f>Cifras_Originales!L32</f>
        <v>10</v>
      </c>
      <c r="N50" s="143"/>
      <c r="O50" s="143"/>
    </row>
    <row r="51" spans="1:15" ht="12" customHeight="1">
      <c r="A51" s="139" t="s">
        <v>427</v>
      </c>
      <c r="B51" s="143"/>
      <c r="C51" s="143">
        <f>Cifras_Originales!B33</f>
        <v>0</v>
      </c>
      <c r="D51" s="143">
        <f>Cifras_Originales!C33</f>
        <v>66.5</v>
      </c>
      <c r="E51" s="143">
        <f>Cifras_Originales!D33</f>
        <v>83.1</v>
      </c>
      <c r="F51" s="143">
        <f>Cifras_Originales!E33</f>
        <v>83.5</v>
      </c>
      <c r="G51" s="143">
        <f>Cifras_Originales!F33</f>
        <v>78.8</v>
      </c>
      <c r="H51" s="143">
        <f>Cifras_Originales!G33</f>
        <v>83</v>
      </c>
      <c r="I51" s="143">
        <f>Cifras_Originales!H33</f>
        <v>0</v>
      </c>
      <c r="J51" s="143">
        <f>Cifras_Originales!I33</f>
        <v>0</v>
      </c>
      <c r="K51" s="143">
        <f>Cifras_Originales!J33</f>
        <v>0</v>
      </c>
      <c r="L51" s="143">
        <f>Cifras_Originales!K33</f>
        <v>0</v>
      </c>
      <c r="M51" s="143">
        <f>Cifras_Originales!L33</f>
        <v>0</v>
      </c>
      <c r="N51" s="143"/>
      <c r="O51" s="143"/>
    </row>
    <row r="52" spans="1:15" ht="12" customHeight="1">
      <c r="A52" s="139" t="s">
        <v>428</v>
      </c>
      <c r="B52" s="143"/>
      <c r="C52" s="143">
        <f>Cifras_Originales!B34</f>
        <v>3070.7</v>
      </c>
      <c r="D52" s="143">
        <f>Cifras_Originales!C34</f>
        <v>2456</v>
      </c>
      <c r="E52" s="143">
        <f>Cifras_Originales!D34</f>
        <v>2400</v>
      </c>
      <c r="F52" s="143">
        <f>Cifras_Originales!E34</f>
        <v>1913</v>
      </c>
      <c r="G52" s="143">
        <f>Cifras_Originales!F34</f>
        <v>1963</v>
      </c>
      <c r="H52" s="143">
        <f>Cifras_Originales!G34</f>
        <v>1673</v>
      </c>
      <c r="I52" s="143">
        <f>Cifras_Originales!H34</f>
        <v>1528</v>
      </c>
      <c r="J52" s="143">
        <f>Cifras_Originales!I34</f>
        <v>1466</v>
      </c>
      <c r="K52" s="143">
        <f>Cifras_Originales!J34</f>
        <v>1312</v>
      </c>
      <c r="L52" s="143">
        <f>Cifras_Originales!K34</f>
        <v>1125</v>
      </c>
      <c r="M52" s="143">
        <f>Cifras_Originales!L34</f>
        <v>868</v>
      </c>
      <c r="N52" s="143"/>
      <c r="O52" s="143"/>
    </row>
    <row r="53" spans="1:15" ht="12" customHeight="1">
      <c r="A53" s="139" t="s">
        <v>429</v>
      </c>
      <c r="B53" s="143"/>
      <c r="C53" s="143">
        <f>Cifras_Originales!B35</f>
        <v>2943.7</v>
      </c>
      <c r="D53" s="143">
        <f>Cifras_Originales!C35</f>
        <v>3215.4</v>
      </c>
      <c r="E53" s="143">
        <f>Cifras_Originales!D35</f>
        <v>4055.2</v>
      </c>
      <c r="F53" s="143">
        <f>Cifras_Originales!E35</f>
        <v>4537.3999999999996</v>
      </c>
      <c r="G53" s="143">
        <f>Cifras_Originales!F35</f>
        <v>5771.2</v>
      </c>
      <c r="H53" s="143">
        <f>Cifras_Originales!G35</f>
        <v>6476.3</v>
      </c>
      <c r="I53" s="143">
        <f>Cifras_Originales!H35</f>
        <v>1325.4</v>
      </c>
      <c r="J53" s="143">
        <f>Cifras_Originales!I35</f>
        <v>1506.3</v>
      </c>
      <c r="K53" s="143">
        <f>Cifras_Originales!J35</f>
        <v>1594.6</v>
      </c>
      <c r="L53" s="143">
        <f>Cifras_Originales!K35</f>
        <v>1511.9</v>
      </c>
      <c r="M53" s="143">
        <f>Cifras_Originales!L35</f>
        <v>868</v>
      </c>
      <c r="N53" s="143"/>
      <c r="O53" s="143"/>
    </row>
    <row r="54" spans="1:15" ht="12" customHeight="1">
      <c r="A54" s="139" t="s">
        <v>430</v>
      </c>
      <c r="B54" s="143"/>
      <c r="C54" s="143">
        <f>Cifras_Originales!B36</f>
        <v>2042.8</v>
      </c>
      <c r="D54" s="143">
        <f>Cifras_Originales!C36</f>
        <v>2040.6</v>
      </c>
      <c r="E54" s="143">
        <f>Cifras_Originales!D36</f>
        <v>2737.4</v>
      </c>
      <c r="F54" s="143">
        <f>Cifras_Originales!E36</f>
        <v>2966.4</v>
      </c>
      <c r="G54" s="143">
        <f>Cifras_Originales!F36</f>
        <v>4174.3</v>
      </c>
      <c r="H54" s="143">
        <f>Cifras_Originales!G36</f>
        <v>4596.8</v>
      </c>
      <c r="I54" s="143">
        <f>Cifras_Originales!H36</f>
        <v>650</v>
      </c>
      <c r="J54" s="143">
        <f>Cifras_Originales!I36</f>
        <v>1000</v>
      </c>
      <c r="K54" s="143">
        <f>Cifras_Originales!J36</f>
        <v>1000</v>
      </c>
      <c r="L54" s="143">
        <f>Cifras_Originales!K36</f>
        <v>1000</v>
      </c>
      <c r="M54" s="143">
        <f>Cifras_Originales!L36</f>
        <v>350</v>
      </c>
      <c r="N54" s="143"/>
      <c r="O54" s="143"/>
    </row>
    <row r="55" spans="1:15" ht="12" customHeight="1">
      <c r="A55" s="139" t="s">
        <v>431</v>
      </c>
      <c r="B55" s="143"/>
      <c r="C55" s="143">
        <f>Cifras_Originales!B37</f>
        <v>0</v>
      </c>
      <c r="D55" s="143">
        <f>Cifras_Originales!C37</f>
        <v>543.70000000000005</v>
      </c>
      <c r="E55" s="143">
        <f>Cifras_Originales!D37</f>
        <v>497.6</v>
      </c>
      <c r="F55" s="143">
        <f>Cifras_Originales!E37</f>
        <v>517.6</v>
      </c>
      <c r="G55" s="143">
        <f>Cifras_Originales!F37</f>
        <v>564.5</v>
      </c>
      <c r="H55" s="143">
        <f>Cifras_Originales!G37</f>
        <v>612.79999999999995</v>
      </c>
      <c r="I55" s="143">
        <f>Cifras_Originales!H37</f>
        <v>0</v>
      </c>
      <c r="J55" s="143">
        <f>Cifras_Originales!I37</f>
        <v>0</v>
      </c>
      <c r="K55" s="143">
        <f>Cifras_Originales!J37</f>
        <v>0</v>
      </c>
      <c r="L55" s="143">
        <f>Cifras_Originales!K37</f>
        <v>0</v>
      </c>
      <c r="M55" s="143">
        <f>Cifras_Originales!L37</f>
        <v>0</v>
      </c>
      <c r="N55" s="143"/>
      <c r="O55" s="143"/>
    </row>
    <row r="56" spans="1:15" ht="12" customHeight="1">
      <c r="A56" s="139" t="s">
        <v>432</v>
      </c>
      <c r="B56" s="143">
        <f>B53-SUM(B54:B55)</f>
        <v>0</v>
      </c>
      <c r="C56" s="143">
        <f>Cifras_Originales!B38</f>
        <v>900.89999999999986</v>
      </c>
      <c r="D56" s="143">
        <f>Cifras_Originales!C38</f>
        <v>323</v>
      </c>
      <c r="E56" s="143">
        <f>Cifras_Originales!D38</f>
        <v>536</v>
      </c>
      <c r="F56" s="143">
        <f>Cifras_Originales!E38</f>
        <v>468</v>
      </c>
      <c r="G56" s="143">
        <f>Cifras_Originales!F38</f>
        <v>654</v>
      </c>
      <c r="H56" s="143">
        <f>Cifras_Originales!G38</f>
        <v>675</v>
      </c>
      <c r="I56" s="143">
        <f>Cifras_Originales!H38</f>
        <v>506</v>
      </c>
      <c r="J56" s="143">
        <f>Cifras_Originales!I38</f>
        <v>595</v>
      </c>
      <c r="K56" s="143">
        <f>Cifras_Originales!J38</f>
        <v>512</v>
      </c>
      <c r="L56" s="143">
        <f>Cifras_Originales!K38</f>
        <v>518</v>
      </c>
      <c r="M56" s="143">
        <f>Cifras_Originales!L38</f>
        <v>316</v>
      </c>
      <c r="N56" s="143"/>
      <c r="O56" s="143"/>
    </row>
    <row r="57" spans="1:15" ht="12" customHeight="1">
      <c r="A57" s="139" t="s">
        <v>433</v>
      </c>
      <c r="B57" s="160"/>
      <c r="C57" s="160">
        <f>Cifras_Originales!B39</f>
        <v>6465.2</v>
      </c>
      <c r="D57" s="160">
        <f>Cifras_Originales!C39</f>
        <v>6776.4</v>
      </c>
      <c r="E57" s="160">
        <f>Cifras_Originales!D39</f>
        <v>6936.2</v>
      </c>
      <c r="F57" s="160">
        <f>Cifras_Originales!E39</f>
        <v>8007.7</v>
      </c>
      <c r="G57" s="160">
        <f>Cifras_Originales!F39</f>
        <v>7858.1</v>
      </c>
      <c r="H57" s="160">
        <f>Cifras_Originales!G39</f>
        <v>8610.1</v>
      </c>
      <c r="I57" s="160">
        <f>Cifras_Originales!H39</f>
        <v>3348.1</v>
      </c>
      <c r="J57" s="160">
        <f>Cifras_Originales!I39</f>
        <v>3033.8</v>
      </c>
      <c r="K57" s="160">
        <f>Cifras_Originales!J39</f>
        <v>3060.2</v>
      </c>
      <c r="L57" s="160">
        <f>Cifras_Originales!K39</f>
        <v>2823.7</v>
      </c>
      <c r="M57" s="160">
        <f>Cifras_Originales!L39</f>
        <v>2002.9</v>
      </c>
      <c r="N57" s="160"/>
      <c r="O57" s="160"/>
    </row>
    <row r="58" spans="1:15" ht="12" customHeight="1">
      <c r="B58" s="135"/>
      <c r="C58" s="135"/>
      <c r="D58" s="135"/>
      <c r="E58" s="135"/>
      <c r="F58" s="135"/>
      <c r="G58" s="135"/>
      <c r="H58" s="135"/>
      <c r="I58" s="135"/>
      <c r="J58" s="135"/>
      <c r="K58" s="135"/>
      <c r="L58" s="135"/>
      <c r="M58" s="135"/>
      <c r="N58" s="135"/>
      <c r="O58" s="135"/>
    </row>
    <row r="59" spans="1:15" ht="12" customHeight="1">
      <c r="A59" s="139" t="s">
        <v>434</v>
      </c>
      <c r="B59" s="143">
        <f>B60-B40</f>
        <v>0</v>
      </c>
      <c r="C59" s="143">
        <f t="shared" ref="C59:M59" si="20">C60-C40</f>
        <v>-1459</v>
      </c>
      <c r="D59" s="143">
        <f t="shared" si="20"/>
        <v>32.599999999999454</v>
      </c>
      <c r="E59" s="143">
        <f t="shared" si="20"/>
        <v>807.70000000000027</v>
      </c>
      <c r="F59" s="143">
        <f t="shared" si="20"/>
        <v>1491.1999999999998</v>
      </c>
      <c r="G59" s="143">
        <f t="shared" si="20"/>
        <v>2684.8</v>
      </c>
      <c r="H59" s="143">
        <f t="shared" si="20"/>
        <v>3352.1</v>
      </c>
      <c r="I59" s="143">
        <f t="shared" si="20"/>
        <v>-1809.9</v>
      </c>
      <c r="J59" s="143">
        <f t="shared" si="20"/>
        <v>-1460.6999999999998</v>
      </c>
      <c r="K59" s="143">
        <f t="shared" si="20"/>
        <v>-1492.8000000000002</v>
      </c>
      <c r="L59" s="143">
        <f t="shared" si="20"/>
        <v>-1351.3000000000002</v>
      </c>
      <c r="M59" s="143">
        <f t="shared" si="20"/>
        <v>-815.5</v>
      </c>
      <c r="N59" s="135"/>
      <c r="O59" s="135"/>
    </row>
    <row r="60" spans="1:15" ht="12" customHeight="1">
      <c r="A60" s="139" t="s">
        <v>145</v>
      </c>
      <c r="B60" s="143">
        <f>B50+B51+B54+B55</f>
        <v>0</v>
      </c>
      <c r="C60" s="143">
        <f t="shared" ref="C60:M60" si="21">C50+C51+C54+C55</f>
        <v>2493.6</v>
      </c>
      <c r="D60" s="143">
        <f>D50+D51+D54+D55</f>
        <v>3600.8999999999996</v>
      </c>
      <c r="E60" s="143">
        <f t="shared" si="21"/>
        <v>3576.7000000000003</v>
      </c>
      <c r="F60" s="143">
        <f t="shared" si="21"/>
        <v>4470.7</v>
      </c>
      <c r="G60" s="143">
        <f t="shared" si="21"/>
        <v>4833.6000000000004</v>
      </c>
      <c r="H60" s="143">
        <f t="shared" si="21"/>
        <v>5297</v>
      </c>
      <c r="I60" s="143">
        <f t="shared" si="21"/>
        <v>1000</v>
      </c>
      <c r="J60" s="143">
        <f t="shared" si="21"/>
        <v>1000</v>
      </c>
      <c r="K60" s="143">
        <f t="shared" si="21"/>
        <v>1000</v>
      </c>
      <c r="L60" s="143">
        <f t="shared" si="21"/>
        <v>1000</v>
      </c>
      <c r="M60" s="143">
        <f t="shared" si="21"/>
        <v>360</v>
      </c>
      <c r="N60" s="143"/>
      <c r="O60" s="143"/>
    </row>
    <row r="61" spans="1:15" ht="12" customHeight="1">
      <c r="B61" s="145" t="e">
        <f>B60/B45</f>
        <v>#DIV/0!</v>
      </c>
      <c r="C61" s="145">
        <f>C60/C45</f>
        <v>0.1604024212171698</v>
      </c>
      <c r="D61" s="145">
        <f>D60/D45</f>
        <v>0.2462591640223219</v>
      </c>
      <c r="E61" s="145">
        <f t="shared" ref="E61:M61" si="22">E60/E45</f>
        <v>0.25080113034758889</v>
      </c>
      <c r="F61" s="145">
        <f t="shared" si="22"/>
        <v>0.31442396280953955</v>
      </c>
      <c r="G61" s="145">
        <f t="shared" si="22"/>
        <v>0.37284213449345122</v>
      </c>
      <c r="H61" s="145">
        <f t="shared" si="22"/>
        <v>0.38183181234952351</v>
      </c>
      <c r="I61" s="145">
        <f t="shared" si="22"/>
        <v>0.1254075746175069</v>
      </c>
      <c r="J61" s="145">
        <f t="shared" si="22"/>
        <v>0.14225155765455633</v>
      </c>
      <c r="K61" s="145">
        <f t="shared" si="22"/>
        <v>0.14402788379830334</v>
      </c>
      <c r="L61" s="145">
        <f t="shared" si="22"/>
        <v>0.15844345153214817</v>
      </c>
      <c r="M61" s="145">
        <f t="shared" si="22"/>
        <v>7.2545542479445432E-2</v>
      </c>
      <c r="N61" s="145"/>
      <c r="O61" s="145"/>
    </row>
    <row r="62" spans="1:15" ht="12" customHeight="1">
      <c r="B62" s="135"/>
      <c r="C62" s="135"/>
      <c r="D62" s="135"/>
      <c r="E62" s="135"/>
      <c r="F62" s="135"/>
      <c r="G62" s="135"/>
      <c r="H62" s="135"/>
      <c r="I62" s="135"/>
      <c r="J62" s="135"/>
      <c r="K62" s="135"/>
      <c r="L62" s="135"/>
      <c r="M62" s="135"/>
      <c r="N62" s="135"/>
      <c r="O62" s="135"/>
    </row>
    <row r="63" spans="1:15" s="161" customFormat="1" ht="12" customHeight="1">
      <c r="A63" s="158" t="s">
        <v>435</v>
      </c>
      <c r="B63" s="160">
        <v>0</v>
      </c>
      <c r="C63" s="160">
        <f>Cifras_Originales!B42</f>
        <v>14.1</v>
      </c>
      <c r="D63" s="160">
        <f>Cifras_Originales!C42</f>
        <v>11.9</v>
      </c>
      <c r="E63" s="160">
        <f>Cifras_Originales!D42</f>
        <v>14.2</v>
      </c>
      <c r="F63" s="160">
        <f>Cifras_Originales!E42</f>
        <v>13.7</v>
      </c>
      <c r="G63" s="160">
        <f>Cifras_Originales!F42</f>
        <v>44.8</v>
      </c>
      <c r="H63" s="160">
        <f>Cifras_Originales!G42</f>
        <v>53.9</v>
      </c>
      <c r="I63" s="160">
        <f>Cifras_Originales!H42</f>
        <v>63.9</v>
      </c>
      <c r="J63" s="160">
        <f>Cifras_Originales!I42</f>
        <v>1.9</v>
      </c>
      <c r="K63" s="160">
        <f>Cifras_Originales!J42</f>
        <v>22.6</v>
      </c>
      <c r="L63" s="160">
        <f>Cifras_Originales!K42</f>
        <v>19.2</v>
      </c>
      <c r="M63" s="160">
        <f>Cifras_Originales!L42</f>
        <v>16</v>
      </c>
      <c r="N63" s="160"/>
      <c r="O63" s="160"/>
    </row>
    <row r="64" spans="1:15" ht="12" customHeight="1">
      <c r="B64" s="135"/>
      <c r="C64" s="135"/>
      <c r="D64" s="135"/>
      <c r="E64" s="135"/>
      <c r="F64" s="135"/>
      <c r="G64" s="135"/>
      <c r="H64" s="135"/>
      <c r="I64" s="135"/>
      <c r="J64" s="135"/>
      <c r="K64" s="135"/>
      <c r="L64" s="135"/>
      <c r="M64" s="135"/>
      <c r="N64" s="135"/>
      <c r="O64" s="135"/>
    </row>
    <row r="65" spans="1:242" ht="12" customHeight="1">
      <c r="B65" s="135"/>
      <c r="C65" s="135"/>
      <c r="D65" s="135"/>
      <c r="E65" s="135"/>
      <c r="F65" s="135"/>
      <c r="G65" s="135"/>
      <c r="H65" s="135"/>
      <c r="I65" s="135"/>
      <c r="J65" s="135"/>
      <c r="K65" s="135"/>
      <c r="L65" s="135"/>
      <c r="M65" s="135"/>
      <c r="N65" s="135"/>
      <c r="O65" s="135"/>
    </row>
    <row r="66" spans="1:242" ht="12" customHeight="1">
      <c r="A66" s="158" t="s">
        <v>436</v>
      </c>
      <c r="B66" s="143">
        <f>B45-B57-B63</f>
        <v>0</v>
      </c>
      <c r="C66" s="143">
        <f>C45-C57-C63</f>
        <v>9066.6</v>
      </c>
      <c r="D66" s="143">
        <f>D45-D57-D63</f>
        <v>7834.1</v>
      </c>
      <c r="E66" s="143">
        <f t="shared" ref="E66:M66" si="23">E45-E57-E63</f>
        <v>7310.7000000000007</v>
      </c>
      <c r="F66" s="143">
        <f t="shared" si="23"/>
        <v>6197.3000000000011</v>
      </c>
      <c r="G66" s="143">
        <f t="shared" si="23"/>
        <v>5061.3</v>
      </c>
      <c r="H66" s="143">
        <f t="shared" si="23"/>
        <v>5208.6000000000004</v>
      </c>
      <c r="I66" s="143">
        <f t="shared" si="23"/>
        <v>4562</v>
      </c>
      <c r="J66" s="143">
        <f t="shared" si="23"/>
        <v>3994.1</v>
      </c>
      <c r="K66" s="143">
        <f t="shared" si="23"/>
        <v>3860.3000000000006</v>
      </c>
      <c r="L66" s="143">
        <f t="shared" si="23"/>
        <v>3468.5</v>
      </c>
      <c r="M66" s="143">
        <f t="shared" si="23"/>
        <v>2943.4999999999995</v>
      </c>
      <c r="N66" s="143"/>
      <c r="O66" s="143"/>
    </row>
    <row r="67" spans="1:242" ht="12" customHeight="1">
      <c r="L67" s="139"/>
      <c r="M67" s="139"/>
      <c r="N67" s="139"/>
      <c r="O67" s="139"/>
    </row>
    <row r="68" spans="1:242" ht="12" customHeight="1">
      <c r="L68" s="139"/>
      <c r="M68" s="139"/>
      <c r="N68" s="139"/>
      <c r="O68" s="139"/>
    </row>
    <row r="69" spans="1:242" ht="12" customHeight="1">
      <c r="A69" s="142" t="s">
        <v>437</v>
      </c>
      <c r="B69" s="142"/>
      <c r="C69" s="142"/>
      <c r="D69" s="142"/>
      <c r="E69" s="142"/>
      <c r="F69" s="142"/>
      <c r="G69" s="142"/>
      <c r="H69" s="142"/>
      <c r="I69" s="142"/>
      <c r="J69" s="142"/>
      <c r="K69" s="142"/>
      <c r="L69" s="142"/>
      <c r="M69" s="142"/>
      <c r="N69" s="142"/>
      <c r="O69" s="142"/>
    </row>
    <row r="70" spans="1:242" ht="12" customHeight="1">
      <c r="A70" s="139" t="s">
        <v>438</v>
      </c>
      <c r="B70" s="143"/>
      <c r="C70" s="143">
        <f>Cifras_Originales!B47</f>
        <v>24000</v>
      </c>
      <c r="D70" s="143">
        <f>Cifras_Originales!C47</f>
        <v>0</v>
      </c>
      <c r="E70" s="143">
        <f>Cifras_Originales!D47</f>
        <v>0</v>
      </c>
      <c r="F70" s="143">
        <f>Cifras_Originales!E47</f>
        <v>0</v>
      </c>
      <c r="G70" s="143">
        <f>Cifras_Originales!F47</f>
        <v>0</v>
      </c>
      <c r="H70" s="143">
        <f>Cifras_Originales!G47</f>
        <v>0</v>
      </c>
      <c r="I70" s="143">
        <f>Cifras_Originales!H47</f>
        <v>0</v>
      </c>
      <c r="J70" s="143">
        <f>Cifras_Originales!I47</f>
        <v>0</v>
      </c>
      <c r="K70" s="143">
        <f>Cifras_Originales!J47</f>
        <v>0</v>
      </c>
      <c r="L70" s="143">
        <f>Cifras_Originales!K47</f>
        <v>0</v>
      </c>
      <c r="M70" s="143">
        <f>Cifras_Originales!L47</f>
        <v>0</v>
      </c>
      <c r="N70" s="143"/>
      <c r="O70" s="143"/>
    </row>
    <row r="71" spans="1:242" ht="12" customHeight="1">
      <c r="A71" s="139" t="s">
        <v>439</v>
      </c>
      <c r="B71" s="143"/>
      <c r="C71" s="143">
        <f ca="1">+Cifras_Originales!B48</f>
        <v>1341.4559999999999</v>
      </c>
      <c r="D71" s="143">
        <f>+Cifras_Originales!C48</f>
        <v>0</v>
      </c>
      <c r="E71" s="143">
        <f>+Cifras_Originales!D48</f>
        <v>0</v>
      </c>
      <c r="F71" s="143">
        <f>+Cifras_Originales!E48</f>
        <v>0</v>
      </c>
      <c r="G71" s="143">
        <f>+Cifras_Originales!F48</f>
        <v>0</v>
      </c>
      <c r="H71" s="143">
        <f>+Cifras_Originales!G48</f>
        <v>0</v>
      </c>
      <c r="I71" s="143">
        <f>+Cifras_Originales!H48</f>
        <v>0</v>
      </c>
      <c r="J71" s="143">
        <f>+Cifras_Originales!I48</f>
        <v>0</v>
      </c>
      <c r="K71" s="143">
        <f>+Cifras_Originales!J48</f>
        <v>0</v>
      </c>
      <c r="L71" s="143">
        <f>+Cifras_Originales!K48</f>
        <v>0</v>
      </c>
      <c r="M71" s="143">
        <f>+Cifras_Originales!L48</f>
        <v>0</v>
      </c>
      <c r="N71" s="143"/>
      <c r="O71" s="143"/>
    </row>
    <row r="72" spans="1:242" ht="12" customHeight="1">
      <c r="A72" s="139" t="s">
        <v>153</v>
      </c>
      <c r="B72" s="145"/>
      <c r="C72" s="145">
        <f ca="1">Cifras_Originales!B49</f>
        <v>0.49836893643921232</v>
      </c>
      <c r="D72" s="145">
        <f>Cifras_Originales!C49</f>
        <v>0</v>
      </c>
      <c r="E72" s="145">
        <f>Cifras_Originales!D49</f>
        <v>0</v>
      </c>
      <c r="F72" s="145">
        <f>Cifras_Originales!E49</f>
        <v>0</v>
      </c>
      <c r="G72" s="145">
        <f>Cifras_Originales!F49</f>
        <v>0</v>
      </c>
      <c r="H72" s="145">
        <f>Cifras_Originales!G49</f>
        <v>0</v>
      </c>
      <c r="I72" s="145">
        <f>Cifras_Originales!H49</f>
        <v>0</v>
      </c>
      <c r="J72" s="145">
        <f>Cifras_Originales!I49</f>
        <v>0</v>
      </c>
      <c r="K72" s="145">
        <f>Cifras_Originales!J49</f>
        <v>0</v>
      </c>
      <c r="L72" s="145">
        <f>Cifras_Originales!K49</f>
        <v>0</v>
      </c>
      <c r="M72" s="145">
        <f>Cifras_Originales!L49</f>
        <v>0</v>
      </c>
      <c r="N72" s="145"/>
      <c r="O72" s="145"/>
    </row>
    <row r="73" spans="1:242" ht="12" customHeight="1">
      <c r="A73" s="139" t="s">
        <v>440</v>
      </c>
      <c r="B73" s="144"/>
      <c r="C73" s="144">
        <f>Cifras_Originales!B50</f>
        <v>0.48120000000000002</v>
      </c>
      <c r="D73" s="144">
        <f>Cifras_Originales!C50</f>
        <v>0</v>
      </c>
      <c r="E73" s="144">
        <f>Cifras_Originales!D50</f>
        <v>0</v>
      </c>
      <c r="F73" s="144">
        <f>Cifras_Originales!E50</f>
        <v>0</v>
      </c>
      <c r="G73" s="144">
        <f>Cifras_Originales!F50</f>
        <v>0</v>
      </c>
      <c r="H73" s="144">
        <f>Cifras_Originales!G50</f>
        <v>0</v>
      </c>
      <c r="I73" s="144">
        <f>Cifras_Originales!H50</f>
        <v>0</v>
      </c>
      <c r="J73" s="144">
        <f>Cifras_Originales!I50</f>
        <v>0</v>
      </c>
      <c r="K73" s="144">
        <f>Cifras_Originales!J50</f>
        <v>0</v>
      </c>
      <c r="L73" s="144">
        <f>Cifras_Originales!K50</f>
        <v>0</v>
      </c>
      <c r="M73" s="144">
        <f>Cifras_Originales!L50</f>
        <v>0</v>
      </c>
      <c r="N73" s="144"/>
      <c r="O73" s="144"/>
    </row>
    <row r="74" spans="1:242" ht="12" customHeight="1">
      <c r="A74" s="139" t="s">
        <v>441</v>
      </c>
      <c r="B74" s="143"/>
      <c r="C74" s="143">
        <f>+Cifras_Originales!B51</f>
        <v>0</v>
      </c>
      <c r="D74" s="143">
        <f>+Cifras_Originales!C51</f>
        <v>0</v>
      </c>
      <c r="E74" s="143">
        <f>+Cifras_Originales!D51</f>
        <v>0</v>
      </c>
      <c r="F74" s="143">
        <f>+Cifras_Originales!E51</f>
        <v>0</v>
      </c>
      <c r="G74" s="143">
        <f>+Cifras_Originales!F51</f>
        <v>0</v>
      </c>
      <c r="H74" s="143">
        <f>+Cifras_Originales!G51</f>
        <v>0</v>
      </c>
      <c r="I74" s="143">
        <f>+Cifras_Originales!H51</f>
        <v>0</v>
      </c>
      <c r="J74" s="143">
        <f>+Cifras_Originales!I51</f>
        <v>0</v>
      </c>
      <c r="K74" s="143">
        <f>+Cifras_Originales!J51</f>
        <v>0</v>
      </c>
      <c r="L74" s="143">
        <f>+Cifras_Originales!K51</f>
        <v>0</v>
      </c>
      <c r="M74" s="143">
        <f>+Cifras_Originales!L51</f>
        <v>0</v>
      </c>
      <c r="N74" s="143"/>
      <c r="O74" s="143"/>
    </row>
    <row r="75" spans="1:242" ht="12" customHeight="1">
      <c r="A75" s="139" t="str">
        <f>Cifras_Originales!A52</f>
        <v>Vol. Diario en Millones USD</v>
      </c>
      <c r="B75" s="143"/>
      <c r="C75" s="143">
        <f>Cifras_Originales!B52</f>
        <v>0</v>
      </c>
      <c r="D75" s="143">
        <f>Cifras_Originales!C52</f>
        <v>0</v>
      </c>
      <c r="E75" s="143">
        <f>Cifras_Originales!D52</f>
        <v>0</v>
      </c>
      <c r="F75" s="143">
        <f>Cifras_Originales!E52</f>
        <v>0</v>
      </c>
      <c r="G75" s="143">
        <f>Cifras_Originales!F52</f>
        <v>0</v>
      </c>
      <c r="H75" s="143">
        <f>Cifras_Originales!G52</f>
        <v>0</v>
      </c>
      <c r="I75" s="143">
        <f>Cifras_Originales!H52</f>
        <v>0</v>
      </c>
      <c r="J75" s="143">
        <f>Cifras_Originales!I52</f>
        <v>0</v>
      </c>
      <c r="K75" s="143">
        <f>Cifras_Originales!J52</f>
        <v>0</v>
      </c>
      <c r="L75" s="143">
        <f>Cifras_Originales!K52</f>
        <v>0</v>
      </c>
      <c r="M75" s="143">
        <f>Cifras_Originales!L52</f>
        <v>0</v>
      </c>
      <c r="N75" s="143"/>
      <c r="O75" s="143"/>
      <c r="IH75" s="139">
        <f>Cifras_Originales!GM52</f>
        <v>0</v>
      </c>
    </row>
    <row r="76" spans="1:242" ht="12" customHeight="1">
      <c r="C76" s="162"/>
      <c r="D76" s="162"/>
      <c r="E76" s="162"/>
      <c r="F76" s="162"/>
      <c r="G76" s="162"/>
      <c r="H76" s="162"/>
      <c r="I76" s="162"/>
      <c r="J76" s="162"/>
      <c r="K76" s="162"/>
      <c r="L76" s="162"/>
      <c r="M76" s="162"/>
      <c r="N76" s="162"/>
      <c r="IH76" s="139"/>
    </row>
    <row r="77" spans="1:242" ht="12" customHeight="1">
      <c r="B77" s="142">
        <f>+Cifras_Originales!B53</f>
        <v>2022</v>
      </c>
      <c r="C77" s="142">
        <f>+Cifras_Originales!C53</f>
        <v>2023</v>
      </c>
      <c r="D77" s="142">
        <f>+Cifras_Originales!D53</f>
        <v>2024</v>
      </c>
      <c r="H77" s="142"/>
      <c r="I77" s="162"/>
      <c r="J77" s="162"/>
      <c r="K77" s="162"/>
      <c r="L77" s="162"/>
      <c r="M77" s="162"/>
      <c r="N77" s="162"/>
      <c r="IH77" s="139"/>
    </row>
    <row r="78" spans="1:242" ht="12" customHeight="1">
      <c r="A78" s="139" t="str">
        <f>Cifras_Originales!A54</f>
        <v>Posicion en Corto (%)</v>
      </c>
      <c r="B78" s="144">
        <f>Cifras_Originales!B54</f>
        <v>0</v>
      </c>
      <c r="C78" s="163"/>
      <c r="D78" s="163"/>
      <c r="H78" s="162"/>
      <c r="I78" s="162"/>
      <c r="J78" s="162"/>
      <c r="K78" s="162"/>
      <c r="L78" s="162"/>
      <c r="M78" s="162"/>
      <c r="N78" s="162"/>
      <c r="IH78" s="139"/>
    </row>
    <row r="79" spans="1:242" ht="12" customHeight="1">
      <c r="A79" s="139" t="str">
        <f>Cifras_Originales!A55</f>
        <v>EPS</v>
      </c>
      <c r="B79" s="163">
        <f>Cifras_Originales!B55</f>
        <v>0.71</v>
      </c>
      <c r="C79" s="163">
        <f>Cifras_Originales!C55</f>
        <v>0.8</v>
      </c>
      <c r="D79" s="163">
        <f>Cifras_Originales!D55</f>
        <v>0.91</v>
      </c>
    </row>
    <row r="80" spans="1:242" ht="12" customHeight="1"/>
    <row r="81" spans="1:8">
      <c r="A81" s="158" t="str">
        <f>+Cifras_Originales!A57</f>
        <v>BONOS DE LA EMISORA A 3, 5 Y 10</v>
      </c>
      <c r="B81" s="142" t="s">
        <v>442</v>
      </c>
      <c r="C81" s="142" t="s">
        <v>443</v>
      </c>
      <c r="D81" s="142" t="s">
        <v>444</v>
      </c>
      <c r="E81" s="142" t="s">
        <v>445</v>
      </c>
      <c r="H81" s="142"/>
    </row>
    <row r="82" spans="1:8" ht="12.75">
      <c r="A82" s="139">
        <f>+Cifras_Originales!A58</f>
        <v>0</v>
      </c>
      <c r="B82" s="163">
        <f>+Cifras_Originales!B58</f>
        <v>0</v>
      </c>
      <c r="C82" s="134">
        <f>+Cifras_Originales!C58</f>
        <v>0</v>
      </c>
      <c r="D82" s="144">
        <f>+Cifras_Originales!D58</f>
        <v>0</v>
      </c>
      <c r="E82" s="134">
        <f>+Cifras_Originales!E58</f>
        <v>0</v>
      </c>
    </row>
    <row r="83" spans="1:8" ht="12.75">
      <c r="A83" s="139">
        <f>+Cifras_Originales!A59</f>
        <v>0</v>
      </c>
      <c r="B83" s="163">
        <f>+Cifras_Originales!B59</f>
        <v>0</v>
      </c>
      <c r="C83" s="134">
        <f>+Cifras_Originales!C59</f>
        <v>0</v>
      </c>
      <c r="D83" s="144">
        <f>+Cifras_Originales!D59</f>
        <v>0</v>
      </c>
      <c r="E83" s="134">
        <f>+Cifras_Originales!E59</f>
        <v>0</v>
      </c>
    </row>
    <row r="84" spans="1:8" ht="12.75">
      <c r="A84" s="139">
        <f>+Cifras_Originales!A60</f>
        <v>0</v>
      </c>
      <c r="B84" s="163">
        <f>+Cifras_Originales!B60</f>
        <v>0</v>
      </c>
      <c r="C84" s="134">
        <f>+Cifras_Originales!C60</f>
        <v>0</v>
      </c>
      <c r="D84" s="144">
        <f>+Cifras_Originales!D60</f>
        <v>0</v>
      </c>
      <c r="E84" s="134">
        <f>+Cifras_Originales!E60</f>
        <v>0</v>
      </c>
    </row>
    <row r="85" spans="1:8" ht="12.75">
      <c r="A85" s="139">
        <f>+Cifras_Originales!A61</f>
        <v>0</v>
      </c>
      <c r="B85" s="163">
        <f>+Cifras_Originales!B61</f>
        <v>0</v>
      </c>
      <c r="C85" s="134">
        <f>+Cifras_Originales!C61</f>
        <v>0</v>
      </c>
      <c r="D85" s="144">
        <f>+Cifras_Originales!D61</f>
        <v>0</v>
      </c>
      <c r="E85" s="134">
        <f>+Cifras_Originales!E61</f>
        <v>0</v>
      </c>
    </row>
    <row r="86" spans="1:8" ht="12.75">
      <c r="C86" s="163"/>
      <c r="D86" s="163"/>
      <c r="E86" s="134"/>
      <c r="F86" s="164"/>
      <c r="G86" s="134"/>
    </row>
    <row r="87" spans="1:8" ht="12.75">
      <c r="C87" s="163"/>
      <c r="D87" s="163"/>
      <c r="E87" s="134"/>
      <c r="F87" s="164"/>
      <c r="G87" s="134"/>
    </row>
    <row r="88" spans="1:8" ht="12.75">
      <c r="C88" s="163"/>
      <c r="D88" s="163"/>
      <c r="E88" s="134"/>
      <c r="F88" s="164"/>
      <c r="G88" s="134"/>
    </row>
    <row r="89" spans="1:8" ht="12.75">
      <c r="C89" s="163"/>
      <c r="D89" s="163"/>
      <c r="E89" s="134"/>
      <c r="F89" s="164"/>
      <c r="G89" s="134"/>
    </row>
    <row r="90" spans="1:8" ht="12.75">
      <c r="C90" s="163"/>
      <c r="D90" s="163"/>
      <c r="E90" s="134"/>
      <c r="F90" s="164"/>
      <c r="G90" s="134"/>
    </row>
    <row r="91" spans="1:8" ht="12.75">
      <c r="C91" s="163"/>
      <c r="D91" s="163"/>
      <c r="E91" s="134"/>
      <c r="F91" s="164"/>
      <c r="G91" s="134"/>
    </row>
    <row r="92" spans="1:8" ht="12.75">
      <c r="C92" s="163"/>
      <c r="D92" s="163"/>
      <c r="E92" s="134"/>
      <c r="F92" s="164"/>
      <c r="G92" s="134"/>
    </row>
    <row r="93" spans="1:8" ht="12.75">
      <c r="C93" s="163"/>
      <c r="D93" s="163"/>
      <c r="E93" s="134"/>
      <c r="F93" s="164"/>
      <c r="G93" s="134"/>
    </row>
    <row r="94" spans="1:8" ht="12.75">
      <c r="C94" s="163"/>
      <c r="D94" s="163"/>
      <c r="E94" s="134"/>
      <c r="F94" s="164"/>
      <c r="G94" s="134"/>
    </row>
  </sheetData>
  <mergeCells count="2">
    <mergeCell ref="A1:L1"/>
    <mergeCell ref="A2:L2"/>
  </mergeCells>
  <printOptions horizontalCentered="1" verticalCentered="1"/>
  <pageMargins left="0.25" right="0.25" top="0.75" bottom="0.75" header="0.3" footer="0.3"/>
  <pageSetup paperSize="122"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X68"/>
  <sheetViews>
    <sheetView topLeftCell="A49" zoomScaleNormal="100" workbookViewId="0">
      <selection activeCell="A58" sqref="A58"/>
    </sheetView>
  </sheetViews>
  <sheetFormatPr defaultColWidth="11.28515625" defaultRowHeight="14.25"/>
  <cols>
    <col min="1" max="1" width="34.140625" style="301" customWidth="1"/>
    <col min="2" max="2" width="14.28515625" style="301" customWidth="1"/>
    <col min="3" max="3" width="17" style="301" bestFit="1" customWidth="1"/>
    <col min="4" max="7" width="14.28515625" style="301" bestFit="1" customWidth="1"/>
    <col min="8" max="8" width="15.140625" style="301" bestFit="1" customWidth="1"/>
    <col min="9" max="10" width="14.28515625" style="301" bestFit="1" customWidth="1"/>
    <col min="11" max="12" width="14.28515625" style="302" bestFit="1" customWidth="1"/>
    <col min="13" max="15" width="14.28515625" style="301" customWidth="1"/>
    <col min="16" max="16" width="11.28515625" style="301" customWidth="1"/>
    <col min="17" max="17" width="17.140625" style="301" customWidth="1"/>
    <col min="18" max="18" width="18.140625" style="301" bestFit="1" customWidth="1"/>
    <col min="19" max="29" width="14.85546875" style="301" customWidth="1"/>
    <col min="30" max="16384" width="11.28515625" style="301"/>
  </cols>
  <sheetData>
    <row r="1" spans="1:30">
      <c r="A1" s="301" t="s">
        <v>446</v>
      </c>
    </row>
    <row r="2" spans="1:30">
      <c r="A2" s="301" t="s">
        <v>447</v>
      </c>
      <c r="B2" s="303"/>
      <c r="C2" s="303" t="s">
        <v>448</v>
      </c>
      <c r="D2" s="303"/>
      <c r="E2" s="303"/>
      <c r="F2" s="303"/>
      <c r="G2" s="303"/>
      <c r="H2" s="303"/>
      <c r="I2" s="303"/>
      <c r="J2" s="303"/>
      <c r="K2" s="301" t="e" vm="1">
        <v>#VALUE!</v>
      </c>
      <c r="L2" s="303"/>
    </row>
    <row r="3" spans="1:30">
      <c r="A3" s="301" t="str" cm="1">
        <f t="array" aca="1" ref="A3" ca="1">_FV(K2,"Name")</f>
        <v>Dassault Systemes SE</v>
      </c>
      <c r="D3" s="304"/>
      <c r="G3" s="301" t="str">
        <f ca="1">A3&amp;" ("&amp;A4&amp;")"</f>
        <v>Dassault Systemes SE (DSY)</v>
      </c>
    </row>
    <row r="4" spans="1:30">
      <c r="A4" s="301" t="str" cm="1">
        <f t="array" aca="1" ref="A4" ca="1">_FV(K2,"Ticker symbol",TRUE)</f>
        <v>DSY</v>
      </c>
      <c r="D4" s="304"/>
      <c r="K4" s="301"/>
      <c r="L4" s="301"/>
    </row>
    <row r="5" spans="1:30" ht="15">
      <c r="A5" s="305" t="s">
        <v>449</v>
      </c>
      <c r="B5" s="305">
        <v>2024</v>
      </c>
      <c r="C5" s="305">
        <f>+B5-1</f>
        <v>2023</v>
      </c>
      <c r="D5" s="305">
        <f t="shared" ref="D5:N5" si="0">+C5-1</f>
        <v>2022</v>
      </c>
      <c r="E5" s="305">
        <f t="shared" si="0"/>
        <v>2021</v>
      </c>
      <c r="F5" s="305">
        <f t="shared" si="0"/>
        <v>2020</v>
      </c>
      <c r="G5" s="305">
        <f t="shared" si="0"/>
        <v>2019</v>
      </c>
      <c r="H5" s="305">
        <f t="shared" si="0"/>
        <v>2018</v>
      </c>
      <c r="I5" s="305">
        <f t="shared" si="0"/>
        <v>2017</v>
      </c>
      <c r="J5" s="305">
        <f t="shared" si="0"/>
        <v>2016</v>
      </c>
      <c r="K5" s="305">
        <f t="shared" si="0"/>
        <v>2015</v>
      </c>
      <c r="L5" s="305">
        <f t="shared" si="0"/>
        <v>2014</v>
      </c>
      <c r="M5" s="305">
        <f t="shared" si="0"/>
        <v>2013</v>
      </c>
      <c r="N5" s="352">
        <f t="shared" si="0"/>
        <v>2012</v>
      </c>
      <c r="S5" s="306"/>
    </row>
    <row r="6" spans="1:30">
      <c r="A6" s="307" t="s">
        <v>394</v>
      </c>
      <c r="B6" s="308">
        <f>_xlfn.XLOOKUP("Revenue",'[2]Income - GAAP'!$A:$A,'[2]Income - GAAP'!E:E)</f>
        <v>6213.6</v>
      </c>
      <c r="C6" s="308">
        <f>_xlfn.XLOOKUP("Revenue",'[2]Income - GAAP'!$A:$A,'[2]Income - GAAP'!F:F)</f>
        <v>5951.4</v>
      </c>
      <c r="D6" s="308">
        <f>_xlfn.XLOOKUP("Revenue",'[2]Income - GAAP'!$A:$A,'[2]Income - GAAP'!G:G)</f>
        <v>5665.3</v>
      </c>
      <c r="E6" s="308">
        <f>_xlfn.XLOOKUP("Revenue",'[2]Income - GAAP'!$A:$A,'[2]Income - GAAP'!H:H)</f>
        <v>4860</v>
      </c>
      <c r="F6" s="308">
        <f>_xlfn.XLOOKUP("Revenue",'[2]Income - GAAP'!$A:$A,'[2]Income - GAAP'!I:I)</f>
        <v>4452.3</v>
      </c>
      <c r="G6" s="308">
        <f>_xlfn.XLOOKUP("Revenue",'[2]Income - GAAP'!$A:$A,'[2]Income - GAAP'!J:J)</f>
        <v>4018.2</v>
      </c>
      <c r="H6" s="308">
        <f>_xlfn.XLOOKUP("Revenue",'[2]Income - GAAP'!$A:$A,'[2]Income - GAAP'!K:K)</f>
        <v>3477.4</v>
      </c>
      <c r="I6" s="308">
        <f>_xlfn.XLOOKUP("Revenue",'[2]Income - GAAP'!$A:$A,'[2]Income - GAAP'!L:L)</f>
        <v>3228</v>
      </c>
      <c r="J6" s="308">
        <f>_xlfn.XLOOKUP("Revenue",'[2]Income - GAAP'!$A:$A,'[2]Income - GAAP'!M:M)</f>
        <v>3055.6</v>
      </c>
      <c r="K6" s="308">
        <f>_xlfn.XLOOKUP("Revenue",'[2]Income - GAAP'!$A:$A,'[2]Income - GAAP'!N:N)</f>
        <v>2839.5</v>
      </c>
      <c r="L6" s="308">
        <f>_xlfn.XLOOKUP("Revenue",'[2]Income - GAAP'!$A:$A,'[2]Income - GAAP'!O:O)</f>
        <v>2294.3000000000002</v>
      </c>
      <c r="M6" s="308">
        <f>_xlfn.XLOOKUP("Revenue",'[2]Income - GAAP'!$A:$A,'[2]Income - GAAP'!P:P)</f>
        <v>2066.1</v>
      </c>
      <c r="N6" s="308">
        <f>_xlfn.XLOOKUP("Revenue",'[2]Income - GAAP'!$A:$A,'[2]Income - GAAP'!Q:Q)</f>
        <v>2028.3420000000001</v>
      </c>
      <c r="O6" s="302"/>
      <c r="P6" s="302"/>
    </row>
    <row r="7" spans="1:30">
      <c r="A7" s="307" t="s">
        <v>396</v>
      </c>
      <c r="B7" s="309">
        <f>_xlfn.XLOOKUP("Gross Profit",'[2]Income - GAAP'!$A:$A,'[2]Income - GAAP'!E:E)</f>
        <v>5197.3</v>
      </c>
      <c r="C7" s="309">
        <f>_xlfn.XLOOKUP("Gross Profit",'[2]Income - GAAP'!$A:$A,'[2]Income - GAAP'!F:F)</f>
        <v>4980.3999999999996</v>
      </c>
      <c r="D7" s="309">
        <f>_xlfn.XLOOKUP("Gross Profit",'[2]Income - GAAP'!$A:$A,'[2]Income - GAAP'!G:G)</f>
        <v>4746</v>
      </c>
      <c r="E7" s="309">
        <f>_xlfn.XLOOKUP("Gross Profit",'[2]Income - GAAP'!$A:$A,'[2]Income - GAAP'!H:H)</f>
        <v>4069.7</v>
      </c>
      <c r="F7" s="309">
        <f>_xlfn.XLOOKUP("Gross Profit",'[2]Income - GAAP'!$A:$A,'[2]Income - GAAP'!I:I)</f>
        <v>3702.6</v>
      </c>
      <c r="G7" s="309">
        <f>_xlfn.XLOOKUP("Gross Profit",'[2]Income - GAAP'!$A:$A,'[2]Income - GAAP'!J:J)</f>
        <v>3384.6</v>
      </c>
      <c r="H7" s="309">
        <f>_xlfn.XLOOKUP("Gross Profit",'[2]Income - GAAP'!$A:$A,'[2]Income - GAAP'!K:K)</f>
        <v>2966.6</v>
      </c>
      <c r="I7" s="309">
        <f>_xlfn.XLOOKUP("Gross Profit",'[2]Income - GAAP'!$A:$A,'[2]Income - GAAP'!L:L)</f>
        <v>2754</v>
      </c>
      <c r="J7" s="309">
        <f>_xlfn.XLOOKUP("Gross Profit",'[2]Income - GAAP'!$A:$A,'[2]Income - GAAP'!M:M)</f>
        <v>2592</v>
      </c>
      <c r="K7" s="309">
        <f>_xlfn.XLOOKUP("Gross Profit",'[2]Income - GAAP'!$A:$A,'[2]Income - GAAP'!N:N)</f>
        <v>2401.5</v>
      </c>
      <c r="L7" s="309">
        <f>_xlfn.XLOOKUP("Gross Profit",'[2]Income - GAAP'!$A:$A,'[2]Income - GAAP'!O:O)</f>
        <v>1951</v>
      </c>
      <c r="M7" s="309">
        <f>_xlfn.XLOOKUP("Gross Profit",'[2]Income - GAAP'!$A:$A,'[2]Income - GAAP'!P:P)</f>
        <v>1804.8</v>
      </c>
      <c r="N7" s="309">
        <f>_xlfn.XLOOKUP("Gross Profit",'[2]Income - GAAP'!$A:$A,'[2]Income - GAAP'!Q:Q)</f>
        <v>1761.308</v>
      </c>
      <c r="O7" s="302"/>
      <c r="P7" s="254"/>
      <c r="S7" s="310"/>
      <c r="T7" s="306"/>
    </row>
    <row r="8" spans="1:30">
      <c r="A8" s="307" t="s">
        <v>399</v>
      </c>
      <c r="B8" s="309">
        <f>_xlfn.XLOOKUP("Operating Income (Loss)",'[2]Income - GAAP'!$A:$A,'[2]Income - GAAP'!E:E)</f>
        <v>1359.6</v>
      </c>
      <c r="C8" s="309">
        <f>_xlfn.XLOOKUP("Operating Income (Loss)",'[2]Income - GAAP'!$A:$A,'[2]Income - GAAP'!F:F)</f>
        <v>1241.9000000000001</v>
      </c>
      <c r="D8" s="309">
        <f>_xlfn.XLOOKUP("Operating Income (Loss)",'[2]Income - GAAP'!$A:$A,'[2]Income - GAAP'!G:G)</f>
        <v>1302.9000000000001</v>
      </c>
      <c r="E8" s="309">
        <f>_xlfn.XLOOKUP("Operating Income (Loss)",'[2]Income - GAAP'!$A:$A,'[2]Income - GAAP'!H:H)</f>
        <v>1019.4</v>
      </c>
      <c r="F8" s="309">
        <f>_xlfn.XLOOKUP("Operating Income (Loss)",'[2]Income - GAAP'!$A:$A,'[2]Income - GAAP'!I:I)</f>
        <v>669.7</v>
      </c>
      <c r="G8" s="309">
        <f>_xlfn.XLOOKUP("Operating Income (Loss)",'[2]Income - GAAP'!$A:$A,'[2]Income - GAAP'!J:J)</f>
        <v>812.8</v>
      </c>
      <c r="H8" s="309">
        <f>_xlfn.XLOOKUP("Operating Income (Loss)",'[2]Income - GAAP'!$A:$A,'[2]Income - GAAP'!K:K)</f>
        <v>768.2</v>
      </c>
      <c r="I8" s="309">
        <f>_xlfn.XLOOKUP("Operating Income (Loss)",'[2]Income - GAAP'!$A:$A,'[2]Income - GAAP'!L:L)</f>
        <v>729</v>
      </c>
      <c r="J8" s="309">
        <f>_xlfn.XLOOKUP("Operating Income (Loss)",'[2]Income - GAAP'!$A:$A,'[2]Income - GAAP'!M:M)</f>
        <v>672</v>
      </c>
      <c r="K8" s="309">
        <f>_xlfn.XLOOKUP("Operating Income (Loss)",'[2]Income - GAAP'!$A:$A,'[2]Income - GAAP'!N:N)</f>
        <v>633.20000000000005</v>
      </c>
      <c r="L8" s="309">
        <f>_xlfn.XLOOKUP("Operating Income (Loss)",'[2]Income - GAAP'!$A:$A,'[2]Income - GAAP'!O:O)</f>
        <v>430.8</v>
      </c>
      <c r="M8" s="309">
        <f>_xlfn.XLOOKUP("Operating Income (Loss)",'[2]Income - GAAP'!$A:$A,'[2]Income - GAAP'!P:P)</f>
        <v>503</v>
      </c>
      <c r="N8" s="309">
        <f>_xlfn.XLOOKUP("Operating Income (Loss)",'[2]Income - GAAP'!$A:$A,'[2]Income - GAAP'!Q:Q)</f>
        <v>500.96100000000001</v>
      </c>
      <c r="O8" s="302"/>
      <c r="P8" s="311"/>
    </row>
    <row r="9" spans="1:30" ht="15">
      <c r="A9" s="307" t="s">
        <v>450</v>
      </c>
      <c r="B9" s="309">
        <v>-118.4</v>
      </c>
      <c r="C9" s="309">
        <f>_xlfn.XLOOKUP("    + Interest Expense, Net",'[2]Income - GAAP'!$A:$A,'[2]Income - GAAP'!F:F)</f>
        <v>-98.3</v>
      </c>
      <c r="D9" s="309">
        <f>_xlfn.XLOOKUP("    + Interest Expense, Net",'[2]Income - GAAP'!$A:$A,'[2]Income - GAAP'!G:G)</f>
        <v>-13.8</v>
      </c>
      <c r="E9" s="309">
        <f>_xlfn.XLOOKUP("    + Interest Expense, Net",'[2]Income - GAAP'!$A:$A,'[2]Income - GAAP'!H:H)</f>
        <v>16.8</v>
      </c>
      <c r="F9" s="309">
        <f>_xlfn.XLOOKUP("    + Interest Expense, Net",'[2]Income - GAAP'!$A:$A,'[2]Income - GAAP'!I:I)</f>
        <v>22.9</v>
      </c>
      <c r="G9" s="309">
        <f>_xlfn.XLOOKUP("    + Interest Expense, Net",'[2]Income - GAAP'!$A:$A,'[2]Income - GAAP'!J:J)</f>
        <v>-8.5</v>
      </c>
      <c r="H9" s="309">
        <f>_xlfn.XLOOKUP("    + Interest Expense, Net",'[2]Income - GAAP'!$A:$A,'[2]Income - GAAP'!K:K)</f>
        <v>-21.9</v>
      </c>
      <c r="I9" s="309">
        <f>_xlfn.XLOOKUP("    + Interest Expense, Net",'[2]Income - GAAP'!$A:$A,'[2]Income - GAAP'!L:L)</f>
        <v>-13</v>
      </c>
      <c r="J9" s="309">
        <f>_xlfn.XLOOKUP("    + Interest Expense, Net",'[2]Income - GAAP'!$A:$A,'[2]Income - GAAP'!M:M)</f>
        <v>7.9</v>
      </c>
      <c r="K9" s="309">
        <f>_xlfn.XLOOKUP("    + Interest Expense, Net",'[2]Income - GAAP'!$A:$A,'[2]Income - GAAP'!N:N)</f>
        <v>-11.2</v>
      </c>
      <c r="L9" s="309">
        <f>_xlfn.XLOOKUP("    + Interest Expense, Net",'[2]Income - GAAP'!$A:$A,'[2]Income - GAAP'!O:O)</f>
        <v>-17.100000000000001</v>
      </c>
      <c r="M9" s="309">
        <f>_xlfn.XLOOKUP("    + Interest Expense, Net",'[2]Income - GAAP'!$A:$A,'[2]Income - GAAP'!P:P)</f>
        <v>-18.2</v>
      </c>
      <c r="N9" s="309">
        <f>_xlfn.XLOOKUP("    + Interest Expense, Net",'[2]Income - GAAP'!$A:$A,'[2]Income - GAAP'!Q:Q)</f>
        <v>-13.311</v>
      </c>
      <c r="O9" s="302"/>
      <c r="P9" s="302"/>
      <c r="S9" s="305"/>
      <c r="T9" s="305"/>
      <c r="U9" s="305"/>
      <c r="V9" s="305"/>
      <c r="W9" s="305"/>
      <c r="X9" s="305"/>
      <c r="Y9" s="305"/>
      <c r="Z9" s="305"/>
      <c r="AA9" s="305"/>
      <c r="AB9" s="305"/>
      <c r="AC9" s="305"/>
      <c r="AD9" s="305"/>
    </row>
    <row r="10" spans="1:30">
      <c r="A10" s="307" t="s">
        <v>451</v>
      </c>
      <c r="B10" s="309">
        <v>0</v>
      </c>
      <c r="C10" s="309">
        <f>-_xlfn.XLOOKUP("    + Other Non-Op (Income) Loss",'[2]Income - GAAP'!$A:$A,'[2]Income - GAAP'!F:F)-_xlfn.XLOOKUP("    + Foreign Exch (Gain) Loss",'[2]Income - GAAP'!$A:$A,'[2]Income - GAAP'!F:F)-_xlfn.XLOOKUP("    + (Income) Loss from Affiliates",'[2]Income - GAAP'!$A:$A,'[2]Income - GAAP'!F:F)</f>
        <v>-39.299999999999997</v>
      </c>
      <c r="D10" s="309">
        <f>-_xlfn.XLOOKUP("    + Other Non-Op (Income) Loss",'[2]Income - GAAP'!$A:$A,'[2]Income - GAAP'!G:G)-_xlfn.XLOOKUP("    + Foreign Exch (Gain) Loss",'[2]Income - GAAP'!$A:$A,'[2]Income - GAAP'!G:G)-_xlfn.XLOOKUP("    + (Income) Loss from Affiliates",'[2]Income - GAAP'!$A:$A,'[2]Income - GAAP'!G:G)</f>
        <v>-11.1</v>
      </c>
      <c r="E10" s="309">
        <f>-_xlfn.XLOOKUP("    + Other Non-Op (Income) Loss",'[2]Income - GAAP'!$A:$A,'[2]Income - GAAP'!H:H)-_xlfn.XLOOKUP("    + Foreign Exch (Gain) Loss",'[2]Income - GAAP'!$A:$A,'[2]Income - GAAP'!H:H)-_xlfn.XLOOKUP("    + (Income) Loss from Affiliates",'[2]Income - GAAP'!$A:$A,'[2]Income - GAAP'!H:H)</f>
        <v>1.7000000000000002</v>
      </c>
      <c r="F10" s="309">
        <f>-_xlfn.XLOOKUP("    + Other Non-Op (Income) Loss",'[2]Income - GAAP'!$A:$A,'[2]Income - GAAP'!I:I)-_xlfn.XLOOKUP("    + Foreign Exch (Gain) Loss",'[2]Income - GAAP'!$A:$A,'[2]Income - GAAP'!I:I)-_xlfn.XLOOKUP("    + (Income) Loss from Affiliates",'[2]Income - GAAP'!$A:$A,'[2]Income - GAAP'!I:I)</f>
        <v>-0.5</v>
      </c>
      <c r="G10" s="309">
        <f>-_xlfn.XLOOKUP("    + Other Non-Op (Income) Loss",'[2]Income - GAAP'!$A:$A,'[2]Income - GAAP'!J:J)-_xlfn.XLOOKUP("    + Foreign Exch (Gain) Loss",'[2]Income - GAAP'!$A:$A,'[2]Income - GAAP'!J:J)-_xlfn.XLOOKUP("    + (Income) Loss from Affiliates",'[2]Income - GAAP'!$A:$A,'[2]Income - GAAP'!J:J)</f>
        <v>-5.3999999999999995</v>
      </c>
      <c r="H10" s="309">
        <f>-_xlfn.XLOOKUP("    + Other Non-Op (Income) Loss",'[2]Income - GAAP'!$A:$A,'[2]Income - GAAP'!K:K)-_xlfn.XLOOKUP("    + Foreign Exch (Gain) Loss",'[2]Income - GAAP'!$A:$A,'[2]Income - GAAP'!K:K)-_xlfn.XLOOKUP("    + (Income) Loss from Affiliates",'[2]Income - GAAP'!$A:$A,'[2]Income - GAAP'!K:K)</f>
        <v>-6.3000000000000007</v>
      </c>
      <c r="I10" s="309">
        <f>-_xlfn.XLOOKUP("    + Other Non-Op (Income) Loss",'[2]Income - GAAP'!$A:$A,'[2]Income - GAAP'!L:L)-_xlfn.XLOOKUP("    + Foreign Exch (Gain) Loss",'[2]Income - GAAP'!$A:$A,'[2]Income - GAAP'!L:L)-_xlfn.XLOOKUP("    + (Income) Loss from Affiliates",'[2]Income - GAAP'!$A:$A,'[2]Income - GAAP'!L:L)</f>
        <v>9.4000000000000021</v>
      </c>
      <c r="J10" s="309">
        <f>-_xlfn.XLOOKUP("    + Other Non-Op (Income) Loss",'[2]Income - GAAP'!$A:$A,'[2]Income - GAAP'!M:M)-_xlfn.XLOOKUP("    + Foreign Exch (Gain) Loss",'[2]Income - GAAP'!$A:$A,'[2]Income - GAAP'!M:M)-_xlfn.XLOOKUP("    + (Income) Loss from Affiliates",'[2]Income - GAAP'!$A:$A,'[2]Income - GAAP'!M:M)</f>
        <v>-2.6000000000000005</v>
      </c>
      <c r="K10" s="309">
        <f>-_xlfn.XLOOKUP("    + Other Non-Op (Income) Loss",'[2]Income - GAAP'!$A:$A,'[2]Income - GAAP'!N:N)-_xlfn.XLOOKUP("    + Foreign Exch (Gain) Loss",'[2]Income - GAAP'!$A:$A,'[2]Income - GAAP'!N:N)-_xlfn.XLOOKUP("    + (Income) Loss from Affiliates",'[2]Income - GAAP'!$A:$A,'[2]Income - GAAP'!N:N)</f>
        <v>-11.3</v>
      </c>
      <c r="L10" s="309">
        <f>-_xlfn.XLOOKUP("    + Other Non-Op (Income) Loss",'[2]Income - GAAP'!$A:$A,'[2]Income - GAAP'!O:O)-_xlfn.XLOOKUP("    + Foreign Exch (Gain) Loss",'[2]Income - GAAP'!$A:$A,'[2]Income - GAAP'!O:O)-_xlfn.XLOOKUP("    + (Income) Loss from Affiliates",'[2]Income - GAAP'!$A:$A,'[2]Income - GAAP'!O:O)</f>
        <v>-2.1999999999999997</v>
      </c>
      <c r="M10" s="309">
        <f>-_xlfn.XLOOKUP("    + Other Non-Op (Income) Loss",'[2]Income - GAAP'!$A:$A,'[2]Income - GAAP'!P:P)-_xlfn.XLOOKUP("    + Foreign Exch (Gain) Loss",'[2]Income - GAAP'!$A:$A,'[2]Income - GAAP'!P:P)-_xlfn.XLOOKUP("    + (Income) Loss from Affiliates",'[2]Income - GAAP'!$A:$A,'[2]Income - GAAP'!P:P)</f>
        <v>-0.3</v>
      </c>
      <c r="N10" s="309">
        <f>-_xlfn.XLOOKUP("    + Other Non-Op (Income) Loss",'[2]Income - GAAP'!$A:$A,'[2]Income - GAAP'!Q:Q)-_xlfn.XLOOKUP("    + Foreign Exch (Gain) Loss",'[2]Income - GAAP'!$A:$A,'[2]Income - GAAP'!Q:Q)-_xlfn.XLOOKUP("    + (Income) Loss from Affiliates",'[2]Income - GAAP'!$A:$A,'[2]Income - GAAP'!Q:Q)</f>
        <v>4.782</v>
      </c>
      <c r="O10" s="302"/>
      <c r="P10" s="302"/>
      <c r="S10" s="304"/>
      <c r="T10" s="304"/>
      <c r="U10" s="304"/>
      <c r="V10" s="304"/>
      <c r="W10" s="304"/>
      <c r="X10" s="304"/>
      <c r="Y10" s="304"/>
      <c r="Z10" s="304"/>
      <c r="AA10" s="304"/>
      <c r="AB10" s="304"/>
      <c r="AC10" s="304"/>
      <c r="AD10" s="304"/>
    </row>
    <row r="11" spans="1:30">
      <c r="A11" s="307" t="s">
        <v>452</v>
      </c>
      <c r="B11" s="312">
        <f>-_xlfn.XLOOKUP("  + Depreciation &amp; Amortization",'[2]Cash Flow - Standardized'!$A:$A,'[2]Cash Flow - Standardized'!C:C)</f>
        <v>-561</v>
      </c>
      <c r="C11" s="312">
        <f>-_xlfn.XLOOKUP("  + Depreciation &amp; Amortization",'[2]Cash Flow - Standardized'!$A:$A,'[2]Cash Flow - Standardized'!D:D)</f>
        <v>-569.5</v>
      </c>
      <c r="D11" s="312">
        <f>-_xlfn.XLOOKUP("  + Depreciation &amp; Amortization",'[2]Cash Flow - Standardized'!$A:$A,'[2]Cash Flow - Standardized'!E:E)</f>
        <v>-596.79999999999995</v>
      </c>
      <c r="E11" s="312">
        <f>-_xlfn.XLOOKUP("  + Depreciation &amp; Amortization",'[2]Cash Flow - Standardized'!$A:$A,'[2]Cash Flow - Standardized'!F:F)</f>
        <v>-574.6</v>
      </c>
      <c r="F11" s="312">
        <f>-_xlfn.XLOOKUP("  + Depreciation &amp; Amortization",'[2]Cash Flow - Standardized'!$A:$A,'[2]Cash Flow - Standardized'!G:G)</f>
        <v>-604.5</v>
      </c>
      <c r="G11" s="312">
        <f>-_xlfn.XLOOKUP("  + Depreciation &amp; Amortization",'[2]Cash Flow - Standardized'!$A:$A,'[2]Cash Flow - Standardized'!H:H)</f>
        <v>-396</v>
      </c>
      <c r="H11" s="312">
        <f>-_xlfn.XLOOKUP("  + Depreciation &amp; Amortization",'[2]Cash Flow - Standardized'!$A:$A,'[2]Cash Flow - Standardized'!I:I)</f>
        <v>-237.7</v>
      </c>
      <c r="I11" s="312">
        <f>-_xlfn.XLOOKUP("  + Depreciation &amp; Amortization",'[2]Cash Flow - Standardized'!$A:$A,'[2]Cash Flow - Standardized'!J:J)</f>
        <v>-217.7</v>
      </c>
      <c r="J11" s="312">
        <f>-_xlfn.XLOOKUP("  + Depreciation &amp; Amortization",'[2]Cash Flow - Standardized'!$A:$A,'[2]Cash Flow - Standardized'!K:K)</f>
        <v>-206.4</v>
      </c>
      <c r="K11" s="312">
        <f>-_xlfn.XLOOKUP("  + Depreciation &amp; Amortization",'[2]Cash Flow - Standardized'!$A:$A,'[2]Cash Flow - Standardized'!L:L)</f>
        <v>-211.4</v>
      </c>
      <c r="L11" s="312">
        <f>-_xlfn.XLOOKUP("  + Depreciation &amp; Amortization",'[2]Cash Flow - Standardized'!$A:$A,'[2]Cash Flow - Standardized'!M:M)</f>
        <v>-176.3</v>
      </c>
      <c r="M11" s="312">
        <f>-_xlfn.XLOOKUP("  + Depreciation &amp; Amortization",'[2]Cash Flow - Standardized'!$A:$A,'[2]Cash Flow - Standardized'!N:N)</f>
        <v>-141.30000000000001</v>
      </c>
      <c r="N11" s="312">
        <f>-_xlfn.XLOOKUP("  + Depreciation &amp; Amortization",'[2]Cash Flow - Standardized'!$A:$A,'[2]Cash Flow - Standardized'!O:O)</f>
        <v>-132.1</v>
      </c>
      <c r="O11" s="302"/>
      <c r="P11" s="302"/>
      <c r="S11" s="304"/>
      <c r="T11" s="304"/>
      <c r="U11" s="304"/>
      <c r="V11" s="304"/>
      <c r="W11" s="304"/>
      <c r="X11" s="304"/>
      <c r="Y11" s="304"/>
      <c r="Z11" s="304"/>
      <c r="AA11" s="304"/>
      <c r="AB11" s="304"/>
      <c r="AC11" s="304"/>
      <c r="AD11" s="304"/>
    </row>
    <row r="12" spans="1:30">
      <c r="A12" s="307" t="s">
        <v>405</v>
      </c>
      <c r="B12" s="312">
        <f>_xlfn.XLOOKUP("  + Chg in Non-Cash Work Cap",'[2]Cash Flow - Standardized'!$A:$A,'[2]Cash Flow - Standardized'!C:C)+_xlfn.XLOOKUP("    + Deferred Income Taxes",'[2]Cash Flow - Standardized'!$A:$A,'[2]Cash Flow - Standardized'!C:C)+_xlfn.XLOOKUP("    + Other Non-Cash Adj",'[2]Cash Flow - Standardized'!$A:$A,'[2]Cash Flow - Standardized'!C:C)-DCFF!G10</f>
        <v>-286.3</v>
      </c>
      <c r="C12" s="312">
        <f>_xlfn.XLOOKUP("  + Chg in Non-Cash Work Cap",'[2]Cash Flow - Standardized'!$A:$A,'[2]Cash Flow - Standardized'!D:D)+_xlfn.XLOOKUP("    + Deferred Income Taxes",'[2]Cash Flow - Standardized'!$A:$A,'[2]Cash Flow - Standardized'!D:D)+_xlfn.XLOOKUP("    + Other Non-Cash Adj",'[2]Cash Flow - Standardized'!$A:$A,'[2]Cash Flow - Standardized'!D:D)</f>
        <v>-239.5</v>
      </c>
      <c r="D12" s="312">
        <f>_xlfn.XLOOKUP("  + Chg in Non-Cash Work Cap",'[2]Cash Flow - Standardized'!$A:$A,'[2]Cash Flow - Standardized'!E:E)+_xlfn.XLOOKUP("    + Deferred Income Taxes",'[2]Cash Flow - Standardized'!$A:$A,'[2]Cash Flow - Standardized'!E:E)+_xlfn.XLOOKUP("    + Other Non-Cash Adj",'[2]Cash Flow - Standardized'!$A:$A,'[2]Cash Flow - Standardized'!E:E)</f>
        <v>-169.8</v>
      </c>
      <c r="E12" s="312">
        <f>_xlfn.XLOOKUP("  + Chg in Non-Cash Work Cap",'[2]Cash Flow - Standardized'!$A:$A,'[2]Cash Flow - Standardized'!F:F)+_xlfn.XLOOKUP("    + Deferred Income Taxes",'[2]Cash Flow - Standardized'!$A:$A,'[2]Cash Flow - Standardized'!F:F)+_xlfn.XLOOKUP("    + Other Non-Cash Adj",'[2]Cash Flow - Standardized'!$A:$A,'[2]Cash Flow - Standardized'!F:F)</f>
        <v>93.200000000000017</v>
      </c>
      <c r="F12" s="312">
        <f>_xlfn.XLOOKUP("  + Chg in Non-Cash Work Cap",'[2]Cash Flow - Standardized'!$A:$A,'[2]Cash Flow - Standardized'!G:G)+_xlfn.XLOOKUP("    + Deferred Income Taxes",'[2]Cash Flow - Standardized'!$A:$A,'[2]Cash Flow - Standardized'!G:G)+_xlfn.XLOOKUP("    + Other Non-Cash Adj",'[2]Cash Flow - Standardized'!$A:$A,'[2]Cash Flow - Standardized'!G:G)</f>
        <v>-32.500000000000007</v>
      </c>
      <c r="G12" s="312">
        <f>_xlfn.XLOOKUP("  + Chg in Non-Cash Work Cap",'[2]Cash Flow - Standardized'!$A:$A,'[2]Cash Flow - Standardized'!H:H)+_xlfn.XLOOKUP("    + Deferred Income Taxes",'[2]Cash Flow - Standardized'!$A:$A,'[2]Cash Flow - Standardized'!H:H)+_xlfn.XLOOKUP("    + Other Non-Cash Adj",'[2]Cash Flow - Standardized'!$A:$A,'[2]Cash Flow - Standardized'!H:H)</f>
        <v>58.3</v>
      </c>
      <c r="H12" s="312">
        <f>_xlfn.XLOOKUP("  + Chg in Non-Cash Work Cap",'[2]Cash Flow - Standardized'!$A:$A,'[2]Cash Flow - Standardized'!I:I)+_xlfn.XLOOKUP("    + Deferred Income Taxes",'[2]Cash Flow - Standardized'!$A:$A,'[2]Cash Flow - Standardized'!I:I)+_xlfn.XLOOKUP("    + Other Non-Cash Adj",'[2]Cash Flow - Standardized'!$A:$A,'[2]Cash Flow - Standardized'!I:I)</f>
        <v>8.0999999999999943</v>
      </c>
      <c r="I12" s="312">
        <f>_xlfn.XLOOKUP("  + Chg in Non-Cash Work Cap",'[2]Cash Flow - Standardized'!$A:$A,'[2]Cash Flow - Standardized'!J:J)+_xlfn.XLOOKUP("    + Deferred Income Taxes",'[2]Cash Flow - Standardized'!$A:$A,'[2]Cash Flow - Standardized'!J:J)+_xlfn.XLOOKUP("    + Other Non-Cash Adj",'[2]Cash Flow - Standardized'!$A:$A,'[2]Cash Flow - Standardized'!J:J)</f>
        <v>-84.6</v>
      </c>
      <c r="J12" s="312">
        <f>_xlfn.XLOOKUP("  + Chg in Non-Cash Work Cap",'[2]Cash Flow - Standardized'!$A:$A,'[2]Cash Flow - Standardized'!K:K)+_xlfn.XLOOKUP("    + Deferred Income Taxes",'[2]Cash Flow - Standardized'!$A:$A,'[2]Cash Flow - Standardized'!K:K)+_xlfn.XLOOKUP("    + Other Non-Cash Adj",'[2]Cash Flow - Standardized'!$A:$A,'[2]Cash Flow - Standardized'!K:K)</f>
        <v>-103.7</v>
      </c>
      <c r="K12" s="312">
        <f>_xlfn.XLOOKUP("  + Chg in Non-Cash Work Cap",'[2]Cash Flow - Standardized'!$A:$A,'[2]Cash Flow - Standardized'!L:L)+_xlfn.XLOOKUP("    + Deferred Income Taxes",'[2]Cash Flow - Standardized'!$A:$A,'[2]Cash Flow - Standardized'!L:L)+_xlfn.XLOOKUP("    + Other Non-Cash Adj",'[2]Cash Flow - Standardized'!$A:$A,'[2]Cash Flow - Standardized'!L:L)</f>
        <v>-20.5</v>
      </c>
      <c r="L12" s="312">
        <f>_xlfn.XLOOKUP("  + Chg in Non-Cash Work Cap",'[2]Cash Flow - Standardized'!$A:$A,'[2]Cash Flow - Standardized'!M:M)+_xlfn.XLOOKUP("    + Deferred Income Taxes",'[2]Cash Flow - Standardized'!$A:$A,'[2]Cash Flow - Standardized'!M:M)+_xlfn.XLOOKUP("    + Other Non-Cash Adj",'[2]Cash Flow - Standardized'!$A:$A,'[2]Cash Flow - Standardized'!M:M)</f>
        <v>2.0000000000000036</v>
      </c>
      <c r="M12" s="312">
        <f>_xlfn.XLOOKUP("  + Chg in Non-Cash Work Cap",'[2]Cash Flow - Standardized'!$A:$A,'[2]Cash Flow - Standardized'!N:N)+_xlfn.XLOOKUP("    + Deferred Income Taxes",'[2]Cash Flow - Standardized'!$A:$A,'[2]Cash Flow - Standardized'!N:N)+_xlfn.XLOOKUP("    + Other Non-Cash Adj",'[2]Cash Flow - Standardized'!$A:$A,'[2]Cash Flow - Standardized'!N:N)</f>
        <v>-20.8</v>
      </c>
      <c r="N12" s="312">
        <f>_xlfn.XLOOKUP("  + Chg in Non-Cash Work Cap",'[2]Cash Flow - Standardized'!$A:$A,'[2]Cash Flow - Standardized'!O:O)+_xlfn.XLOOKUP("    + Deferred Income Taxes",'[2]Cash Flow - Standardized'!$A:$A,'[2]Cash Flow - Standardized'!O:O)+_xlfn.XLOOKUP("    + Other Non-Cash Adj",'[2]Cash Flow - Standardized'!$A:$A,'[2]Cash Flow - Standardized'!O:O)</f>
        <v>74.3</v>
      </c>
      <c r="O12" s="313"/>
      <c r="P12" s="302"/>
      <c r="S12" s="304"/>
      <c r="T12" s="304"/>
      <c r="U12" s="304"/>
      <c r="V12" s="304"/>
      <c r="W12" s="304"/>
      <c r="X12" s="304"/>
      <c r="Y12" s="304"/>
      <c r="Z12" s="304"/>
      <c r="AA12" s="304"/>
      <c r="AB12" s="304"/>
      <c r="AC12" s="304"/>
      <c r="AD12" s="304"/>
    </row>
    <row r="13" spans="1:30">
      <c r="A13" s="307" t="s">
        <v>84</v>
      </c>
      <c r="B13" s="312">
        <f>_xlfn.XLOOKUP("  + Change in Fixed &amp; Intang",'[2]Cash Flow - Standardized'!$A:$A,'[2]Cash Flow - Standardized'!C:C)</f>
        <v>-193.4</v>
      </c>
      <c r="C13" s="312">
        <f>_xlfn.XLOOKUP("  + Change in Fixed &amp; Intang",'[2]Cash Flow - Standardized'!$A:$A,'[2]Cash Flow - Standardized'!D:D)</f>
        <v>-145.30000000000001</v>
      </c>
      <c r="D13" s="312">
        <f>_xlfn.XLOOKUP("  + Change in Fixed &amp; Intang",'[2]Cash Flow - Standardized'!$A:$A,'[2]Cash Flow - Standardized'!E:E)</f>
        <v>-132.30000000000001</v>
      </c>
      <c r="E13" s="312">
        <f>_xlfn.XLOOKUP("  + Change in Fixed &amp; Intang",'[2]Cash Flow - Standardized'!$A:$A,'[2]Cash Flow - Standardized'!F:F)</f>
        <v>-103.7</v>
      </c>
      <c r="F13" s="312">
        <f>_xlfn.XLOOKUP("  + Change in Fixed &amp; Intang",'[2]Cash Flow - Standardized'!$A:$A,'[2]Cash Flow - Standardized'!G:G)</f>
        <v>-127</v>
      </c>
      <c r="G13" s="312">
        <f>_xlfn.XLOOKUP("  + Change in Fixed &amp; Intang",'[2]Cash Flow - Standardized'!$A:$A,'[2]Cash Flow - Standardized'!H:H)</f>
        <v>-98.3</v>
      </c>
      <c r="H13" s="312">
        <f>_xlfn.XLOOKUP("  + Change in Fixed &amp; Intang",'[2]Cash Flow - Standardized'!$A:$A,'[2]Cash Flow - Standardized'!I:I)</f>
        <v>-72.400000000000006</v>
      </c>
      <c r="I13" s="312">
        <f>_xlfn.XLOOKUP("  + Change in Fixed &amp; Intang",'[2]Cash Flow - Standardized'!$A:$A,'[2]Cash Flow - Standardized'!J:J)</f>
        <v>-84.5</v>
      </c>
      <c r="J13" s="312">
        <f>_xlfn.XLOOKUP("  + Change in Fixed &amp; Intang",'[2]Cash Flow - Standardized'!$A:$A,'[2]Cash Flow - Standardized'!K:K)</f>
        <v>-56.7</v>
      </c>
      <c r="K13" s="312">
        <f>_xlfn.XLOOKUP("  + Change in Fixed &amp; Intang",'[2]Cash Flow - Standardized'!$A:$A,'[2]Cash Flow - Standardized'!L:L)</f>
        <v>-43.6</v>
      </c>
      <c r="L13" s="312">
        <f>_xlfn.XLOOKUP("  + Change in Fixed &amp; Intang",'[2]Cash Flow - Standardized'!$A:$A,'[2]Cash Flow - Standardized'!M:M)</f>
        <v>-45.4</v>
      </c>
      <c r="M13" s="312">
        <f>_xlfn.XLOOKUP("  + Change in Fixed &amp; Intang",'[2]Cash Flow - Standardized'!$A:$A,'[2]Cash Flow - Standardized'!N:N)</f>
        <v>-42.4</v>
      </c>
      <c r="N13" s="312">
        <f>_xlfn.XLOOKUP("  + Change in Fixed &amp; Intang",'[2]Cash Flow - Standardized'!$A:$A,'[2]Cash Flow - Standardized'!O:O)</f>
        <v>-40.6</v>
      </c>
      <c r="O13" s="302"/>
      <c r="T13" s="304"/>
    </row>
    <row r="14" spans="1:30">
      <c r="A14" s="307" t="s">
        <v>250</v>
      </c>
      <c r="B14" s="312">
        <f>_xlfn.XLOOKUP("  + Net Cash From Acq &amp; Div",'[2]Cash Flow - Standardized'!$A:$A,'[2]Cash Flow - Standardized'!C:C)+_xlfn.XLOOKUP("  + Other Investing Activities",'[2]Cash Flow - Standardized'!$A:$A,'[2]Cash Flow - Standardized'!C:C)</f>
        <v>1.6000000000000014</v>
      </c>
      <c r="C14" s="312">
        <f>_xlfn.XLOOKUP("  + Net Cash From Acq &amp; Div",'[2]Cash Flow - Standardized'!$A:$A,'[2]Cash Flow - Standardized'!D:D)+_xlfn.XLOOKUP("  + Other Investing Activities",'[2]Cash Flow - Standardized'!$A:$A,'[2]Cash Flow - Standardized'!D:D)</f>
        <v>-16.400000000000002</v>
      </c>
      <c r="D14" s="312">
        <f>_xlfn.XLOOKUP("  + Net Cash From Acq &amp; Div",'[2]Cash Flow - Standardized'!$A:$A,'[2]Cash Flow - Standardized'!E:E)+_xlfn.XLOOKUP("  + Other Investing Activities",'[2]Cash Flow - Standardized'!$A:$A,'[2]Cash Flow - Standardized'!E:E)</f>
        <v>-81.599999999999994</v>
      </c>
      <c r="E14" s="312">
        <f>_xlfn.XLOOKUP("  + Net Cash From Acq &amp; Div",'[2]Cash Flow - Standardized'!$A:$A,'[2]Cash Flow - Standardized'!F:F)+_xlfn.XLOOKUP("  + Other Investing Activities",'[2]Cash Flow - Standardized'!$A:$A,'[2]Cash Flow - Standardized'!F:F)</f>
        <v>-56.699999999999996</v>
      </c>
      <c r="F14" s="312">
        <f>_xlfn.XLOOKUP("  + Net Cash From Acq &amp; Div",'[2]Cash Flow - Standardized'!$A:$A,'[2]Cash Flow - Standardized'!G:G)+_xlfn.XLOOKUP("  + Other Investing Activities",'[2]Cash Flow - Standardized'!$A:$A,'[2]Cash Flow - Standardized'!G:G)</f>
        <v>-81</v>
      </c>
      <c r="G14" s="312">
        <f>_xlfn.XLOOKUP("  + Net Cash From Acq &amp; Div",'[2]Cash Flow - Standardized'!$A:$A,'[2]Cash Flow - Standardized'!H:H)+_xlfn.XLOOKUP("  + Other Investing Activities",'[2]Cash Flow - Standardized'!$A:$A,'[2]Cash Flow - Standardized'!H:H)</f>
        <v>-5236.5</v>
      </c>
      <c r="H14" s="312">
        <f>_xlfn.XLOOKUP("  + Net Cash From Acq &amp; Div",'[2]Cash Flow - Standardized'!$A:$A,'[2]Cash Flow - Standardized'!I:I)+_xlfn.XLOOKUP("  + Other Investing Activities",'[2]Cash Flow - Standardized'!$A:$A,'[2]Cash Flow - Standardized'!I:I)</f>
        <v>-250.79999999999998</v>
      </c>
      <c r="I14" s="312">
        <f>_xlfn.XLOOKUP("  + Net Cash From Acq &amp; Div",'[2]Cash Flow - Standardized'!$A:$A,'[2]Cash Flow - Standardized'!J:J)+_xlfn.XLOOKUP("  + Other Investing Activities",'[2]Cash Flow - Standardized'!$A:$A,'[2]Cash Flow - Standardized'!J:J)</f>
        <v>-282.89999999999998</v>
      </c>
      <c r="J14" s="312">
        <f>_xlfn.XLOOKUP("  + Net Cash From Acq &amp; Div",'[2]Cash Flow - Standardized'!$A:$A,'[2]Cash Flow - Standardized'!K:K)+_xlfn.XLOOKUP("  + Other Investing Activities",'[2]Cash Flow - Standardized'!$A:$A,'[2]Cash Flow - Standardized'!K:K)</f>
        <v>-242.29999999999998</v>
      </c>
      <c r="K14" s="312">
        <f>_xlfn.XLOOKUP("  + Net Cash From Acq &amp; Div",'[2]Cash Flow - Standardized'!$A:$A,'[2]Cash Flow - Standardized'!L:L)+_xlfn.XLOOKUP("  + Other Investing Activities",'[2]Cash Flow - Standardized'!$A:$A,'[2]Cash Flow - Standardized'!L:L)</f>
        <v>-16.899999999999999</v>
      </c>
      <c r="L14" s="312">
        <f>_xlfn.XLOOKUP("  + Net Cash From Acq &amp; Div",'[2]Cash Flow - Standardized'!$A:$A,'[2]Cash Flow - Standardized'!M:M)+_xlfn.XLOOKUP("  + Other Investing Activities",'[2]Cash Flow - Standardized'!$A:$A,'[2]Cash Flow - Standardized'!M:M)</f>
        <v>-955.5</v>
      </c>
      <c r="M14" s="312">
        <f>_xlfn.XLOOKUP("  + Net Cash From Acq &amp; Div",'[2]Cash Flow - Standardized'!$A:$A,'[2]Cash Flow - Standardized'!N:N)+_xlfn.XLOOKUP("  + Other Investing Activities",'[2]Cash Flow - Standardized'!$A:$A,'[2]Cash Flow - Standardized'!N:N)</f>
        <v>-126.2</v>
      </c>
      <c r="N14" s="312">
        <f>_xlfn.XLOOKUP("  + Net Cash From Acq &amp; Div",'[2]Cash Flow - Standardized'!$A:$A,'[2]Cash Flow - Standardized'!O:O)+_xlfn.XLOOKUP("  + Other Investing Activities",'[2]Cash Flow - Standardized'!$A:$A,'[2]Cash Flow - Standardized'!O:O)</f>
        <v>-178.2</v>
      </c>
      <c r="O14" s="313"/>
      <c r="P14" s="302"/>
    </row>
    <row r="15" spans="1:30" ht="15">
      <c r="A15" s="307" t="s">
        <v>407</v>
      </c>
      <c r="B15" s="309">
        <f>-_xlfn.XLOOKUP("  - Income Tax Expense (Benefit)",'[2]Income - GAAP'!$A:$A,'[2]Income - GAAP'!E:E)</f>
        <v>-279.89999999999998</v>
      </c>
      <c r="C15" s="309">
        <f>-_xlfn.XLOOKUP("  - Income Tax Expense (Benefit)",'[2]Income - GAAP'!$A:$A,'[2]Income - GAAP'!F:F)</f>
        <v>-250.7</v>
      </c>
      <c r="D15" s="309">
        <f>-_xlfn.XLOOKUP("  - Income Tax Expense (Benefit)",'[2]Income - GAAP'!$A:$A,'[2]Income - GAAP'!G:G)</f>
        <v>-375.4</v>
      </c>
      <c r="E15" s="309">
        <f>-_xlfn.XLOOKUP("  - Income Tax Expense (Benefit)",'[2]Income - GAAP'!$A:$A,'[2]Income - GAAP'!H:H)</f>
        <v>-230.4</v>
      </c>
      <c r="F15" s="309">
        <f>-_xlfn.XLOOKUP("  - Income Tax Expense (Benefit)",'[2]Income - GAAP'!$A:$A,'[2]Income - GAAP'!I:I)</f>
        <v>-160.80000000000001</v>
      </c>
      <c r="G15" s="309">
        <f>-_xlfn.XLOOKUP("  - Income Tax Expense (Benefit)",'[2]Income - GAAP'!$A:$A,'[2]Income - GAAP'!J:J)</f>
        <v>-209.6</v>
      </c>
      <c r="H15" s="309">
        <f>-_xlfn.XLOOKUP("  - Income Tax Expense (Benefit)",'[2]Income - GAAP'!$A:$A,'[2]Income - GAAP'!K:K)</f>
        <v>-220.4</v>
      </c>
      <c r="I15" s="309">
        <f>-_xlfn.XLOOKUP("  - Income Tax Expense (Benefit)",'[2]Income - GAAP'!$A:$A,'[2]Income - GAAP'!L:L)</f>
        <v>-231.3</v>
      </c>
      <c r="J15" s="309">
        <f>-_xlfn.XLOOKUP("  - Income Tax Expense (Benefit)",'[2]Income - GAAP'!$A:$A,'[2]Income - GAAP'!M:M)</f>
        <v>-209.3</v>
      </c>
      <c r="K15" s="309">
        <f>-_xlfn.XLOOKUP("  - Income Tax Expense (Benefit)",'[2]Income - GAAP'!$A:$A,'[2]Income - GAAP'!N:N)</f>
        <v>-227.1</v>
      </c>
      <c r="L15" s="309">
        <f>-_xlfn.XLOOKUP("  - Income Tax Expense (Benefit)",'[2]Income - GAAP'!$A:$A,'[2]Income - GAAP'!O:O)</f>
        <v>-153.30000000000001</v>
      </c>
      <c r="M15" s="309">
        <f>-_xlfn.XLOOKUP("  - Income Tax Expense (Benefit)",'[2]Income - GAAP'!$A:$A,'[2]Income - GAAP'!P:P)</f>
        <v>-165.8</v>
      </c>
      <c r="N15" s="309">
        <f>-_xlfn.XLOOKUP("  - Income Tax Expense (Benefit)",'[2]Income - GAAP'!$A:$A,'[2]Income - GAAP'!Q:Q)</f>
        <v>-180.22499999999999</v>
      </c>
      <c r="O15" s="302"/>
      <c r="P15" s="302"/>
      <c r="R15" s="314"/>
      <c r="S15" s="315"/>
      <c r="T15" s="315"/>
      <c r="U15" s="315"/>
      <c r="V15" s="315"/>
      <c r="W15" s="315"/>
      <c r="X15" s="315"/>
      <c r="Y15" s="315"/>
      <c r="Z15" s="315"/>
      <c r="AA15" s="315"/>
      <c r="AB15" s="315"/>
      <c r="AC15" s="315"/>
      <c r="AD15" s="315"/>
    </row>
    <row r="16" spans="1:30">
      <c r="A16" s="307" t="s">
        <v>38</v>
      </c>
      <c r="B16" s="316">
        <f>_xlfn.XLOOKUP("Income (Loss) Incl. MI",'[2]Income - GAAP'!$A:$A,'[2]Income - GAAP'!E:E)</f>
        <v>1198.0999999999999</v>
      </c>
      <c r="C16" s="316">
        <f>_xlfn.XLOOKUP("Income (Loss) Incl. MI",'[2]Income - GAAP'!$A:$A,'[2]Income - GAAP'!F:F)</f>
        <v>1050.2</v>
      </c>
      <c r="D16" s="316">
        <f>_xlfn.XLOOKUP("Income (Loss) Incl. MI",'[2]Income - GAAP'!$A:$A,'[2]Income - GAAP'!G:G)</f>
        <v>930.2</v>
      </c>
      <c r="E16" s="316">
        <f>_xlfn.XLOOKUP("Income (Loss) Incl. MI",'[2]Income - GAAP'!$A:$A,'[2]Income - GAAP'!H:H)</f>
        <v>773.9</v>
      </c>
      <c r="F16" s="316">
        <f>_xlfn.XLOOKUP("Income (Loss) Incl. MI",'[2]Income - GAAP'!$A:$A,'[2]Income - GAAP'!I:I)</f>
        <v>485.5</v>
      </c>
      <c r="G16" s="316">
        <f>_xlfn.XLOOKUP("Income (Loss) Incl. MI",'[2]Income - GAAP'!$A:$A,'[2]Income - GAAP'!J:J)</f>
        <v>606.29999999999995</v>
      </c>
      <c r="H16" s="316">
        <f>_xlfn.XLOOKUP("Income (Loss) Incl. MI",'[2]Income - GAAP'!$A:$A,'[2]Income - GAAP'!K:K)</f>
        <v>563.4</v>
      </c>
      <c r="I16" s="316">
        <f>_xlfn.XLOOKUP("Income (Loss) Incl. MI",'[2]Income - GAAP'!$A:$A,'[2]Income - GAAP'!L:L)</f>
        <v>520.1</v>
      </c>
      <c r="J16" s="316">
        <f>_xlfn.XLOOKUP("Income (Loss) Incl. MI",'[2]Income - GAAP'!$A:$A,'[2]Income - GAAP'!M:M)</f>
        <v>452.2</v>
      </c>
      <c r="K16" s="316">
        <f>_xlfn.XLOOKUP("Income (Loss) Incl. MI",'[2]Income - GAAP'!$A:$A,'[2]Income - GAAP'!N:N)</f>
        <v>406</v>
      </c>
      <c r="L16" s="316">
        <f>_xlfn.XLOOKUP("Income (Loss) Incl. MI",'[2]Income - GAAP'!$A:$A,'[2]Income - GAAP'!O:O)</f>
        <v>292.5</v>
      </c>
      <c r="M16" s="316">
        <f>_xlfn.XLOOKUP("Income (Loss) Incl. MI",'[2]Income - GAAP'!$A:$A,'[2]Income - GAAP'!P:P)</f>
        <v>355.2</v>
      </c>
      <c r="N16" s="316">
        <f>_xlfn.XLOOKUP("Income (Loss) Incl. MI",'[2]Income - GAAP'!$A:$A,'[2]Income - GAAP'!Q:Q)</f>
        <v>338.82900000000001</v>
      </c>
      <c r="O16" s="302"/>
      <c r="P16" s="302"/>
      <c r="S16" s="302"/>
      <c r="T16" s="302"/>
      <c r="U16" s="302"/>
      <c r="V16" s="302"/>
      <c r="W16" s="302"/>
      <c r="X16" s="302"/>
      <c r="Y16" s="302"/>
      <c r="Z16" s="302"/>
      <c r="AA16" s="302"/>
      <c r="AB16" s="302"/>
      <c r="AC16" s="317"/>
      <c r="AD16" s="317"/>
    </row>
    <row r="17" spans="1:102">
      <c r="A17" s="307" t="s">
        <v>411</v>
      </c>
      <c r="B17" s="312">
        <f>_xlfn.XLOOKUP("  + Dividends Paid",'[2]Cash Flow - Standardized'!$A:$A,'[2]Cash Flow - Standardized'!C:C)</f>
        <v>-302.7</v>
      </c>
      <c r="C17" s="312">
        <f>_xlfn.XLOOKUP("  + Dividends Paid",'[2]Cash Flow - Standardized'!$A:$A,'[2]Cash Flow - Standardized'!D:D)</f>
        <v>-276.2</v>
      </c>
      <c r="D17" s="312">
        <f>_xlfn.XLOOKUP("  + Dividends Paid",'[2]Cash Flow - Standardized'!$A:$A,'[2]Cash Flow - Standardized'!E:E)</f>
        <v>-223.5</v>
      </c>
      <c r="E17" s="312">
        <f>_xlfn.XLOOKUP("  + Dividends Paid",'[2]Cash Flow - Standardized'!$A:$A,'[2]Cash Flow - Standardized'!F:F)</f>
        <v>-147.1</v>
      </c>
      <c r="F17" s="312">
        <f>_xlfn.XLOOKUP("  + Dividends Paid",'[2]Cash Flow - Standardized'!$A:$A,'[2]Cash Flow - Standardized'!G:G)</f>
        <v>-182.5</v>
      </c>
      <c r="G17" s="312">
        <f>_xlfn.XLOOKUP("  + Dividends Paid",'[2]Cash Flow - Standardized'!$A:$A,'[2]Cash Flow - Standardized'!H:H)</f>
        <v>-168.8</v>
      </c>
      <c r="H17" s="312">
        <f>_xlfn.XLOOKUP("  + Dividends Paid",'[2]Cash Flow - Standardized'!$A:$A,'[2]Cash Flow - Standardized'!I:I)</f>
        <v>-38</v>
      </c>
      <c r="I17" s="312">
        <f>_xlfn.XLOOKUP("  + Dividends Paid",'[2]Cash Flow - Standardized'!$A:$A,'[2]Cash Flow - Standardized'!J:J)</f>
        <v>-51.3</v>
      </c>
      <c r="J17" s="312">
        <f>_xlfn.XLOOKUP("  + Dividends Paid",'[2]Cash Flow - Standardized'!$A:$A,'[2]Cash Flow - Standardized'!K:K)</f>
        <v>-101.9</v>
      </c>
      <c r="K17" s="312">
        <f>_xlfn.XLOOKUP("  + Dividends Paid",'[2]Cash Flow - Standardized'!$A:$A,'[2]Cash Flow - Standardized'!L:L)</f>
        <v>-98.4</v>
      </c>
      <c r="L17" s="312">
        <f>_xlfn.XLOOKUP("  + Dividends Paid",'[2]Cash Flow - Standardized'!$A:$A,'[2]Cash Flow - Standardized'!M:M)</f>
        <v>-35.799999999999997</v>
      </c>
      <c r="M17" s="312">
        <f>_xlfn.XLOOKUP("  + Dividends Paid",'[2]Cash Flow - Standardized'!$A:$A,'[2]Cash Flow - Standardized'!N:N)</f>
        <v>-34.799999999999997</v>
      </c>
      <c r="N17" s="312">
        <f>_xlfn.XLOOKUP("  + Dividends Paid",'[2]Cash Flow - Standardized'!$A:$A,'[2]Cash Flow - Standardized'!O:O)</f>
        <v>-87.8</v>
      </c>
      <c r="O17" s="313"/>
      <c r="P17" s="302"/>
      <c r="R17" s="304"/>
      <c r="S17" s="302"/>
      <c r="T17" s="302"/>
      <c r="U17" s="302"/>
      <c r="V17" s="302"/>
      <c r="W17" s="302"/>
      <c r="X17" s="302"/>
      <c r="Y17" s="302"/>
      <c r="Z17" s="302"/>
      <c r="AA17" s="302"/>
      <c r="AB17" s="302"/>
      <c r="AC17" s="317"/>
      <c r="AD17" s="317"/>
    </row>
    <row r="18" spans="1:102">
      <c r="A18" s="307" t="s">
        <v>453</v>
      </c>
      <c r="B18" s="312">
        <f>_xlfn.XLOOKUP("  + Cash (Repurchase) of Equity",'[2]Cash Flow - Standardized'!$A:$A,'[2]Cash Flow - Standardized'!C:C)</f>
        <v>-325.60000000000002</v>
      </c>
      <c r="C18" s="312">
        <f>_xlfn.XLOOKUP("  + Cash (Repurchase) of Equity",'[2]Cash Flow - Standardized'!$A:$A,'[2]Cash Flow - Standardized'!D:D)</f>
        <v>-162.30000000000001</v>
      </c>
      <c r="D18" s="312">
        <f>_xlfn.XLOOKUP("  + Cash (Repurchase) of Equity",'[2]Cash Flow - Standardized'!$A:$A,'[2]Cash Flow - Standardized'!E:E)</f>
        <v>-379</v>
      </c>
      <c r="E18" s="312">
        <f>_xlfn.XLOOKUP("  + Cash (Repurchase) of Equity",'[2]Cash Flow - Standardized'!$A:$A,'[2]Cash Flow - Standardized'!F:F)</f>
        <v>-127.2</v>
      </c>
      <c r="F18" s="312">
        <f>_xlfn.XLOOKUP("  + Cash (Repurchase) of Equity",'[2]Cash Flow - Standardized'!$A:$A,'[2]Cash Flow - Standardized'!G:G)</f>
        <v>-78.5</v>
      </c>
      <c r="G18" s="312">
        <f>_xlfn.XLOOKUP("  + Cash (Repurchase) of Equity",'[2]Cash Flow - Standardized'!$A:$A,'[2]Cash Flow - Standardized'!H:H)</f>
        <v>-43.4</v>
      </c>
      <c r="H18" s="312">
        <f>_xlfn.XLOOKUP("  + Cash (Repurchase) of Equity",'[2]Cash Flow - Standardized'!$A:$A,'[2]Cash Flow - Standardized'!I:I)</f>
        <v>-136.4</v>
      </c>
      <c r="I18" s="312">
        <f>_xlfn.XLOOKUP("  + Cash (Repurchase) of Equity",'[2]Cash Flow - Standardized'!$A:$A,'[2]Cash Flow - Standardized'!J:J)</f>
        <v>-70.599999999999994</v>
      </c>
      <c r="J18" s="312">
        <f>_xlfn.XLOOKUP("  + Cash (Repurchase) of Equity",'[2]Cash Flow - Standardized'!$A:$A,'[2]Cash Flow - Standardized'!K:K)</f>
        <v>-100.4</v>
      </c>
      <c r="K18" s="312">
        <f>_xlfn.XLOOKUP("  + Cash (Repurchase) of Equity",'[2]Cash Flow - Standardized'!$A:$A,'[2]Cash Flow - Standardized'!L:L)</f>
        <v>7.6</v>
      </c>
      <c r="L18" s="312">
        <f>_xlfn.XLOOKUP("  + Cash (Repurchase) of Equity",'[2]Cash Flow - Standardized'!$A:$A,'[2]Cash Flow - Standardized'!M:M)</f>
        <v>-113.8</v>
      </c>
      <c r="M18" s="312">
        <f>_xlfn.XLOOKUP("  + Cash (Repurchase) of Equity",'[2]Cash Flow - Standardized'!$A:$A,'[2]Cash Flow - Standardized'!N:N)</f>
        <v>-16.7</v>
      </c>
      <c r="N18" s="312">
        <f>_xlfn.XLOOKUP("  + Cash (Repurchase) of Equity",'[2]Cash Flow - Standardized'!$A:$A,'[2]Cash Flow - Standardized'!O:O)</f>
        <v>23.6</v>
      </c>
      <c r="O18" s="313"/>
      <c r="P18" s="302"/>
      <c r="R18" s="304"/>
      <c r="S18" s="302"/>
      <c r="T18" s="302"/>
      <c r="U18" s="302"/>
      <c r="V18" s="302"/>
      <c r="W18" s="302"/>
      <c r="X18" s="302"/>
      <c r="Y18" s="302"/>
      <c r="Z18" s="302"/>
      <c r="AA18" s="302"/>
      <c r="AB18" s="302"/>
    </row>
    <row r="19" spans="1:102">
      <c r="B19" s="357"/>
      <c r="C19" s="357"/>
      <c r="E19" s="357"/>
      <c r="F19" s="357"/>
      <c r="G19" s="357"/>
      <c r="H19" s="357"/>
      <c r="I19" s="357"/>
      <c r="J19" s="357"/>
      <c r="K19" s="357"/>
      <c r="L19" s="357"/>
      <c r="M19" s="357"/>
      <c r="N19" s="357"/>
      <c r="Q19" s="304"/>
    </row>
    <row r="20" spans="1:102" ht="15">
      <c r="A20" s="305" t="s">
        <v>454</v>
      </c>
      <c r="B20" s="389"/>
      <c r="C20" s="358"/>
      <c r="D20" s="536"/>
      <c r="E20" s="318"/>
      <c r="F20" s="318"/>
      <c r="G20" s="318"/>
      <c r="H20" s="318"/>
      <c r="I20" s="318"/>
      <c r="J20" s="318"/>
      <c r="K20" s="318"/>
      <c r="L20" s="318"/>
      <c r="M20" s="318"/>
      <c r="Q20" s="304"/>
      <c r="S20" s="317"/>
    </row>
    <row r="21" spans="1:102" ht="15">
      <c r="A21" s="319" t="s">
        <v>417</v>
      </c>
      <c r="B21" s="314"/>
      <c r="C21" s="314"/>
      <c r="D21" s="314"/>
      <c r="E21" s="314"/>
      <c r="F21" s="314"/>
      <c r="G21" s="314"/>
      <c r="H21" s="314"/>
      <c r="I21" s="314"/>
      <c r="J21" s="314"/>
      <c r="K21" s="315"/>
      <c r="L21" s="315"/>
      <c r="Q21" s="304"/>
      <c r="S21" s="317"/>
    </row>
    <row r="22" spans="1:102">
      <c r="A22" s="307" t="s">
        <v>418</v>
      </c>
      <c r="B22" s="316">
        <f>+_xlfn.XLOOKUP("  + Cash, Cash Equivalents &amp; STI",'[2]Bal Sheet - Standardized'!$A:$A,'[2]Bal Sheet - Standardized'!C:C)</f>
        <v>3952.6</v>
      </c>
      <c r="C22" s="316">
        <f>+_xlfn.XLOOKUP("  + Cash, Cash Equivalents &amp; STI",'[2]Bal Sheet - Standardized'!$A:$A,'[2]Bal Sheet - Standardized'!D:D)</f>
        <v>3568.3</v>
      </c>
      <c r="D22" s="316">
        <f>+_xlfn.XLOOKUP("  + Cash, Cash Equivalents &amp; STI",'[2]Bal Sheet - Standardized'!$A:$A,'[2]Bal Sheet - Standardized'!E:E)</f>
        <v>2769</v>
      </c>
      <c r="E22" s="316">
        <f>+_xlfn.XLOOKUP("  + Cash, Cash Equivalents &amp; STI",'[2]Bal Sheet - Standardized'!$A:$A,'[2]Bal Sheet - Standardized'!F:F)</f>
        <v>2979.5</v>
      </c>
      <c r="F22" s="316">
        <f>+_xlfn.XLOOKUP("  + Cash, Cash Equivalents &amp; STI",'[2]Bal Sheet - Standardized'!$A:$A,'[2]Bal Sheet - Standardized'!G:G)</f>
        <v>2148.8000000000002</v>
      </c>
      <c r="G22" s="316">
        <f>+_xlfn.XLOOKUP("  + Cash, Cash Equivalents &amp; STI",'[2]Bal Sheet - Standardized'!$A:$A,'[2]Bal Sheet - Standardized'!H:H)</f>
        <v>1944.9</v>
      </c>
      <c r="H22" s="316">
        <f>+_xlfn.XLOOKUP("  + Cash, Cash Equivalents &amp; STI",'[2]Bal Sheet - Standardized'!$A:$A,'[2]Bal Sheet - Standardized'!I:I)</f>
        <v>2809.9</v>
      </c>
      <c r="I22" s="316">
        <f>+_xlfn.XLOOKUP("  + Cash, Cash Equivalents &amp; STI",'[2]Bal Sheet - Standardized'!$A:$A,'[2]Bal Sheet - Standardized'!J:J)</f>
        <v>2460.6999999999998</v>
      </c>
      <c r="J22" s="316">
        <f>+_xlfn.XLOOKUP("  + Cash, Cash Equivalents &amp; STI",'[2]Bal Sheet - Standardized'!$A:$A,'[2]Bal Sheet - Standardized'!K:K)</f>
        <v>2492.8000000000002</v>
      </c>
      <c r="K22" s="316">
        <f>+_xlfn.XLOOKUP("  + Cash, Cash Equivalents &amp; STI",'[2]Bal Sheet - Standardized'!$A:$A,'[2]Bal Sheet - Standardized'!L:L)</f>
        <v>2351.3000000000002</v>
      </c>
      <c r="L22" s="316">
        <f>+_xlfn.XLOOKUP("  + Cash, Cash Equivalents &amp; STI",'[2]Bal Sheet - Standardized'!$A:$A,'[2]Bal Sheet - Standardized'!M:M)</f>
        <v>1175.5</v>
      </c>
      <c r="M22" s="316">
        <f>+_xlfn.XLOOKUP("  + Cash, Cash Equivalents &amp; STI",'[2]Bal Sheet - Standardized'!$A:$A,'[2]Bal Sheet - Standardized'!N:N)</f>
        <v>1803.6</v>
      </c>
      <c r="N22" s="316">
        <f>+_xlfn.XLOOKUP("  + Cash, Cash Equivalents &amp; STI",'[2]Bal Sheet - Standardized'!$A:$A,'[2]Bal Sheet - Standardized'!O:O)</f>
        <v>1319.1</v>
      </c>
      <c r="O22" s="302"/>
      <c r="P22" s="302"/>
      <c r="Q22" s="304"/>
      <c r="R22" s="304"/>
      <c r="S22" s="304"/>
      <c r="T22" s="304"/>
      <c r="U22" s="304"/>
      <c r="V22" s="304"/>
      <c r="W22" s="304"/>
      <c r="X22" s="304"/>
      <c r="Y22" s="304"/>
      <c r="Z22" s="304"/>
      <c r="AA22" s="304"/>
      <c r="AB22" s="304"/>
      <c r="AC22" s="304"/>
    </row>
    <row r="23" spans="1:102" s="321" customFormat="1">
      <c r="A23" s="320" t="s">
        <v>419</v>
      </c>
      <c r="B23" s="316">
        <f>+_xlfn.XLOOKUP("  + Accounts &amp; Notes Receiv",'[2]Bal Sheet - Standardized'!$A:$A,'[2]Bal Sheet - Standardized'!C:C)+_xlfn.XLOOKUP("  + Unbilled Revenues",'[2]Bal Sheet - Standardized'!$A:$A,'[2]Bal Sheet - Standardized'!C:C)</f>
        <v>2151</v>
      </c>
      <c r="C23" s="316">
        <f>+_xlfn.XLOOKUP("  + Accounts &amp; Notes Receiv",'[2]Bal Sheet - Standardized'!$A:$A,'[2]Bal Sheet - Standardized'!D:D)+_xlfn.XLOOKUP("  + Unbilled Revenues",'[2]Bal Sheet - Standardized'!$A:$A,'[2]Bal Sheet - Standardized'!D:D)</f>
        <v>1734.7</v>
      </c>
      <c r="D23" s="316">
        <f>+_xlfn.XLOOKUP("  + Accounts &amp; Notes Receiv",'[2]Bal Sheet - Standardized'!$A:$A,'[2]Bal Sheet - Standardized'!E:E)+_xlfn.XLOOKUP("  + Unbilled Revenues",'[2]Bal Sheet - Standardized'!$A:$A,'[2]Bal Sheet - Standardized'!E:E)</f>
        <v>1681.8999999999999</v>
      </c>
      <c r="E23" s="316">
        <f>+_xlfn.XLOOKUP("  + Accounts &amp; Notes Receiv",'[2]Bal Sheet - Standardized'!$A:$A,'[2]Bal Sheet - Standardized'!F:F)+_xlfn.XLOOKUP("  + Unbilled Revenues",'[2]Bal Sheet - Standardized'!$A:$A,'[2]Bal Sheet - Standardized'!F:F)</f>
        <v>1379</v>
      </c>
      <c r="F23" s="316">
        <f>+_xlfn.XLOOKUP("  + Accounts &amp; Notes Receiv",'[2]Bal Sheet - Standardized'!$A:$A,'[2]Bal Sheet - Standardized'!G:G)+_xlfn.XLOOKUP("  + Unbilled Revenues",'[2]Bal Sheet - Standardized'!$A:$A,'[2]Bal Sheet - Standardized'!G:G)</f>
        <v>1256.0999999999999</v>
      </c>
      <c r="G23" s="316">
        <f>+_xlfn.XLOOKUP("  + Accounts &amp; Notes Receiv",'[2]Bal Sheet - Standardized'!$A:$A,'[2]Bal Sheet - Standardized'!H:H)+_xlfn.XLOOKUP("  + Unbilled Revenues",'[2]Bal Sheet - Standardized'!$A:$A,'[2]Bal Sheet - Standardized'!H:H)</f>
        <v>1346.1000000000001</v>
      </c>
      <c r="H23" s="316">
        <f>+_xlfn.XLOOKUP("  + Accounts &amp; Notes Receiv",'[2]Bal Sheet - Standardized'!$A:$A,'[2]Bal Sheet - Standardized'!I:I)+_xlfn.XLOOKUP("  + Unbilled Revenues",'[2]Bal Sheet - Standardized'!$A:$A,'[2]Bal Sheet - Standardized'!I:I)</f>
        <v>1070.5999999999999</v>
      </c>
      <c r="I23" s="316">
        <f>+_xlfn.XLOOKUP("  + Accounts &amp; Notes Receiv",'[2]Bal Sheet - Standardized'!$A:$A,'[2]Bal Sheet - Standardized'!J:J)+_xlfn.XLOOKUP("  + Unbilled Revenues",'[2]Bal Sheet - Standardized'!$A:$A,'[2]Bal Sheet - Standardized'!J:J)</f>
        <v>895.9</v>
      </c>
      <c r="J23" s="316">
        <f>+_xlfn.XLOOKUP("  + Accounts &amp; Notes Receiv",'[2]Bal Sheet - Standardized'!$A:$A,'[2]Bal Sheet - Standardized'!K:K)+_xlfn.XLOOKUP("  + Unbilled Revenues",'[2]Bal Sheet - Standardized'!$A:$A,'[2]Bal Sheet - Standardized'!K:K)</f>
        <v>820.4</v>
      </c>
      <c r="K23" s="316">
        <f>+_xlfn.XLOOKUP("  + Accounts &amp; Notes Receiv",'[2]Bal Sheet - Standardized'!$A:$A,'[2]Bal Sheet - Standardized'!L:L)+_xlfn.XLOOKUP("  + Unbilled Revenues",'[2]Bal Sheet - Standardized'!$A:$A,'[2]Bal Sheet - Standardized'!L:L)</f>
        <v>739.1</v>
      </c>
      <c r="L23" s="316">
        <f>+_xlfn.XLOOKUP("  + Accounts &amp; Notes Receiv",'[2]Bal Sheet - Standardized'!$A:$A,'[2]Bal Sheet - Standardized'!M:M)+_xlfn.XLOOKUP("  + Unbilled Revenues",'[2]Bal Sheet - Standardized'!$A:$A,'[2]Bal Sheet - Standardized'!M:M)</f>
        <v>627.70000000000005</v>
      </c>
      <c r="M23" s="316">
        <f>+_xlfn.XLOOKUP("  + Accounts &amp; Notes Receiv",'[2]Bal Sheet - Standardized'!$A:$A,'[2]Bal Sheet - Standardized'!N:N)+_xlfn.XLOOKUP("  + Unbilled Revenues",'[2]Bal Sheet - Standardized'!$A:$A,'[2]Bal Sheet - Standardized'!N:N)</f>
        <v>472.6</v>
      </c>
      <c r="N23" s="316">
        <f>+_xlfn.XLOOKUP("  + Accounts &amp; Notes Receiv",'[2]Bal Sheet - Standardized'!$A:$A,'[2]Bal Sheet - Standardized'!O:O)+_xlfn.XLOOKUP("  + Unbilled Revenues",'[2]Bal Sheet - Standardized'!$A:$A,'[2]Bal Sheet - Standardized'!O:O)</f>
        <v>457.8</v>
      </c>
      <c r="O23" s="302"/>
      <c r="P23" s="302"/>
      <c r="Q23" s="304"/>
      <c r="R23" s="304"/>
      <c r="S23" s="304"/>
      <c r="T23" s="304"/>
      <c r="U23" s="304"/>
      <c r="V23" s="304"/>
      <c r="W23" s="304"/>
      <c r="X23" s="304"/>
      <c r="Y23" s="304"/>
      <c r="Z23" s="304"/>
      <c r="AA23" s="304"/>
      <c r="AB23" s="304"/>
      <c r="AC23" s="304"/>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301"/>
      <c r="BQ23" s="301"/>
      <c r="BR23" s="301"/>
      <c r="BS23" s="301"/>
      <c r="BT23" s="301"/>
      <c r="BU23" s="301"/>
      <c r="BV23" s="301"/>
      <c r="BW23" s="301"/>
      <c r="BX23" s="301"/>
      <c r="BY23" s="301"/>
      <c r="BZ23" s="301"/>
      <c r="CA23" s="301"/>
      <c r="CB23" s="301"/>
      <c r="CC23" s="301"/>
      <c r="CD23" s="301"/>
      <c r="CE23" s="301"/>
      <c r="CF23" s="301"/>
      <c r="CG23" s="301"/>
      <c r="CH23" s="301"/>
      <c r="CI23" s="301"/>
      <c r="CJ23" s="301"/>
      <c r="CK23" s="301"/>
      <c r="CL23" s="301"/>
      <c r="CM23" s="301"/>
      <c r="CN23" s="301"/>
      <c r="CO23" s="301"/>
      <c r="CP23" s="301"/>
      <c r="CQ23" s="301"/>
      <c r="CR23" s="301"/>
      <c r="CS23" s="301"/>
      <c r="CT23" s="301"/>
      <c r="CU23" s="301"/>
      <c r="CV23" s="301"/>
      <c r="CW23" s="301"/>
      <c r="CX23" s="301"/>
    </row>
    <row r="24" spans="1:102">
      <c r="A24" s="307" t="s">
        <v>420</v>
      </c>
      <c r="B24" s="309">
        <f>+_xlfn.XLOOKUP("  + Inventories",'[2]Bal Sheet - Standardized'!$A:$A,'[2]Bal Sheet - Standardized'!C:C)</f>
        <v>0</v>
      </c>
      <c r="C24" s="309">
        <f>+_xlfn.XLOOKUP("  + Inventories",'[2]Bal Sheet - Standardized'!$A:$A,'[2]Bal Sheet - Standardized'!D:D)</f>
        <v>0</v>
      </c>
      <c r="D24" s="309">
        <f>+_xlfn.XLOOKUP("  + Inventories",'[2]Bal Sheet - Standardized'!$A:$A,'[2]Bal Sheet - Standardized'!E:E)</f>
        <v>0</v>
      </c>
      <c r="E24" s="309">
        <f>+_xlfn.XLOOKUP("  + Inventories",'[2]Bal Sheet - Standardized'!$A:$A,'[2]Bal Sheet - Standardized'!F:F)</f>
        <v>0</v>
      </c>
      <c r="F24" s="309">
        <f>+_xlfn.XLOOKUP("  + Inventories",'[2]Bal Sheet - Standardized'!$A:$A,'[2]Bal Sheet - Standardized'!G:G)</f>
        <v>0</v>
      </c>
      <c r="G24" s="309">
        <f>+_xlfn.XLOOKUP("  + Inventories",'[2]Bal Sheet - Standardized'!$A:$A,'[2]Bal Sheet - Standardized'!H:H)</f>
        <v>0</v>
      </c>
      <c r="H24" s="309">
        <f>+_xlfn.XLOOKUP("  + Inventories",'[2]Bal Sheet - Standardized'!$A:$A,'[2]Bal Sheet - Standardized'!I:I)</f>
        <v>0</v>
      </c>
      <c r="I24" s="309">
        <f>+_xlfn.XLOOKUP("  + Inventories",'[2]Bal Sheet - Standardized'!$A:$A,'[2]Bal Sheet - Standardized'!J:J)</f>
        <v>0</v>
      </c>
      <c r="J24" s="309">
        <f>+_xlfn.XLOOKUP("  + Inventories",'[2]Bal Sheet - Standardized'!$A:$A,'[2]Bal Sheet - Standardized'!K:K)</f>
        <v>0</v>
      </c>
      <c r="K24" s="309">
        <f>+_xlfn.XLOOKUP("  + Inventories",'[2]Bal Sheet - Standardized'!$A:$A,'[2]Bal Sheet - Standardized'!L:L)</f>
        <v>0</v>
      </c>
      <c r="L24" s="309">
        <f>+_xlfn.XLOOKUP("  + Inventories",'[2]Bal Sheet - Standardized'!$A:$A,'[2]Bal Sheet - Standardized'!M:M)</f>
        <v>0</v>
      </c>
      <c r="M24" s="309">
        <f>+_xlfn.XLOOKUP("  + Inventories",'[2]Bal Sheet - Standardized'!$A:$A,'[2]Bal Sheet - Standardized'!N:N)</f>
        <v>0</v>
      </c>
      <c r="N24" s="309">
        <f>+_xlfn.XLOOKUP("  + Inventories",'[2]Bal Sheet - Standardized'!$A:$A,'[2]Bal Sheet - Standardized'!O:O)</f>
        <v>0</v>
      </c>
      <c r="O24" s="302"/>
      <c r="P24" s="302"/>
      <c r="Q24" s="304"/>
      <c r="R24" s="304"/>
      <c r="S24" s="304"/>
      <c r="T24" s="304"/>
      <c r="U24" s="304"/>
      <c r="V24" s="304"/>
      <c r="W24" s="304"/>
      <c r="X24" s="304"/>
      <c r="Y24" s="304"/>
      <c r="Z24" s="304"/>
      <c r="AA24" s="304"/>
      <c r="AB24" s="304"/>
      <c r="AC24" s="304"/>
    </row>
    <row r="25" spans="1:102">
      <c r="A25" s="307" t="s">
        <v>455</v>
      </c>
      <c r="B25" s="316">
        <f>_xlfn.XLOOKUP("  + Property, Plant &amp; Equip, Net",'[2]Bal Sheet - Standardized'!$A:$A,'[2]Bal Sheet - Standardized'!C:C)</f>
        <v>945.8</v>
      </c>
      <c r="C25" s="316">
        <f>_xlfn.XLOOKUP("  + Property, Plant &amp; Equip, Net",'[2]Bal Sheet - Standardized'!$A:$A,'[2]Bal Sheet - Standardized'!D:D)</f>
        <v>882.8</v>
      </c>
      <c r="D25" s="316">
        <f>_xlfn.XLOOKUP("  + Property, Plant &amp; Equip, Net",'[2]Bal Sheet - Standardized'!$A:$A,'[2]Bal Sheet - Standardized'!E:E)</f>
        <v>819.9</v>
      </c>
      <c r="E25" s="316">
        <f>_xlfn.XLOOKUP("  + Property, Plant &amp; Equip, Net",'[2]Bal Sheet - Standardized'!$A:$A,'[2]Bal Sheet - Standardized'!F:F)</f>
        <v>817</v>
      </c>
      <c r="F25" s="316">
        <f>_xlfn.XLOOKUP("  + Property, Plant &amp; Equip, Net",'[2]Bal Sheet - Standardized'!$A:$A,'[2]Bal Sheet - Standardized'!G:G)</f>
        <v>861.1</v>
      </c>
      <c r="G25" s="316">
        <f>_xlfn.XLOOKUP("  + Property, Plant &amp; Equip, Net",'[2]Bal Sheet - Standardized'!$A:$A,'[2]Bal Sheet - Standardized'!H:H)</f>
        <v>899.7</v>
      </c>
      <c r="H25" s="316">
        <f>_xlfn.XLOOKUP("  + Property, Plant &amp; Equip, Net",'[2]Bal Sheet - Standardized'!$A:$A,'[2]Bal Sheet - Standardized'!I:I)</f>
        <v>178.2</v>
      </c>
      <c r="I25" s="316">
        <f>_xlfn.XLOOKUP("  + Property, Plant &amp; Equip, Net",'[2]Bal Sheet - Standardized'!$A:$A,'[2]Bal Sheet - Standardized'!J:J)</f>
        <v>169</v>
      </c>
      <c r="J25" s="316">
        <f>_xlfn.XLOOKUP("  + Property, Plant &amp; Equip, Net",'[2]Bal Sheet - Standardized'!$A:$A,'[2]Bal Sheet - Standardized'!K:K)</f>
        <v>135.4</v>
      </c>
      <c r="K25" s="316">
        <f>_xlfn.XLOOKUP("  + Property, Plant &amp; Equip, Net",'[2]Bal Sheet - Standardized'!$A:$A,'[2]Bal Sheet - Standardized'!L:L)</f>
        <v>135.30000000000001</v>
      </c>
      <c r="L25" s="316">
        <f>_xlfn.XLOOKUP("  + Property, Plant &amp; Equip, Net",'[2]Bal Sheet - Standardized'!$A:$A,'[2]Bal Sheet - Standardized'!M:M)</f>
        <v>136.69999999999999</v>
      </c>
      <c r="M25" s="316">
        <f>_xlfn.XLOOKUP("  + Property, Plant &amp; Equip, Net",'[2]Bal Sheet - Standardized'!$A:$A,'[2]Bal Sheet - Standardized'!N:N)</f>
        <v>100.4</v>
      </c>
      <c r="N25" s="316">
        <f>_xlfn.XLOOKUP("  + Property, Plant &amp; Equip, Net",'[2]Bal Sheet - Standardized'!$A:$A,'[2]Bal Sheet - Standardized'!O:O)</f>
        <v>107.8</v>
      </c>
      <c r="O25" s="302"/>
      <c r="P25" s="302"/>
      <c r="Q25" s="304"/>
      <c r="R25" s="304"/>
      <c r="S25" s="304"/>
      <c r="T25" s="304"/>
      <c r="U25" s="304"/>
      <c r="V25" s="304"/>
      <c r="W25" s="304"/>
      <c r="X25" s="304"/>
      <c r="Y25" s="304"/>
      <c r="Z25" s="304"/>
      <c r="AA25" s="304"/>
      <c r="AB25" s="304"/>
      <c r="AC25" s="304"/>
    </row>
    <row r="26" spans="1:102">
      <c r="A26" s="301" t="s">
        <v>422</v>
      </c>
      <c r="B26" s="302">
        <f>B27-SUM(B22:B25)</f>
        <v>8496.5</v>
      </c>
      <c r="C26" s="302">
        <v>9011</v>
      </c>
      <c r="D26" s="302">
        <v>9056</v>
      </c>
      <c r="E26" s="302">
        <v>8725</v>
      </c>
      <c r="F26" s="302">
        <v>9709</v>
      </c>
      <c r="G26" s="302">
        <v>3942</v>
      </c>
      <c r="H26" s="302">
        <v>3504</v>
      </c>
      <c r="I26" s="302">
        <v>3495</v>
      </c>
      <c r="J26" s="302">
        <v>3086</v>
      </c>
      <c r="K26" s="302">
        <v>3023</v>
      </c>
      <c r="L26" s="302">
        <v>1811</v>
      </c>
      <c r="M26" s="302">
        <v>1728</v>
      </c>
      <c r="N26" s="302">
        <v>1728</v>
      </c>
      <c r="O26" s="302"/>
      <c r="P26" s="302"/>
      <c r="Q26" s="304"/>
      <c r="R26" s="304"/>
      <c r="S26" s="304"/>
      <c r="T26" s="304"/>
      <c r="U26" s="304"/>
      <c r="V26" s="304"/>
      <c r="W26" s="304"/>
      <c r="X26" s="304"/>
      <c r="Y26" s="304"/>
      <c r="Z26" s="304"/>
    </row>
    <row r="27" spans="1:102" ht="15">
      <c r="A27" s="307" t="s">
        <v>423</v>
      </c>
      <c r="B27" s="322">
        <f>_xlfn.XLOOKUP("Total Assets",'[2]Bal Sheet - Standardized'!$A:$A,'[2]Bal Sheet - Standardized'!C:C,,,-1)</f>
        <v>15545.9</v>
      </c>
      <c r="C27" s="322">
        <f>_xlfn.XLOOKUP("Total Assets",'[2]Bal Sheet - Standardized'!$A:$A,'[2]Bal Sheet - Standardized'!D:D,,,-1)</f>
        <v>14622.4</v>
      </c>
      <c r="D27" s="322">
        <f>_xlfn.XLOOKUP("Total Assets",'[2]Bal Sheet - Standardized'!$A:$A,'[2]Bal Sheet - Standardized'!E:E,,,-1)</f>
        <v>14261.1</v>
      </c>
      <c r="E27" s="322">
        <f>_xlfn.XLOOKUP("Total Assets",'[2]Bal Sheet - Standardized'!$A:$A,'[2]Bal Sheet - Standardized'!F:F,,,-1)</f>
        <v>14218.7</v>
      </c>
      <c r="F27" s="322">
        <f>_xlfn.XLOOKUP("Total Assets",'[2]Bal Sheet - Standardized'!$A:$A,'[2]Bal Sheet - Standardized'!G:G,,,-1)</f>
        <v>12964.2</v>
      </c>
      <c r="G27" s="322">
        <f>_xlfn.XLOOKUP("Total Assets",'[2]Bal Sheet - Standardized'!$A:$A,'[2]Bal Sheet - Standardized'!H:H,,,-1)</f>
        <v>13872.6</v>
      </c>
      <c r="H27" s="322">
        <f>_xlfn.XLOOKUP("Total Assets",'[2]Bal Sheet - Standardized'!$A:$A,'[2]Bal Sheet - Standardized'!I:I,,,-1)</f>
        <v>7974</v>
      </c>
      <c r="I27" s="322">
        <f>_xlfn.XLOOKUP("Total Assets",'[2]Bal Sheet - Standardized'!$A:$A,'[2]Bal Sheet - Standardized'!J:J,,,-1)</f>
        <v>7029.8</v>
      </c>
      <c r="J27" s="322">
        <f>_xlfn.XLOOKUP("Total Assets",'[2]Bal Sheet - Standardized'!$A:$A,'[2]Bal Sheet - Standardized'!K:K,,,-1)</f>
        <v>6943.1</v>
      </c>
      <c r="K27" s="322">
        <f>_xlfn.XLOOKUP("Total Assets",'[2]Bal Sheet - Standardized'!$A:$A,'[2]Bal Sheet - Standardized'!L:L,,,-1)</f>
        <v>6311.4</v>
      </c>
      <c r="L27" s="322">
        <f>_xlfn.XLOOKUP("Total Assets",'[2]Bal Sheet - Standardized'!$A:$A,'[2]Bal Sheet - Standardized'!M:M,,,-1)</f>
        <v>4962.3999999999996</v>
      </c>
      <c r="M27" s="322">
        <f>_xlfn.XLOOKUP("Total Assets",'[2]Bal Sheet - Standardized'!$A:$A,'[2]Bal Sheet - Standardized'!N:N,,,-1)</f>
        <v>4187.8999999999996</v>
      </c>
      <c r="N27" s="322">
        <f>_xlfn.XLOOKUP("Total Assets",'[2]Bal Sheet - Standardized'!$A:$A,'[2]Bal Sheet - Standardized'!O:O,,,-1)</f>
        <v>3612.4</v>
      </c>
      <c r="O27" s="302"/>
      <c r="P27" s="302"/>
      <c r="Q27" s="304"/>
      <c r="R27" s="304"/>
      <c r="S27" s="304"/>
      <c r="T27" s="304"/>
      <c r="U27" s="304"/>
      <c r="V27" s="304"/>
      <c r="W27" s="304"/>
      <c r="X27" s="304"/>
      <c r="Y27" s="304"/>
      <c r="Z27" s="304"/>
    </row>
    <row r="28" spans="1:102">
      <c r="B28" s="304"/>
      <c r="C28" s="304"/>
      <c r="D28" s="304"/>
      <c r="E28" s="304"/>
      <c r="F28" s="304"/>
      <c r="G28" s="304"/>
      <c r="H28" s="304"/>
      <c r="I28" s="304"/>
      <c r="J28" s="304"/>
      <c r="K28" s="304"/>
      <c r="L28" s="304"/>
      <c r="Q28" s="304"/>
      <c r="R28" s="304"/>
      <c r="S28" s="304"/>
      <c r="T28" s="304"/>
      <c r="U28" s="304"/>
      <c r="V28" s="304"/>
      <c r="W28" s="304"/>
      <c r="X28" s="304"/>
      <c r="Y28" s="304"/>
      <c r="Z28" s="304"/>
    </row>
    <row r="29" spans="1:102">
      <c r="B29" s="304"/>
      <c r="C29" s="304"/>
      <c r="D29" s="304"/>
      <c r="E29" s="304"/>
      <c r="F29" s="304"/>
      <c r="G29" s="304"/>
      <c r="H29" s="304"/>
      <c r="I29" s="304"/>
      <c r="J29" s="304"/>
      <c r="K29" s="304"/>
      <c r="L29" s="304"/>
      <c r="Q29" s="304"/>
      <c r="R29" s="304"/>
      <c r="S29" s="304"/>
      <c r="T29" s="304"/>
      <c r="U29" s="304"/>
      <c r="V29" s="304"/>
      <c r="W29" s="304"/>
      <c r="X29" s="304"/>
      <c r="Y29" s="304"/>
      <c r="Z29" s="304"/>
    </row>
    <row r="30" spans="1:102" ht="15">
      <c r="A30" s="319" t="s">
        <v>424</v>
      </c>
      <c r="B30" s="314"/>
      <c r="C30" s="314"/>
      <c r="D30" s="314"/>
      <c r="E30" s="314"/>
      <c r="F30" s="314"/>
      <c r="G30" s="314"/>
      <c r="H30" s="314"/>
      <c r="I30" s="314"/>
      <c r="J30" s="314"/>
      <c r="K30" s="315"/>
      <c r="L30" s="315"/>
      <c r="Q30" s="304"/>
      <c r="R30" s="304"/>
      <c r="S30" s="304"/>
      <c r="T30" s="304"/>
      <c r="U30" s="304"/>
      <c r="V30" s="304"/>
      <c r="W30" s="304"/>
      <c r="X30" s="304"/>
      <c r="Y30" s="304"/>
      <c r="Z30" s="304"/>
    </row>
    <row r="31" spans="1:102" s="319" customFormat="1" ht="15">
      <c r="A31" s="323" t="s">
        <v>425</v>
      </c>
      <c r="B31" s="322">
        <f>_xlfn.XLOOKUP("Total Current Liabilities",'[2]Bal Sheet - Standardized'!$A:$A,'[2]Bal Sheet - Standardized'!C:C)</f>
        <v>3521.5</v>
      </c>
      <c r="C31" s="322">
        <f>_xlfn.XLOOKUP("Total Current Liabilities",'[2]Bal Sheet - Standardized'!$A:$A,'[2]Bal Sheet - Standardized'!D:D)</f>
        <v>3561</v>
      </c>
      <c r="D31" s="322">
        <f>_xlfn.XLOOKUP("Total Current Liabilities",'[2]Bal Sheet - Standardized'!$A:$A,'[2]Bal Sheet - Standardized'!E:E)</f>
        <v>2881</v>
      </c>
      <c r="E31" s="322">
        <f>_xlfn.XLOOKUP("Total Current Liabilities",'[2]Bal Sheet - Standardized'!$A:$A,'[2]Bal Sheet - Standardized'!F:F)</f>
        <v>3470.3</v>
      </c>
      <c r="F31" s="322">
        <f>_xlfn.XLOOKUP("Total Current Liabilities",'[2]Bal Sheet - Standardized'!$A:$A,'[2]Bal Sheet - Standardized'!G:G)</f>
        <v>2086.9</v>
      </c>
      <c r="G31" s="322">
        <f>_xlfn.XLOOKUP("Total Current Liabilities",'[2]Bal Sheet - Standardized'!$A:$A,'[2]Bal Sheet - Standardized'!H:H)</f>
        <v>2133.8000000000002</v>
      </c>
      <c r="H31" s="322">
        <f>_xlfn.XLOOKUP("Total Current Liabilities",'[2]Bal Sheet - Standardized'!$A:$A,'[2]Bal Sheet - Standardized'!I:I)</f>
        <v>2022.7</v>
      </c>
      <c r="I31" s="322">
        <f>_xlfn.XLOOKUP("Total Current Liabilities",'[2]Bal Sheet - Standardized'!$A:$A,'[2]Bal Sheet - Standardized'!J:J)</f>
        <v>1527.5</v>
      </c>
      <c r="J31" s="322">
        <f>_xlfn.XLOOKUP("Total Current Liabilities",'[2]Bal Sheet - Standardized'!$A:$A,'[2]Bal Sheet - Standardized'!K:K)</f>
        <v>1465.6</v>
      </c>
      <c r="K31" s="322">
        <f>_xlfn.XLOOKUP("Total Current Liabilities",'[2]Bal Sheet - Standardized'!$A:$A,'[2]Bal Sheet - Standardized'!L:L)</f>
        <v>1311.9</v>
      </c>
      <c r="L31" s="322">
        <f>_xlfn.XLOOKUP("Total Current Liabilities",'[2]Bal Sheet - Standardized'!$A:$A,'[2]Bal Sheet - Standardized'!M:M)</f>
        <v>1134.9000000000001</v>
      </c>
      <c r="M31" s="322">
        <f>_xlfn.XLOOKUP("Total Current Liabilities",'[2]Bal Sheet - Standardized'!$A:$A,'[2]Bal Sheet - Standardized'!N:N)</f>
        <v>888.2</v>
      </c>
      <c r="N31" s="322">
        <f>_xlfn.XLOOKUP("Total Current Liabilities",'[2]Bal Sheet - Standardized'!$A:$A,'[2]Bal Sheet - Standardized'!O:O)</f>
        <v>928.5</v>
      </c>
      <c r="O31" s="315"/>
      <c r="P31" s="315"/>
      <c r="Q31" s="304"/>
      <c r="R31" s="304"/>
      <c r="S31" s="304"/>
      <c r="T31" s="304"/>
      <c r="U31" s="304"/>
      <c r="V31" s="304"/>
      <c r="W31" s="304"/>
      <c r="X31" s="304"/>
      <c r="Y31" s="304"/>
      <c r="Z31" s="304"/>
    </row>
    <row r="32" spans="1:102">
      <c r="A32" s="307" t="s">
        <v>426</v>
      </c>
      <c r="B32" s="324">
        <f>_xlfn.XLOOKUP("    + ST Borrowings",'[2]Bal Sheet - Standardized'!$A:$A,'[2]Bal Sheet - Standardized'!C:C)+_xlfn.XLOOKUP("    + Current Portion of LT Debt",'[2]Bal Sheet - Standardized'!$A:$A,'[2]Bal Sheet - Standardized'!C:C)</f>
        <v>450.8</v>
      </c>
      <c r="C32" s="324">
        <f>_xlfn.XLOOKUP("    + ST Borrowings",'[2]Bal Sheet - Standardized'!$A:$A,'[2]Bal Sheet - Standardized'!D:D)+_xlfn.XLOOKUP("    + Current Portion of LT Debt",'[2]Bal Sheet - Standardized'!$A:$A,'[2]Bal Sheet - Standardized'!D:D)</f>
        <v>950.1</v>
      </c>
      <c r="D32" s="324">
        <f>_xlfn.XLOOKUP("    + ST Borrowings",'[2]Bal Sheet - Standardized'!$A:$A,'[2]Bal Sheet - Standardized'!E:E)+_xlfn.XLOOKUP("    + Current Portion of LT Debt",'[2]Bal Sheet - Standardized'!$A:$A,'[2]Bal Sheet - Standardized'!E:E)</f>
        <v>258.60000000000002</v>
      </c>
      <c r="E32" s="324">
        <f>_xlfn.XLOOKUP("    + ST Borrowings",'[2]Bal Sheet - Standardized'!$A:$A,'[2]Bal Sheet - Standardized'!F:F)+_xlfn.XLOOKUP("    + Current Portion of LT Debt",'[2]Bal Sheet - Standardized'!$A:$A,'[2]Bal Sheet - Standardized'!F:F)</f>
        <v>903.19999999999993</v>
      </c>
      <c r="F32" s="324">
        <f>_xlfn.XLOOKUP("    + ST Borrowings",'[2]Bal Sheet - Standardized'!$A:$A,'[2]Bal Sheet - Standardized'!G:G)+_xlfn.XLOOKUP("    + Current Portion of LT Debt",'[2]Bal Sheet - Standardized'!$A:$A,'[2]Bal Sheet - Standardized'!G:G)</f>
        <v>16</v>
      </c>
      <c r="G32" s="324">
        <f>_xlfn.XLOOKUP("    + ST Borrowings",'[2]Bal Sheet - Standardized'!$A:$A,'[2]Bal Sheet - Standardized'!H:H)+_xlfn.XLOOKUP("    + Current Portion of LT Debt",'[2]Bal Sheet - Standardized'!$A:$A,'[2]Bal Sheet - Standardized'!H:H)</f>
        <v>4.4000000000000004</v>
      </c>
      <c r="H32" s="324">
        <f>_xlfn.XLOOKUP("    + ST Borrowings",'[2]Bal Sheet - Standardized'!$A:$A,'[2]Bal Sheet - Standardized'!I:I)+_xlfn.XLOOKUP("    + Current Portion of LT Debt",'[2]Bal Sheet - Standardized'!$A:$A,'[2]Bal Sheet - Standardized'!I:I)</f>
        <v>350</v>
      </c>
      <c r="I32" s="324">
        <f>_xlfn.XLOOKUP("    + ST Borrowings",'[2]Bal Sheet - Standardized'!$A:$A,'[2]Bal Sheet - Standardized'!J:J)+_xlfn.XLOOKUP("    + Current Portion of LT Debt",'[2]Bal Sheet - Standardized'!$A:$A,'[2]Bal Sheet - Standardized'!J:J)</f>
        <v>0</v>
      </c>
      <c r="J32" s="324">
        <f>_xlfn.XLOOKUP("    + ST Borrowings",'[2]Bal Sheet - Standardized'!$A:$A,'[2]Bal Sheet - Standardized'!K:K)+_xlfn.XLOOKUP("    + Current Portion of LT Debt",'[2]Bal Sheet - Standardized'!$A:$A,'[2]Bal Sheet - Standardized'!K:K)</f>
        <v>0</v>
      </c>
      <c r="K32" s="324">
        <f>_xlfn.XLOOKUP("    + ST Borrowings",'[2]Bal Sheet - Standardized'!$A:$A,'[2]Bal Sheet - Standardized'!L:L)+_xlfn.XLOOKUP("    + Current Portion of LT Debt",'[2]Bal Sheet - Standardized'!$A:$A,'[2]Bal Sheet - Standardized'!L:L)</f>
        <v>0</v>
      </c>
      <c r="L32" s="324">
        <f>_xlfn.XLOOKUP("    + ST Borrowings",'[2]Bal Sheet - Standardized'!$A:$A,'[2]Bal Sheet - Standardized'!M:M)+_xlfn.XLOOKUP("    + Current Portion of LT Debt",'[2]Bal Sheet - Standardized'!$A:$A,'[2]Bal Sheet - Standardized'!M:M)</f>
        <v>10</v>
      </c>
      <c r="M32" s="324">
        <f>_xlfn.XLOOKUP("    + ST Borrowings",'[2]Bal Sheet - Standardized'!$A:$A,'[2]Bal Sheet - Standardized'!N:N)+_xlfn.XLOOKUP("    + Current Portion of LT Debt",'[2]Bal Sheet - Standardized'!$A:$A,'[2]Bal Sheet - Standardized'!N:N)</f>
        <v>20</v>
      </c>
      <c r="N32" s="324">
        <f>_xlfn.XLOOKUP("    + ST Borrowings",'[2]Bal Sheet - Standardized'!$A:$A,'[2]Bal Sheet - Standardized'!O:O)+_xlfn.XLOOKUP("    + Current Portion of LT Debt",'[2]Bal Sheet - Standardized'!$A:$A,'[2]Bal Sheet - Standardized'!O:O)</f>
        <v>25.5</v>
      </c>
      <c r="O32" s="302"/>
      <c r="P32" s="302"/>
      <c r="Q32" s="304"/>
      <c r="R32" s="304"/>
      <c r="S32" s="304"/>
      <c r="T32" s="304"/>
      <c r="U32" s="304"/>
      <c r="V32" s="304"/>
      <c r="W32" s="304"/>
      <c r="X32" s="304"/>
      <c r="Y32" s="304"/>
      <c r="Z32" s="304"/>
    </row>
    <row r="33" spans="1:26">
      <c r="A33" s="307" t="s">
        <v>427</v>
      </c>
      <c r="B33" s="324">
        <f>_xlfn.XLOOKUP("    + ST Lease Liabilities",'[2]Bal Sheet - Standardized'!$A:$A,'[2]Bal Sheet - Standardized'!C:C)</f>
        <v>0</v>
      </c>
      <c r="C33" s="324">
        <f>_xlfn.XLOOKUP("    + ST Lease Liabilities",'[2]Bal Sheet - Standardized'!$A:$A,'[2]Bal Sheet - Standardized'!D:D)</f>
        <v>66.5</v>
      </c>
      <c r="D33" s="324">
        <f>_xlfn.XLOOKUP("    + ST Lease Liabilities",'[2]Bal Sheet - Standardized'!$A:$A,'[2]Bal Sheet - Standardized'!E:E)</f>
        <v>83.1</v>
      </c>
      <c r="E33" s="324">
        <f>_xlfn.XLOOKUP("    + ST Lease Liabilities",'[2]Bal Sheet - Standardized'!$A:$A,'[2]Bal Sheet - Standardized'!F:F)</f>
        <v>83.5</v>
      </c>
      <c r="F33" s="324">
        <f>_xlfn.XLOOKUP("    + ST Lease Liabilities",'[2]Bal Sheet - Standardized'!$A:$A,'[2]Bal Sheet - Standardized'!G:G)</f>
        <v>78.8</v>
      </c>
      <c r="G33" s="324">
        <f>_xlfn.XLOOKUP("    + ST Lease Liabilities",'[2]Bal Sheet - Standardized'!$A:$A,'[2]Bal Sheet - Standardized'!H:H)</f>
        <v>83</v>
      </c>
      <c r="H33" s="324">
        <f>_xlfn.XLOOKUP("    + ST Lease Liabilities",'[2]Bal Sheet - Standardized'!$A:$A,'[2]Bal Sheet - Standardized'!I:I)</f>
        <v>0</v>
      </c>
      <c r="I33" s="324">
        <f>_xlfn.XLOOKUP("    + ST Lease Liabilities",'[2]Bal Sheet - Standardized'!$A:$A,'[2]Bal Sheet - Standardized'!J:J)</f>
        <v>0</v>
      </c>
      <c r="J33" s="324">
        <f>_xlfn.XLOOKUP("    + ST Lease Liabilities",'[2]Bal Sheet - Standardized'!$A:$A,'[2]Bal Sheet - Standardized'!K:K)</f>
        <v>0</v>
      </c>
      <c r="K33" s="324">
        <f>_xlfn.XLOOKUP("    + ST Lease Liabilities",'[2]Bal Sheet - Standardized'!$A:$A,'[2]Bal Sheet - Standardized'!L:L)</f>
        <v>0</v>
      </c>
      <c r="L33" s="324">
        <f>_xlfn.XLOOKUP("    + ST Lease Liabilities",'[2]Bal Sheet - Standardized'!$A:$A,'[2]Bal Sheet - Standardized'!M:M)</f>
        <v>0</v>
      </c>
      <c r="M33" s="324">
        <f>_xlfn.XLOOKUP("    + ST Lease Liabilities",'[2]Bal Sheet - Standardized'!$A:$A,'[2]Bal Sheet - Standardized'!N:N)</f>
        <v>0</v>
      </c>
      <c r="N33" s="324">
        <f>_xlfn.XLOOKUP("    + ST Lease Liabilities",'[2]Bal Sheet - Standardized'!$A:$A,'[2]Bal Sheet - Standardized'!O:O)</f>
        <v>0</v>
      </c>
      <c r="O33" s="302"/>
      <c r="P33" s="302"/>
      <c r="Q33" s="304"/>
      <c r="R33" s="304"/>
      <c r="S33" s="304"/>
      <c r="T33" s="304"/>
      <c r="U33" s="304"/>
      <c r="V33" s="304"/>
      <c r="W33" s="304"/>
      <c r="X33" s="304"/>
      <c r="Y33" s="304"/>
      <c r="Z33" s="304"/>
    </row>
    <row r="34" spans="1:26">
      <c r="A34" s="301" t="s">
        <v>428</v>
      </c>
      <c r="B34" s="302">
        <f>B31-SUM(B32:B33)</f>
        <v>3070.7</v>
      </c>
      <c r="C34" s="302">
        <v>2456</v>
      </c>
      <c r="D34" s="302">
        <v>2400</v>
      </c>
      <c r="E34" s="302">
        <v>1913</v>
      </c>
      <c r="F34" s="302">
        <v>1963</v>
      </c>
      <c r="G34" s="302">
        <v>1673</v>
      </c>
      <c r="H34" s="302">
        <v>1528</v>
      </c>
      <c r="I34" s="302">
        <v>1466</v>
      </c>
      <c r="J34" s="302">
        <v>1312</v>
      </c>
      <c r="K34" s="302">
        <v>1125</v>
      </c>
      <c r="L34" s="302">
        <v>868</v>
      </c>
      <c r="M34" s="302">
        <v>903</v>
      </c>
      <c r="N34" s="302">
        <v>903</v>
      </c>
      <c r="O34" s="302"/>
      <c r="P34" s="302"/>
      <c r="Q34" s="304"/>
      <c r="R34" s="304"/>
      <c r="S34" s="304"/>
      <c r="T34" s="304"/>
      <c r="U34" s="304"/>
      <c r="V34" s="304"/>
      <c r="W34" s="304"/>
      <c r="X34" s="304"/>
      <c r="Y34" s="304"/>
      <c r="Z34" s="304"/>
    </row>
    <row r="35" spans="1:26" s="319" customFormat="1" ht="15">
      <c r="A35" s="323" t="s">
        <v>429</v>
      </c>
      <c r="B35" s="322">
        <f>_xlfn.XLOOKUP("Total Noncurrent Liabilities",'[2]Bal Sheet - Standardized'!$A:$A,'[2]Bal Sheet - Standardized'!C:C)</f>
        <v>2943.7</v>
      </c>
      <c r="C35" s="322">
        <f>_xlfn.XLOOKUP("Total Noncurrent Liabilities",'[2]Bal Sheet - Standardized'!$A:$A,'[2]Bal Sheet - Standardized'!D:D)</f>
        <v>3215.4</v>
      </c>
      <c r="D35" s="322">
        <f>_xlfn.XLOOKUP("Total Noncurrent Liabilities",'[2]Bal Sheet - Standardized'!$A:$A,'[2]Bal Sheet - Standardized'!E:E)</f>
        <v>4055.2</v>
      </c>
      <c r="E35" s="322">
        <f>_xlfn.XLOOKUP("Total Noncurrent Liabilities",'[2]Bal Sheet - Standardized'!$A:$A,'[2]Bal Sheet - Standardized'!F:F)</f>
        <v>4537.3999999999996</v>
      </c>
      <c r="F35" s="322">
        <f>_xlfn.XLOOKUP("Total Noncurrent Liabilities",'[2]Bal Sheet - Standardized'!$A:$A,'[2]Bal Sheet - Standardized'!G:G)</f>
        <v>5771.2</v>
      </c>
      <c r="G35" s="322">
        <f>_xlfn.XLOOKUP("Total Noncurrent Liabilities",'[2]Bal Sheet - Standardized'!$A:$A,'[2]Bal Sheet - Standardized'!H:H)</f>
        <v>6476.3</v>
      </c>
      <c r="H35" s="322">
        <f>_xlfn.XLOOKUP("Total Noncurrent Liabilities",'[2]Bal Sheet - Standardized'!$A:$A,'[2]Bal Sheet - Standardized'!I:I)</f>
        <v>1325.4</v>
      </c>
      <c r="I35" s="322">
        <f>_xlfn.XLOOKUP("Total Noncurrent Liabilities",'[2]Bal Sheet - Standardized'!$A:$A,'[2]Bal Sheet - Standardized'!J:J)</f>
        <v>1506.3</v>
      </c>
      <c r="J35" s="322">
        <f>_xlfn.XLOOKUP("Total Noncurrent Liabilities",'[2]Bal Sheet - Standardized'!$A:$A,'[2]Bal Sheet - Standardized'!K:K)</f>
        <v>1594.6</v>
      </c>
      <c r="K35" s="322">
        <f>_xlfn.XLOOKUP("Total Noncurrent Liabilities",'[2]Bal Sheet - Standardized'!$A:$A,'[2]Bal Sheet - Standardized'!L:L)</f>
        <v>1511.9</v>
      </c>
      <c r="L35" s="322">
        <f>_xlfn.XLOOKUP("Total Noncurrent Liabilities",'[2]Bal Sheet - Standardized'!$A:$A,'[2]Bal Sheet - Standardized'!M:M)</f>
        <v>868</v>
      </c>
      <c r="M35" s="322">
        <f>_xlfn.XLOOKUP("Total Noncurrent Liabilities",'[2]Bal Sheet - Standardized'!$A:$A,'[2]Bal Sheet - Standardized'!N:N)</f>
        <v>675.5</v>
      </c>
      <c r="N35" s="322">
        <f>_xlfn.XLOOKUP("Total Noncurrent Liabilities",'[2]Bal Sheet - Standardized'!$A:$A,'[2]Bal Sheet - Standardized'!O:O)</f>
        <v>330.8</v>
      </c>
      <c r="O35" s="315"/>
      <c r="P35" s="315"/>
      <c r="Q35" s="304"/>
      <c r="R35" s="304"/>
      <c r="S35" s="304"/>
      <c r="T35" s="304"/>
      <c r="U35" s="304"/>
      <c r="V35" s="304"/>
      <c r="W35" s="304"/>
      <c r="X35" s="304"/>
      <c r="Y35" s="304"/>
      <c r="Z35" s="304"/>
    </row>
    <row r="36" spans="1:26">
      <c r="A36" s="307" t="s">
        <v>430</v>
      </c>
      <c r="B36" s="316">
        <f>_xlfn.XLOOKUP("    + LT Borrowings",'[2]Bal Sheet - Standardized'!$A:$A,'[2]Bal Sheet - Standardized'!C:C)</f>
        <v>2042.8</v>
      </c>
      <c r="C36" s="316">
        <f>_xlfn.XLOOKUP("    + LT Borrowings",'[2]Bal Sheet - Standardized'!$A:$A,'[2]Bal Sheet - Standardized'!D:D)</f>
        <v>2040.6</v>
      </c>
      <c r="D36" s="316">
        <f>_xlfn.XLOOKUP("    + LT Borrowings",'[2]Bal Sheet - Standardized'!$A:$A,'[2]Bal Sheet - Standardized'!E:E)</f>
        <v>2737.4</v>
      </c>
      <c r="E36" s="316">
        <f>_xlfn.XLOOKUP("    + LT Borrowings",'[2]Bal Sheet - Standardized'!$A:$A,'[2]Bal Sheet - Standardized'!F:F)</f>
        <v>2966.4</v>
      </c>
      <c r="F36" s="316">
        <f>_xlfn.XLOOKUP("    + LT Borrowings",'[2]Bal Sheet - Standardized'!$A:$A,'[2]Bal Sheet - Standardized'!G:G)</f>
        <v>4174.3</v>
      </c>
      <c r="G36" s="316">
        <f>_xlfn.XLOOKUP("    + LT Borrowings",'[2]Bal Sheet - Standardized'!$A:$A,'[2]Bal Sheet - Standardized'!H:H)</f>
        <v>4596.8</v>
      </c>
      <c r="H36" s="316">
        <f>_xlfn.XLOOKUP("    + LT Borrowings",'[2]Bal Sheet - Standardized'!$A:$A,'[2]Bal Sheet - Standardized'!I:I)</f>
        <v>650</v>
      </c>
      <c r="I36" s="316">
        <f>_xlfn.XLOOKUP("    + LT Borrowings",'[2]Bal Sheet - Standardized'!$A:$A,'[2]Bal Sheet - Standardized'!J:J)</f>
        <v>1000</v>
      </c>
      <c r="J36" s="316">
        <f>_xlfn.XLOOKUP("    + LT Borrowings",'[2]Bal Sheet - Standardized'!$A:$A,'[2]Bal Sheet - Standardized'!K:K)</f>
        <v>1000</v>
      </c>
      <c r="K36" s="316">
        <f>_xlfn.XLOOKUP("    + LT Borrowings",'[2]Bal Sheet - Standardized'!$A:$A,'[2]Bal Sheet - Standardized'!L:L)</f>
        <v>1000</v>
      </c>
      <c r="L36" s="316">
        <f>_xlfn.XLOOKUP("    + LT Borrowings",'[2]Bal Sheet - Standardized'!$A:$A,'[2]Bal Sheet - Standardized'!M:M)</f>
        <v>350</v>
      </c>
      <c r="M36" s="316">
        <f>_xlfn.XLOOKUP("    + LT Borrowings",'[2]Bal Sheet - Standardized'!$A:$A,'[2]Bal Sheet - Standardized'!N:N)</f>
        <v>360</v>
      </c>
      <c r="N36" s="316">
        <f>_xlfn.XLOOKUP("    + LT Borrowings",'[2]Bal Sheet - Standardized'!$A:$A,'[2]Bal Sheet - Standardized'!O:O)</f>
        <v>38.299999999999997</v>
      </c>
      <c r="O36" s="302"/>
      <c r="P36" s="302"/>
      <c r="Q36" s="304"/>
      <c r="R36" s="304"/>
      <c r="S36" s="304"/>
      <c r="T36" s="304"/>
      <c r="U36" s="304"/>
      <c r="V36" s="304"/>
      <c r="W36" s="304"/>
      <c r="X36" s="304"/>
      <c r="Y36" s="304"/>
      <c r="Z36" s="304"/>
    </row>
    <row r="37" spans="1:26">
      <c r="A37" s="307" t="s">
        <v>431</v>
      </c>
      <c r="B37" s="316">
        <f>_xlfn.XLOOKUP("    + LT Lease Liabilities",'[2]Bal Sheet - Standardized'!$A:$A,'[2]Bal Sheet - Standardized'!C:C)</f>
        <v>0</v>
      </c>
      <c r="C37" s="316">
        <f>_xlfn.XLOOKUP("    + LT Lease Liabilities",'[2]Bal Sheet - Standardized'!$A:$A,'[2]Bal Sheet - Standardized'!D:D)</f>
        <v>543.70000000000005</v>
      </c>
      <c r="D37" s="316">
        <f>_xlfn.XLOOKUP("    + LT Lease Liabilities",'[2]Bal Sheet - Standardized'!$A:$A,'[2]Bal Sheet - Standardized'!E:E)</f>
        <v>497.6</v>
      </c>
      <c r="E37" s="316">
        <f>_xlfn.XLOOKUP("    + LT Lease Liabilities",'[2]Bal Sheet - Standardized'!$A:$A,'[2]Bal Sheet - Standardized'!F:F)</f>
        <v>517.6</v>
      </c>
      <c r="F37" s="316">
        <f>_xlfn.XLOOKUP("    + LT Lease Liabilities",'[2]Bal Sheet - Standardized'!$A:$A,'[2]Bal Sheet - Standardized'!G:G)</f>
        <v>564.5</v>
      </c>
      <c r="G37" s="316">
        <f>_xlfn.XLOOKUP("    + LT Lease Liabilities",'[2]Bal Sheet - Standardized'!$A:$A,'[2]Bal Sheet - Standardized'!H:H)</f>
        <v>612.79999999999995</v>
      </c>
      <c r="H37" s="316">
        <f>_xlfn.XLOOKUP("    + LT Lease Liabilities",'[2]Bal Sheet - Standardized'!$A:$A,'[2]Bal Sheet - Standardized'!I:I)</f>
        <v>0</v>
      </c>
      <c r="I37" s="316">
        <f>_xlfn.XLOOKUP("    + LT Lease Liabilities",'[2]Bal Sheet - Standardized'!$A:$A,'[2]Bal Sheet - Standardized'!J:J)</f>
        <v>0</v>
      </c>
      <c r="J37" s="316">
        <f>_xlfn.XLOOKUP("    + LT Lease Liabilities",'[2]Bal Sheet - Standardized'!$A:$A,'[2]Bal Sheet - Standardized'!K:K)</f>
        <v>0</v>
      </c>
      <c r="K37" s="316">
        <f>_xlfn.XLOOKUP("    + LT Lease Liabilities",'[2]Bal Sheet - Standardized'!$A:$A,'[2]Bal Sheet - Standardized'!L:L)</f>
        <v>0</v>
      </c>
      <c r="L37" s="316">
        <f>_xlfn.XLOOKUP("    + LT Lease Liabilities",'[2]Bal Sheet - Standardized'!$A:$A,'[2]Bal Sheet - Standardized'!M:M)</f>
        <v>0</v>
      </c>
      <c r="M37" s="316">
        <f>_xlfn.XLOOKUP("    + LT Lease Liabilities",'[2]Bal Sheet - Standardized'!$A:$A,'[2]Bal Sheet - Standardized'!N:N)</f>
        <v>0</v>
      </c>
      <c r="N37" s="316">
        <f>_xlfn.XLOOKUP("    + LT Lease Liabilities",'[2]Bal Sheet - Standardized'!$A:$A,'[2]Bal Sheet - Standardized'!O:O)</f>
        <v>0</v>
      </c>
      <c r="O37" s="302"/>
      <c r="P37" s="302"/>
      <c r="Q37" s="304"/>
      <c r="R37" s="302"/>
    </row>
    <row r="38" spans="1:26">
      <c r="A38" s="301" t="s">
        <v>432</v>
      </c>
      <c r="B38" s="302">
        <f>B35-SUM(B36:B37)</f>
        <v>900.89999999999986</v>
      </c>
      <c r="C38" s="302">
        <v>323</v>
      </c>
      <c r="D38" s="302">
        <v>536</v>
      </c>
      <c r="E38" s="302">
        <v>468</v>
      </c>
      <c r="F38" s="302">
        <v>654</v>
      </c>
      <c r="G38" s="302">
        <v>675</v>
      </c>
      <c r="H38" s="302">
        <v>506</v>
      </c>
      <c r="I38" s="302">
        <v>595</v>
      </c>
      <c r="J38" s="302">
        <v>512</v>
      </c>
      <c r="K38" s="302">
        <v>518</v>
      </c>
      <c r="L38" s="302">
        <v>316</v>
      </c>
      <c r="M38" s="302">
        <v>293</v>
      </c>
      <c r="N38" s="302">
        <v>293</v>
      </c>
      <c r="O38" s="302"/>
      <c r="P38" s="302"/>
      <c r="Q38" s="302"/>
      <c r="R38" s="302"/>
    </row>
    <row r="39" spans="1:26" s="319" customFormat="1" ht="15">
      <c r="A39" s="323" t="s">
        <v>456</v>
      </c>
      <c r="B39" s="322">
        <f>_xlfn.XLOOKUP("Total Liabilities",'[2]Bal Sheet - Standardized'!$A:$A,'[2]Bal Sheet - Standardized'!C:C)</f>
        <v>6465.2</v>
      </c>
      <c r="C39" s="322">
        <f>_xlfn.XLOOKUP("Total Liabilities",'[2]Bal Sheet - Standardized'!$A:$A,'[2]Bal Sheet - Standardized'!D:D)</f>
        <v>6776.4</v>
      </c>
      <c r="D39" s="322">
        <f>_xlfn.XLOOKUP("Total Liabilities",'[2]Bal Sheet - Standardized'!$A:$A,'[2]Bal Sheet - Standardized'!E:E)</f>
        <v>6936.2</v>
      </c>
      <c r="E39" s="322">
        <f>_xlfn.XLOOKUP("Total Liabilities",'[2]Bal Sheet - Standardized'!$A:$A,'[2]Bal Sheet - Standardized'!F:F)</f>
        <v>8007.7</v>
      </c>
      <c r="F39" s="322">
        <f>_xlfn.XLOOKUP("Total Liabilities",'[2]Bal Sheet - Standardized'!$A:$A,'[2]Bal Sheet - Standardized'!G:G)</f>
        <v>7858.1</v>
      </c>
      <c r="G39" s="322">
        <f>_xlfn.XLOOKUP("Total Liabilities",'[2]Bal Sheet - Standardized'!$A:$A,'[2]Bal Sheet - Standardized'!H:H)</f>
        <v>8610.1</v>
      </c>
      <c r="H39" s="322">
        <f>_xlfn.XLOOKUP("Total Liabilities",'[2]Bal Sheet - Standardized'!$A:$A,'[2]Bal Sheet - Standardized'!I:I)</f>
        <v>3348.1</v>
      </c>
      <c r="I39" s="322">
        <f>_xlfn.XLOOKUP("Total Liabilities",'[2]Bal Sheet - Standardized'!$A:$A,'[2]Bal Sheet - Standardized'!J:J)</f>
        <v>3033.8</v>
      </c>
      <c r="J39" s="322">
        <f>_xlfn.XLOOKUP("Total Liabilities",'[2]Bal Sheet - Standardized'!$A:$A,'[2]Bal Sheet - Standardized'!K:K)</f>
        <v>3060.2</v>
      </c>
      <c r="K39" s="322">
        <f>_xlfn.XLOOKUP("Total Liabilities",'[2]Bal Sheet - Standardized'!$A:$A,'[2]Bal Sheet - Standardized'!L:L)</f>
        <v>2823.7</v>
      </c>
      <c r="L39" s="322">
        <f>_xlfn.XLOOKUP("Total Liabilities",'[2]Bal Sheet - Standardized'!$A:$A,'[2]Bal Sheet - Standardized'!M:M)</f>
        <v>2002.9</v>
      </c>
      <c r="M39" s="322">
        <f>_xlfn.XLOOKUP("Total Liabilities",'[2]Bal Sheet - Standardized'!$A:$A,'[2]Bal Sheet - Standardized'!N:N)</f>
        <v>1563.7</v>
      </c>
      <c r="N39" s="322">
        <f>_xlfn.XLOOKUP("Total Liabilities",'[2]Bal Sheet - Standardized'!$A:$A,'[2]Bal Sheet - Standardized'!O:O)</f>
        <v>1259.3</v>
      </c>
      <c r="O39" s="315"/>
      <c r="P39" s="305"/>
      <c r="Q39" s="315"/>
      <c r="R39" s="315"/>
    </row>
    <row r="40" spans="1:26" ht="15">
      <c r="B40" s="304"/>
      <c r="C40" s="304"/>
      <c r="D40" s="304"/>
      <c r="E40" s="304"/>
      <c r="F40" s="304"/>
      <c r="G40" s="304"/>
      <c r="H40" s="304"/>
      <c r="I40" s="304"/>
      <c r="J40" s="304"/>
      <c r="K40" s="304"/>
      <c r="L40" s="304"/>
      <c r="P40" s="305"/>
    </row>
    <row r="41" spans="1:26" ht="15">
      <c r="B41" s="304"/>
      <c r="C41" s="304"/>
      <c r="D41" s="304"/>
      <c r="E41" s="304"/>
      <c r="F41" s="304"/>
      <c r="G41" s="304"/>
      <c r="H41" s="304"/>
      <c r="I41" s="304"/>
      <c r="J41" s="304"/>
      <c r="K41" s="304"/>
      <c r="L41" s="304"/>
      <c r="P41" s="305"/>
    </row>
    <row r="42" spans="1:26" s="319" customFormat="1" ht="15">
      <c r="A42" s="323" t="s">
        <v>435</v>
      </c>
      <c r="B42" s="325">
        <f>_xlfn.XLOOKUP("  + Minority/Non Controlling Interest",'[2]Bal Sheet - Standardized'!$A:$A,'[2]Bal Sheet - Standardized'!C:C)</f>
        <v>14.1</v>
      </c>
      <c r="C42" s="325">
        <f>_xlfn.XLOOKUP("  + Minority/Non Controlling Interest",'[2]Bal Sheet - Standardized'!$A:$A,'[2]Bal Sheet - Standardized'!D:D)</f>
        <v>11.9</v>
      </c>
      <c r="D42" s="325">
        <f>_xlfn.XLOOKUP("  + Minority/Non Controlling Interest",'[2]Bal Sheet - Standardized'!$A:$A,'[2]Bal Sheet - Standardized'!E:E)</f>
        <v>14.2</v>
      </c>
      <c r="E42" s="325">
        <f>_xlfn.XLOOKUP("  + Minority/Non Controlling Interest",'[2]Bal Sheet - Standardized'!$A:$A,'[2]Bal Sheet - Standardized'!F:F)</f>
        <v>13.7</v>
      </c>
      <c r="F42" s="325">
        <f>_xlfn.XLOOKUP("  + Minority/Non Controlling Interest",'[2]Bal Sheet - Standardized'!$A:$A,'[2]Bal Sheet - Standardized'!G:G)</f>
        <v>44.8</v>
      </c>
      <c r="G42" s="325">
        <f>_xlfn.XLOOKUP("  + Minority/Non Controlling Interest",'[2]Bal Sheet - Standardized'!$A:$A,'[2]Bal Sheet - Standardized'!H:H)</f>
        <v>53.9</v>
      </c>
      <c r="H42" s="325">
        <f>_xlfn.XLOOKUP("  + Minority/Non Controlling Interest",'[2]Bal Sheet - Standardized'!$A:$A,'[2]Bal Sheet - Standardized'!I:I)</f>
        <v>63.9</v>
      </c>
      <c r="I42" s="325">
        <f>_xlfn.XLOOKUP("  + Minority/Non Controlling Interest",'[2]Bal Sheet - Standardized'!$A:$A,'[2]Bal Sheet - Standardized'!J:J)</f>
        <v>1.9</v>
      </c>
      <c r="J42" s="325">
        <f>_xlfn.XLOOKUP("  + Minority/Non Controlling Interest",'[2]Bal Sheet - Standardized'!$A:$A,'[2]Bal Sheet - Standardized'!K:K)</f>
        <v>22.6</v>
      </c>
      <c r="K42" s="325">
        <f>_xlfn.XLOOKUP("  + Minority/Non Controlling Interest",'[2]Bal Sheet - Standardized'!$A:$A,'[2]Bal Sheet - Standardized'!L:L)</f>
        <v>19.2</v>
      </c>
      <c r="L42" s="325">
        <f>_xlfn.XLOOKUP("  + Minority/Non Controlling Interest",'[2]Bal Sheet - Standardized'!$A:$A,'[2]Bal Sheet - Standardized'!M:M)</f>
        <v>16</v>
      </c>
      <c r="M42" s="325">
        <f>_xlfn.XLOOKUP("  + Minority/Non Controlling Interest",'[2]Bal Sheet - Standardized'!$A:$A,'[2]Bal Sheet - Standardized'!N:N)</f>
        <v>13.6</v>
      </c>
      <c r="N42" s="325">
        <f>_xlfn.XLOOKUP("  + Minority/Non Controlling Interest",'[2]Bal Sheet - Standardized'!$A:$A,'[2]Bal Sheet - Standardized'!O:O)</f>
        <v>16.2</v>
      </c>
      <c r="O42" s="302"/>
      <c r="P42" s="315"/>
      <c r="Q42" s="304"/>
      <c r="R42" s="304"/>
      <c r="S42" s="304"/>
      <c r="T42" s="304"/>
      <c r="U42" s="304"/>
      <c r="V42" s="304"/>
      <c r="W42" s="304"/>
      <c r="X42" s="304"/>
      <c r="Y42" s="304"/>
      <c r="Z42" s="304"/>
    </row>
    <row r="43" spans="1:26" ht="15">
      <c r="B43" s="304"/>
      <c r="C43" s="304"/>
      <c r="D43" s="304"/>
      <c r="E43" s="304"/>
      <c r="F43" s="302"/>
      <c r="G43" s="302"/>
      <c r="H43" s="302"/>
      <c r="I43" s="302"/>
      <c r="J43" s="302"/>
      <c r="M43" s="302"/>
      <c r="N43" s="302"/>
      <c r="O43" s="302"/>
      <c r="P43" s="315"/>
      <c r="Q43" s="302"/>
      <c r="R43" s="302"/>
    </row>
    <row r="44" spans="1:26" ht="15">
      <c r="A44" s="319" t="s">
        <v>436</v>
      </c>
      <c r="B44" s="315">
        <f t="shared" ref="B44:M44" si="1">B27-B39</f>
        <v>9080.7000000000007</v>
      </c>
      <c r="C44" s="315">
        <f t="shared" si="1"/>
        <v>7846</v>
      </c>
      <c r="D44" s="315">
        <f t="shared" si="1"/>
        <v>7324.9000000000005</v>
      </c>
      <c r="E44" s="315">
        <f t="shared" si="1"/>
        <v>6211.0000000000009</v>
      </c>
      <c r="F44" s="315">
        <f t="shared" si="1"/>
        <v>5106.1000000000004</v>
      </c>
      <c r="G44" s="315">
        <f t="shared" si="1"/>
        <v>5262.5</v>
      </c>
      <c r="H44" s="315">
        <f t="shared" si="1"/>
        <v>4625.8999999999996</v>
      </c>
      <c r="I44" s="315">
        <f t="shared" si="1"/>
        <v>3996</v>
      </c>
      <c r="J44" s="315">
        <f t="shared" si="1"/>
        <v>3882.9000000000005</v>
      </c>
      <c r="K44" s="315">
        <f t="shared" si="1"/>
        <v>3487.7</v>
      </c>
      <c r="L44" s="315">
        <f t="shared" si="1"/>
        <v>2959.4999999999995</v>
      </c>
      <c r="M44" s="315">
        <f t="shared" si="1"/>
        <v>2624.2</v>
      </c>
      <c r="N44" s="315"/>
      <c r="O44" s="315"/>
      <c r="P44" s="315"/>
      <c r="Q44" s="315"/>
      <c r="R44" s="315"/>
    </row>
    <row r="45" spans="1:26" ht="15">
      <c r="B45" s="304"/>
      <c r="C45" s="304"/>
      <c r="D45" s="304"/>
      <c r="P45" s="305"/>
    </row>
    <row r="46" spans="1:26" ht="15">
      <c r="A46" s="305" t="s">
        <v>437</v>
      </c>
      <c r="B46" s="305"/>
      <c r="C46" s="305"/>
      <c r="D46" s="305"/>
      <c r="E46" s="305"/>
      <c r="F46" s="305"/>
      <c r="G46" s="305"/>
      <c r="H46" s="305"/>
      <c r="I46" s="305"/>
      <c r="J46" s="305"/>
      <c r="K46" s="315"/>
      <c r="L46" s="315"/>
      <c r="P46" s="305"/>
    </row>
    <row r="47" spans="1:26" ht="15">
      <c r="A47" s="307" t="s">
        <v>457</v>
      </c>
      <c r="B47" s="308">
        <v>24000</v>
      </c>
      <c r="C47" s="308"/>
      <c r="D47" s="308"/>
      <c r="E47" s="308"/>
      <c r="F47" s="308"/>
      <c r="G47" s="308"/>
      <c r="H47" s="308"/>
      <c r="I47" s="308"/>
      <c r="J47" s="308"/>
      <c r="K47" s="308"/>
      <c r="L47" s="308"/>
      <c r="M47" s="308"/>
      <c r="N47" s="308"/>
      <c r="O47" s="302"/>
      <c r="P47" s="315"/>
      <c r="Q47" s="302"/>
      <c r="R47" s="302"/>
    </row>
    <row r="48" spans="1:26" ht="15">
      <c r="A48" s="307" t="s">
        <v>439</v>
      </c>
      <c r="B48" s="308" cm="1">
        <f t="array" aca="1" ref="B48" ca="1">_FV(K2,"Shares outstanding",TRUE)/1000000</f>
        <v>1341.4559999999999</v>
      </c>
      <c r="C48" s="308"/>
      <c r="D48" s="308"/>
      <c r="E48" s="308"/>
      <c r="F48" s="308"/>
      <c r="G48" s="308"/>
      <c r="H48" s="308"/>
      <c r="I48" s="308"/>
      <c r="J48" s="308"/>
      <c r="K48" s="308"/>
      <c r="L48" s="308"/>
      <c r="M48" s="308"/>
      <c r="N48" s="308"/>
      <c r="O48" s="302"/>
      <c r="P48" s="315"/>
      <c r="Q48" s="302"/>
      <c r="R48" s="302"/>
    </row>
    <row r="49" spans="1:18" ht="15">
      <c r="A49" s="307" t="s">
        <v>153</v>
      </c>
      <c r="B49" s="326">
        <f ca="1">668.54/B48</f>
        <v>0.49836893643921232</v>
      </c>
      <c r="C49" s="327"/>
      <c r="D49" s="327"/>
      <c r="E49" s="327"/>
      <c r="F49" s="327"/>
      <c r="G49" s="327"/>
      <c r="H49" s="327"/>
      <c r="I49" s="327"/>
      <c r="J49" s="327"/>
      <c r="K49" s="327"/>
      <c r="L49" s="327"/>
      <c r="M49" s="327"/>
      <c r="N49" s="328"/>
      <c r="O49" s="329"/>
      <c r="P49" s="330"/>
      <c r="Q49" s="329"/>
      <c r="R49" s="329"/>
    </row>
    <row r="50" spans="1:18" ht="15">
      <c r="A50" s="307" t="s">
        <v>440</v>
      </c>
      <c r="B50" s="327">
        <v>0.48120000000000002</v>
      </c>
      <c r="C50" s="327"/>
      <c r="D50" s="327"/>
      <c r="E50" s="327"/>
      <c r="F50" s="327"/>
      <c r="G50" s="327"/>
      <c r="H50" s="327"/>
      <c r="I50" s="327"/>
      <c r="J50" s="327"/>
      <c r="K50" s="327"/>
      <c r="L50" s="327"/>
      <c r="M50" s="327"/>
      <c r="N50" s="328"/>
      <c r="O50" s="329"/>
      <c r="P50" s="331"/>
      <c r="Q50" s="329"/>
      <c r="R50" s="332"/>
    </row>
    <row r="51" spans="1:18" ht="15">
      <c r="A51" s="307" t="s">
        <v>441</v>
      </c>
      <c r="B51" s="308"/>
      <c r="C51" s="308"/>
      <c r="D51" s="308"/>
      <c r="E51" s="308"/>
      <c r="F51" s="308"/>
      <c r="G51" s="308"/>
      <c r="H51" s="308"/>
      <c r="I51" s="308"/>
      <c r="J51" s="308"/>
      <c r="K51" s="308"/>
      <c r="L51" s="308"/>
      <c r="M51" s="308"/>
      <c r="N51" s="308"/>
      <c r="O51" s="315"/>
      <c r="P51" s="315"/>
      <c r="Q51" s="315"/>
      <c r="R51" s="315"/>
    </row>
    <row r="52" spans="1:18" ht="15">
      <c r="A52" s="307" t="s">
        <v>458</v>
      </c>
      <c r="B52" s="333"/>
      <c r="C52" s="333"/>
      <c r="D52" s="333"/>
      <c r="E52" s="333"/>
      <c r="F52" s="333"/>
      <c r="G52" s="333"/>
      <c r="H52" s="333"/>
      <c r="I52" s="333"/>
      <c r="J52" s="333"/>
      <c r="K52" s="333"/>
      <c r="L52" s="333"/>
      <c r="M52" s="333"/>
      <c r="N52" s="308"/>
      <c r="P52" s="305"/>
    </row>
    <row r="53" spans="1:18" ht="15">
      <c r="B53" s="305">
        <v>2022</v>
      </c>
      <c r="C53" s="305">
        <v>2023</v>
      </c>
      <c r="D53" s="305">
        <v>2024</v>
      </c>
      <c r="E53" s="334"/>
      <c r="G53" s="334"/>
      <c r="H53" s="334"/>
      <c r="I53" s="334"/>
      <c r="J53" s="334"/>
      <c r="K53" s="334"/>
      <c r="L53" s="334"/>
      <c r="P53" s="305"/>
    </row>
    <row r="54" spans="1:18" ht="15">
      <c r="A54" s="307" t="s">
        <v>459</v>
      </c>
      <c r="B54" s="327"/>
      <c r="C54" s="327"/>
      <c r="D54" s="327"/>
      <c r="K54" s="301"/>
      <c r="L54" s="301"/>
      <c r="P54" s="305"/>
    </row>
    <row r="55" spans="1:18" ht="15">
      <c r="A55" s="307" t="s">
        <v>264</v>
      </c>
      <c r="B55" s="335">
        <v>0.71</v>
      </c>
      <c r="C55" s="335">
        <v>0.8</v>
      </c>
      <c r="D55" s="335">
        <v>0.91</v>
      </c>
      <c r="K55" s="301"/>
      <c r="L55" s="301"/>
      <c r="P55" s="305"/>
    </row>
    <row r="56" spans="1:18" ht="15">
      <c r="P56" s="305"/>
    </row>
    <row r="57" spans="1:18" ht="30">
      <c r="A57" s="540" t="s">
        <v>460</v>
      </c>
      <c r="B57" s="305" t="s">
        <v>442</v>
      </c>
      <c r="C57" s="305" t="s">
        <v>441</v>
      </c>
      <c r="D57" s="305" t="s">
        <v>461</v>
      </c>
      <c r="E57" s="305" t="s">
        <v>445</v>
      </c>
      <c r="J57" s="302"/>
      <c r="L57" s="336"/>
      <c r="P57" s="305"/>
    </row>
    <row r="58" spans="1:18" ht="15">
      <c r="A58" s="307"/>
      <c r="B58" s="335"/>
      <c r="C58" s="308"/>
      <c r="D58" s="337"/>
      <c r="E58" s="308"/>
      <c r="G58" s="304">
        <f>(Cifras_en_Millones!$C$54+Cifras_en_Millones!$C$50)-(Cifras_en_Millones!$D$50+Cifras_en_Millones!$D$54)</f>
        <v>-497.09999999999991</v>
      </c>
      <c r="J58" s="302"/>
      <c r="L58" s="336"/>
      <c r="P58" s="305"/>
    </row>
    <row r="59" spans="1:18" ht="15">
      <c r="A59" s="307"/>
      <c r="B59" s="335"/>
      <c r="C59" s="308"/>
      <c r="D59" s="337"/>
      <c r="E59" s="308"/>
      <c r="J59" s="302"/>
      <c r="L59" s="336"/>
      <c r="P59" s="305"/>
    </row>
    <row r="60" spans="1:18" ht="15">
      <c r="A60" s="307"/>
      <c r="B60" s="335"/>
      <c r="C60" s="308"/>
      <c r="D60" s="337"/>
      <c r="E60" s="308"/>
      <c r="J60" s="302"/>
      <c r="L60" s="336"/>
      <c r="P60" s="305"/>
    </row>
    <row r="61" spans="1:18" ht="15">
      <c r="A61" s="307"/>
      <c r="B61" s="335"/>
      <c r="C61" s="308"/>
      <c r="D61" s="337"/>
      <c r="E61" s="308"/>
      <c r="J61" s="302"/>
      <c r="L61" s="336"/>
      <c r="P61" s="305"/>
    </row>
    <row r="62" spans="1:18" ht="15">
      <c r="P62" s="305"/>
    </row>
    <row r="63" spans="1:18" ht="15">
      <c r="P63" s="305"/>
    </row>
    <row r="64" spans="1:18" ht="15">
      <c r="P64" s="305"/>
    </row>
    <row r="66" spans="2:8">
      <c r="C66" s="301" t="s">
        <v>462</v>
      </c>
      <c r="D66" s="301" t="s">
        <v>463</v>
      </c>
      <c r="E66" s="301" t="s">
        <v>464</v>
      </c>
      <c r="G66" s="301" t="s">
        <v>465</v>
      </c>
      <c r="H66" s="301">
        <v>1.05</v>
      </c>
    </row>
    <row r="67" spans="2:8">
      <c r="B67" s="301" t="s">
        <v>466</v>
      </c>
      <c r="C67" s="301">
        <v>4.43</v>
      </c>
      <c r="D67" s="301">
        <v>2.48</v>
      </c>
      <c r="E67" s="301">
        <v>1.44</v>
      </c>
      <c r="G67" s="301" t="s">
        <v>467</v>
      </c>
      <c r="H67" s="301">
        <v>156.78</v>
      </c>
    </row>
    <row r="68" spans="2:8">
      <c r="B68" s="301" t="s">
        <v>468</v>
      </c>
      <c r="C68" s="301">
        <v>4.68</v>
      </c>
      <c r="D68" s="301">
        <v>2.79</v>
      </c>
      <c r="E68" s="301">
        <v>2.33</v>
      </c>
    </row>
  </sheetData>
  <pageMargins left="0.75" right="0.75" top="1" bottom="1" header="0" footer="0"/>
  <pageSetup orientation="portrait" horizontalDpi="4294967292"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BB63"/>
  <sheetViews>
    <sheetView zoomScale="70" zoomScaleNormal="70" workbookViewId="0">
      <pane xSplit="1" ySplit="2" topLeftCell="AE6" activePane="bottomRight" state="frozen"/>
      <selection pane="bottomRight" activeCell="AE6" sqref="AE6"/>
      <selection pane="bottomLeft" activeCell="A3" sqref="A3"/>
      <selection pane="topRight" activeCell="B1" sqref="B1"/>
    </sheetView>
  </sheetViews>
  <sheetFormatPr defaultColWidth="8.85546875" defaultRowHeight="12.75"/>
  <cols>
    <col min="1" max="2" width="13.85546875" customWidth="1"/>
    <col min="3" max="3" width="8.85546875" customWidth="1"/>
    <col min="4" max="5" width="8.28515625" customWidth="1"/>
    <col min="6" max="12" width="7.28515625" customWidth="1"/>
  </cols>
  <sheetData>
    <row r="2" spans="1:54">
      <c r="B2" s="71" t="s">
        <v>469</v>
      </c>
      <c r="C2" s="71" t="s">
        <v>470</v>
      </c>
      <c r="D2" s="71" t="s">
        <v>471</v>
      </c>
      <c r="E2" s="71" t="s">
        <v>472</v>
      </c>
      <c r="F2" s="71" t="s">
        <v>473</v>
      </c>
      <c r="G2" t="s">
        <v>474</v>
      </c>
      <c r="H2" t="s">
        <v>475</v>
      </c>
      <c r="I2" t="s">
        <v>476</v>
      </c>
      <c r="J2" t="s">
        <v>477</v>
      </c>
      <c r="K2" t="s">
        <v>478</v>
      </c>
      <c r="L2" t="s">
        <v>479</v>
      </c>
      <c r="M2" t="s">
        <v>480</v>
      </c>
      <c r="N2" t="s">
        <v>481</v>
      </c>
      <c r="O2" t="s">
        <v>482</v>
      </c>
      <c r="P2" t="s">
        <v>483</v>
      </c>
      <c r="Q2" t="s">
        <v>484</v>
      </c>
      <c r="R2" t="s">
        <v>485</v>
      </c>
      <c r="S2" t="s">
        <v>486</v>
      </c>
      <c r="T2" t="s">
        <v>487</v>
      </c>
      <c r="U2" t="s">
        <v>488</v>
      </c>
      <c r="V2" t="s">
        <v>489</v>
      </c>
      <c r="W2" t="s">
        <v>490</v>
      </c>
      <c r="X2" s="71" t="s">
        <v>491</v>
      </c>
      <c r="Y2" s="71"/>
      <c r="Z2" s="71">
        <v>2019</v>
      </c>
      <c r="AA2" s="71">
        <v>2020</v>
      </c>
      <c r="AB2" s="71">
        <v>2021</v>
      </c>
      <c r="AC2">
        <v>2022</v>
      </c>
      <c r="AD2">
        <v>2023</v>
      </c>
      <c r="AE2">
        <v>2024</v>
      </c>
      <c r="AF2">
        <v>2025</v>
      </c>
      <c r="AG2">
        <v>2026</v>
      </c>
      <c r="AH2">
        <v>2027</v>
      </c>
      <c r="AI2">
        <v>2028</v>
      </c>
      <c r="AJ2">
        <v>2029</v>
      </c>
      <c r="AK2">
        <v>2030</v>
      </c>
      <c r="AL2">
        <v>2031</v>
      </c>
      <c r="AM2">
        <v>2032</v>
      </c>
      <c r="AN2">
        <v>2033</v>
      </c>
      <c r="AO2">
        <v>2034</v>
      </c>
      <c r="AP2">
        <v>2035</v>
      </c>
      <c r="AQ2">
        <v>2036</v>
      </c>
      <c r="AR2">
        <v>2037</v>
      </c>
      <c r="AS2">
        <v>2038</v>
      </c>
      <c r="AT2">
        <v>2039</v>
      </c>
      <c r="AU2">
        <v>2040</v>
      </c>
      <c r="AV2">
        <v>2041</v>
      </c>
      <c r="AW2">
        <v>2042</v>
      </c>
      <c r="AX2">
        <v>2043</v>
      </c>
      <c r="AY2">
        <v>2044</v>
      </c>
      <c r="AZ2">
        <v>2045</v>
      </c>
      <c r="BA2">
        <v>2046</v>
      </c>
      <c r="BB2">
        <v>2047</v>
      </c>
    </row>
    <row r="3" spans="1:54">
      <c r="A3" s="71" t="s">
        <v>492</v>
      </c>
      <c r="B3" s="71"/>
      <c r="C3" s="71"/>
      <c r="D3" s="71"/>
      <c r="E3" s="71"/>
      <c r="F3" s="71"/>
    </row>
    <row r="4" spans="1:54">
      <c r="A4" s="71" t="s">
        <v>493</v>
      </c>
      <c r="B4" s="71"/>
      <c r="C4" s="71"/>
      <c r="D4" s="71"/>
      <c r="E4" s="71"/>
      <c r="F4" s="71"/>
    </row>
    <row r="5" spans="1:54">
      <c r="A5" s="71" t="s">
        <v>494</v>
      </c>
      <c r="B5" s="71"/>
      <c r="C5" s="71"/>
      <c r="D5" s="71"/>
      <c r="E5" s="71"/>
      <c r="F5" s="71"/>
      <c r="AE5" s="180">
        <v>4.4999999999999998E-2</v>
      </c>
      <c r="AF5" s="180">
        <f>0.987*AE5</f>
        <v>4.4414999999999996E-2</v>
      </c>
      <c r="AG5" s="180">
        <f t="shared" ref="AG5:BB5" si="0">0.987*AF5</f>
        <v>4.3837604999999995E-2</v>
      </c>
      <c r="AH5" s="180">
        <f t="shared" si="0"/>
        <v>4.3267716134999995E-2</v>
      </c>
      <c r="AI5" s="180">
        <f t="shared" si="0"/>
        <v>4.2705235825244992E-2</v>
      </c>
      <c r="AJ5" s="180">
        <f t="shared" si="0"/>
        <v>4.2150067759516803E-2</v>
      </c>
      <c r="AK5" s="180">
        <f t="shared" si="0"/>
        <v>4.1602116878643083E-2</v>
      </c>
      <c r="AL5" s="180">
        <f t="shared" si="0"/>
        <v>4.1061289359220723E-2</v>
      </c>
      <c r="AM5" s="180">
        <f t="shared" si="0"/>
        <v>4.0527492597550854E-2</v>
      </c>
      <c r="AN5" s="180">
        <f t="shared" si="0"/>
        <v>4.0000635193782691E-2</v>
      </c>
      <c r="AO5" s="180">
        <f t="shared" si="0"/>
        <v>3.9480626936263516E-2</v>
      </c>
      <c r="AP5" s="180">
        <f t="shared" si="0"/>
        <v>3.8967378786092091E-2</v>
      </c>
      <c r="AQ5" s="180">
        <f t="shared" si="0"/>
        <v>3.8460802861872895E-2</v>
      </c>
      <c r="AR5" s="180">
        <f t="shared" si="0"/>
        <v>3.7960812424668547E-2</v>
      </c>
      <c r="AS5" s="180">
        <f t="shared" si="0"/>
        <v>3.7467321863147857E-2</v>
      </c>
      <c r="AT5" s="180">
        <f t="shared" si="0"/>
        <v>3.6980246678926937E-2</v>
      </c>
      <c r="AU5" s="180">
        <f t="shared" si="0"/>
        <v>3.6499503472100889E-2</v>
      </c>
      <c r="AV5" s="180">
        <f t="shared" si="0"/>
        <v>3.6025009926963579E-2</v>
      </c>
      <c r="AW5" s="180">
        <f t="shared" si="0"/>
        <v>3.5556684797913053E-2</v>
      </c>
      <c r="AX5" s="180">
        <f t="shared" si="0"/>
        <v>3.5094447895540185E-2</v>
      </c>
      <c r="AY5" s="180">
        <f t="shared" si="0"/>
        <v>3.4638220072898164E-2</v>
      </c>
      <c r="AZ5" s="180">
        <f t="shared" si="0"/>
        <v>3.4187923211950487E-2</v>
      </c>
      <c r="BA5" s="180">
        <f t="shared" si="0"/>
        <v>3.3743480210195131E-2</v>
      </c>
      <c r="BB5" s="180">
        <f t="shared" si="0"/>
        <v>3.3304814967462591E-2</v>
      </c>
    </row>
    <row r="6" spans="1:54">
      <c r="A6" s="71" t="s">
        <v>495</v>
      </c>
      <c r="B6" s="71"/>
      <c r="C6" s="71"/>
      <c r="D6" s="71"/>
      <c r="E6" s="71"/>
      <c r="F6" s="71"/>
      <c r="AE6" s="86">
        <v>0.09</v>
      </c>
      <c r="AF6">
        <f>AE6*0.975</f>
        <v>8.7749999999999995E-2</v>
      </c>
      <c r="AG6">
        <f t="shared" ref="AG6:BB6" si="1">AF6*0.975</f>
        <v>8.5556249999999986E-2</v>
      </c>
      <c r="AH6">
        <f t="shared" si="1"/>
        <v>8.3417343749999984E-2</v>
      </c>
      <c r="AI6">
        <f t="shared" si="1"/>
        <v>8.1331910156249979E-2</v>
      </c>
      <c r="AJ6">
        <f t="shared" si="1"/>
        <v>7.9298612402343732E-2</v>
      </c>
      <c r="AK6">
        <f t="shared" si="1"/>
        <v>7.731614709228514E-2</v>
      </c>
      <c r="AL6">
        <f t="shared" si="1"/>
        <v>7.5383243414978013E-2</v>
      </c>
      <c r="AM6">
        <f t="shared" si="1"/>
        <v>7.3498662329603559E-2</v>
      </c>
      <c r="AN6">
        <f t="shared" si="1"/>
        <v>7.166119577136347E-2</v>
      </c>
      <c r="AO6">
        <f t="shared" si="1"/>
        <v>6.9869665877079379E-2</v>
      </c>
      <c r="AP6">
        <f t="shared" si="1"/>
        <v>6.8122924230152399E-2</v>
      </c>
      <c r="AQ6">
        <f t="shared" si="1"/>
        <v>6.6419851124398591E-2</v>
      </c>
      <c r="AR6">
        <f t="shared" si="1"/>
        <v>6.4759354846288628E-2</v>
      </c>
      <c r="AS6">
        <f t="shared" si="1"/>
        <v>6.3140370975131407E-2</v>
      </c>
      <c r="AT6">
        <f>AS6*0.975</f>
        <v>6.1561861700753118E-2</v>
      </c>
      <c r="AU6">
        <f t="shared" si="1"/>
        <v>6.0022815158234287E-2</v>
      </c>
      <c r="AV6">
        <f t="shared" si="1"/>
        <v>5.8522244779278428E-2</v>
      </c>
      <c r="AW6">
        <f t="shared" si="1"/>
        <v>5.7059188659796464E-2</v>
      </c>
      <c r="AX6">
        <f t="shared" si="1"/>
        <v>5.5632708943301551E-2</v>
      </c>
      <c r="AY6">
        <f t="shared" si="1"/>
        <v>5.4241891219719014E-2</v>
      </c>
      <c r="AZ6">
        <f t="shared" si="1"/>
        <v>5.2885843939226039E-2</v>
      </c>
      <c r="BA6">
        <f t="shared" si="1"/>
        <v>5.1563697840745389E-2</v>
      </c>
      <c r="BB6">
        <f t="shared" si="1"/>
        <v>5.0274605394726751E-2</v>
      </c>
    </row>
    <row r="7" spans="1:54">
      <c r="A7" s="71"/>
      <c r="B7" s="71"/>
      <c r="C7" s="71"/>
      <c r="D7" s="71"/>
      <c r="E7" s="71"/>
      <c r="F7" s="71"/>
      <c r="AE7" s="86"/>
    </row>
    <row r="8" spans="1:54">
      <c r="A8" s="71" t="s">
        <v>496</v>
      </c>
      <c r="B8" s="71"/>
      <c r="C8" s="71"/>
      <c r="D8" s="71"/>
      <c r="E8" s="71"/>
      <c r="F8" s="71"/>
      <c r="AE8" s="86"/>
    </row>
    <row r="9" spans="1:54">
      <c r="A9" s="71" t="s">
        <v>494</v>
      </c>
      <c r="B9" s="71"/>
      <c r="C9" s="71"/>
      <c r="D9" s="71"/>
      <c r="E9" s="71"/>
      <c r="F9" s="71"/>
      <c r="Z9">
        <f t="shared" ref="Z9:AD10" si="2">Z30/Z26</f>
        <v>0.67792204148997348</v>
      </c>
      <c r="AA9">
        <f t="shared" si="2"/>
        <v>0.68533660706600774</v>
      </c>
      <c r="AB9">
        <f t="shared" si="2"/>
        <v>0.64650696723516432</v>
      </c>
      <c r="AC9">
        <f t="shared" si="2"/>
        <v>0.63716520292600543</v>
      </c>
      <c r="AD9">
        <f t="shared" si="2"/>
        <v>0.63586480102249077</v>
      </c>
      <c r="AE9">
        <f>AD9*1.001</f>
        <v>0.63650066582351317</v>
      </c>
      <c r="AF9">
        <f t="shared" ref="AF9:BB9" si="3">AE9*1.001</f>
        <v>0.6371371664893366</v>
      </c>
      <c r="AG9">
        <f t="shared" si="3"/>
        <v>0.63777430365582588</v>
      </c>
      <c r="AH9">
        <f t="shared" si="3"/>
        <v>0.63841207795948163</v>
      </c>
      <c r="AI9">
        <f t="shared" si="3"/>
        <v>0.63905049003744108</v>
      </c>
      <c r="AJ9">
        <f t="shared" si="3"/>
        <v>0.6396895405274784</v>
      </c>
      <c r="AK9">
        <f t="shared" si="3"/>
        <v>0.64032923006800579</v>
      </c>
      <c r="AL9">
        <f t="shared" si="3"/>
        <v>0.64096955929807375</v>
      </c>
      <c r="AM9">
        <f t="shared" si="3"/>
        <v>0.6416105288573718</v>
      </c>
      <c r="AN9">
        <f t="shared" si="3"/>
        <v>0.64225213938622905</v>
      </c>
      <c r="AO9">
        <f t="shared" si="3"/>
        <v>0.64289439152561523</v>
      </c>
      <c r="AP9">
        <f t="shared" si="3"/>
        <v>0.64353728591714077</v>
      </c>
      <c r="AQ9">
        <f t="shared" si="3"/>
        <v>0.64418082320305781</v>
      </c>
      <c r="AR9">
        <f t="shared" si="3"/>
        <v>0.64482500402626075</v>
      </c>
      <c r="AS9">
        <f t="shared" si="3"/>
        <v>0.64546982903028693</v>
      </c>
      <c r="AT9">
        <f t="shared" si="3"/>
        <v>0.64611529885931718</v>
      </c>
      <c r="AU9">
        <f t="shared" si="3"/>
        <v>0.64676141415817645</v>
      </c>
      <c r="AV9">
        <f t="shared" si="3"/>
        <v>0.64740817557233454</v>
      </c>
      <c r="AW9">
        <f t="shared" si="3"/>
        <v>0.64805558374790684</v>
      </c>
      <c r="AX9">
        <f t="shared" si="3"/>
        <v>0.64870363933165465</v>
      </c>
      <c r="AY9">
        <f t="shared" si="3"/>
        <v>0.64935234297098621</v>
      </c>
      <c r="AZ9">
        <f t="shared" si="3"/>
        <v>0.65000169531395713</v>
      </c>
      <c r="BA9">
        <f t="shared" si="3"/>
        <v>0.65065169700927106</v>
      </c>
      <c r="BB9">
        <f t="shared" si="3"/>
        <v>0.65130234870628023</v>
      </c>
    </row>
    <row r="10" spans="1:54">
      <c r="A10" s="71" t="s">
        <v>495</v>
      </c>
      <c r="B10" s="71"/>
      <c r="C10" s="71"/>
      <c r="D10" s="71"/>
      <c r="E10" s="71"/>
      <c r="F10" s="71"/>
      <c r="Z10">
        <f t="shared" si="2"/>
        <v>0.36261908362316647</v>
      </c>
      <c r="AA10">
        <f t="shared" si="2"/>
        <v>0.33984898080642761</v>
      </c>
      <c r="AB10">
        <f t="shared" si="2"/>
        <v>0.30274022652539279</v>
      </c>
      <c r="AC10">
        <f t="shared" si="2"/>
        <v>0.28254553366867619</v>
      </c>
      <c r="AD10">
        <f t="shared" si="2"/>
        <v>0.29105248779560761</v>
      </c>
      <c r="AE10">
        <f>AD10*1.001</f>
        <v>0.2913435402834032</v>
      </c>
      <c r="AF10">
        <f t="shared" ref="AF10:BB10" si="4">AE10*1.001</f>
        <v>0.29163488382368657</v>
      </c>
      <c r="AG10">
        <f t="shared" si="4"/>
        <v>0.29192651870751024</v>
      </c>
      <c r="AH10">
        <f t="shared" si="4"/>
        <v>0.2922184452262177</v>
      </c>
      <c r="AI10">
        <f t="shared" si="4"/>
        <v>0.2925106636714439</v>
      </c>
      <c r="AJ10">
        <f t="shared" si="4"/>
        <v>0.29280317433511532</v>
      </c>
      <c r="AK10">
        <f t="shared" si="4"/>
        <v>0.29309597750945043</v>
      </c>
      <c r="AL10">
        <f t="shared" si="4"/>
        <v>0.29338907348695986</v>
      </c>
      <c r="AM10">
        <f t="shared" si="4"/>
        <v>0.29368246256044678</v>
      </c>
      <c r="AN10">
        <f t="shared" si="4"/>
        <v>0.29397614502300717</v>
      </c>
      <c r="AO10">
        <f t="shared" si="4"/>
        <v>0.29427012116803014</v>
      </c>
      <c r="AP10">
        <f t="shared" si="4"/>
        <v>0.29456439128919815</v>
      </c>
      <c r="AQ10">
        <f t="shared" si="4"/>
        <v>0.29485895568048731</v>
      </c>
      <c r="AR10">
        <f t="shared" si="4"/>
        <v>0.29515381463616774</v>
      </c>
      <c r="AS10">
        <f t="shared" si="4"/>
        <v>0.29544896845080387</v>
      </c>
      <c r="AT10">
        <f t="shared" si="4"/>
        <v>0.29574441741925467</v>
      </c>
      <c r="AU10">
        <f t="shared" si="4"/>
        <v>0.29604016183667387</v>
      </c>
      <c r="AV10">
        <f t="shared" si="4"/>
        <v>0.29633620199851052</v>
      </c>
      <c r="AW10">
        <f t="shared" si="4"/>
        <v>0.296632538200509</v>
      </c>
      <c r="AX10">
        <f t="shared" si="4"/>
        <v>0.2969291707387095</v>
      </c>
      <c r="AY10">
        <f t="shared" si="4"/>
        <v>0.2972260999094482</v>
      </c>
      <c r="AZ10">
        <f t="shared" si="4"/>
        <v>0.2975233260093576</v>
      </c>
      <c r="BA10">
        <f t="shared" si="4"/>
        <v>0.29782084933536696</v>
      </c>
      <c r="BB10">
        <f t="shared" si="4"/>
        <v>0.29811867018470228</v>
      </c>
    </row>
    <row r="11" spans="1:54">
      <c r="A11" s="71"/>
      <c r="B11" s="71"/>
      <c r="C11" s="71"/>
      <c r="D11" s="71"/>
      <c r="E11" s="71"/>
      <c r="F11" s="71"/>
    </row>
    <row r="12" spans="1:54">
      <c r="A12" s="71" t="s">
        <v>384</v>
      </c>
      <c r="B12" s="71"/>
      <c r="C12" s="71"/>
      <c r="D12" s="71"/>
      <c r="E12" s="71"/>
      <c r="F12" s="71"/>
      <c r="Z12">
        <f>Z33/Z25</f>
        <v>6.233136285716482E-2</v>
      </c>
      <c r="AA12">
        <f t="shared" ref="AA12:AD12" si="5">AA33/AA25</f>
        <v>6.8309564140393061E-2</v>
      </c>
      <c r="AB12">
        <f t="shared" si="5"/>
        <v>5.9904269074427925E-2</v>
      </c>
      <c r="AC12">
        <f t="shared" si="5"/>
        <v>6.657148363798665E-2</v>
      </c>
      <c r="AD12">
        <f t="shared" si="5"/>
        <v>7.8317483273248417E-2</v>
      </c>
      <c r="AE12" s="71">
        <f>1.01*AD12</f>
        <v>7.9100658105980909E-2</v>
      </c>
      <c r="AF12" s="71">
        <f t="shared" ref="AF12:BB12" si="6">1.01*AE12</f>
        <v>7.9891664687040717E-2</v>
      </c>
      <c r="AG12" s="71">
        <f t="shared" si="6"/>
        <v>8.0690581333911118E-2</v>
      </c>
      <c r="AH12" s="71">
        <f t="shared" si="6"/>
        <v>8.1497487147250233E-2</v>
      </c>
      <c r="AI12" s="71">
        <f t="shared" si="6"/>
        <v>8.2312462018722735E-2</v>
      </c>
      <c r="AJ12" s="71">
        <f t="shared" si="6"/>
        <v>8.3135586638909964E-2</v>
      </c>
      <c r="AK12" s="71">
        <f t="shared" si="6"/>
        <v>8.3966942505299069E-2</v>
      </c>
      <c r="AL12" s="71">
        <f t="shared" si="6"/>
        <v>8.4806611930352063E-2</v>
      </c>
      <c r="AM12" s="71">
        <f t="shared" si="6"/>
        <v>8.5654678049655583E-2</v>
      </c>
      <c r="AN12" s="71">
        <f t="shared" si="6"/>
        <v>8.6511224830152139E-2</v>
      </c>
      <c r="AO12" s="71">
        <f t="shared" si="6"/>
        <v>8.7376337078453659E-2</v>
      </c>
      <c r="AP12" s="71">
        <f t="shared" si="6"/>
        <v>8.82501004492382E-2</v>
      </c>
      <c r="AQ12" s="71">
        <f t="shared" si="6"/>
        <v>8.9132601453730587E-2</v>
      </c>
      <c r="AR12" s="71">
        <f t="shared" si="6"/>
        <v>9.0023927468267886E-2</v>
      </c>
      <c r="AS12" s="71">
        <f t="shared" si="6"/>
        <v>9.0924166742950563E-2</v>
      </c>
      <c r="AT12" s="71">
        <f t="shared" si="6"/>
        <v>9.1833408410380069E-2</v>
      </c>
      <c r="AU12" s="71">
        <f t="shared" si="6"/>
        <v>9.2751742494483869E-2</v>
      </c>
      <c r="AV12" s="71">
        <f t="shared" si="6"/>
        <v>9.3679259919428715E-2</v>
      </c>
      <c r="AW12" s="71">
        <f t="shared" si="6"/>
        <v>9.4616052518622998E-2</v>
      </c>
      <c r="AX12" s="71">
        <f t="shared" si="6"/>
        <v>9.5562213043809227E-2</v>
      </c>
      <c r="AY12" s="71">
        <f t="shared" si="6"/>
        <v>9.6517835174247321E-2</v>
      </c>
      <c r="AZ12" s="71">
        <f t="shared" si="6"/>
        <v>9.7483013525989801E-2</v>
      </c>
      <c r="BA12" s="71">
        <f t="shared" si="6"/>
        <v>9.8457843661249697E-2</v>
      </c>
      <c r="BB12" s="71">
        <f t="shared" si="6"/>
        <v>9.9442422097862193E-2</v>
      </c>
    </row>
    <row r="13" spans="1:54">
      <c r="A13" s="71" t="s">
        <v>497</v>
      </c>
      <c r="B13" s="71"/>
      <c r="C13" s="71"/>
      <c r="D13" s="71"/>
      <c r="E13" s="71"/>
      <c r="F13" s="71"/>
      <c r="Z13">
        <f>Z34/Z25</f>
        <v>7.0126146348213125E-2</v>
      </c>
      <c r="AA13">
        <f t="shared" ref="AA13:AD13" si="7">AA34/AA25</f>
        <v>7.2549769593646979E-2</v>
      </c>
      <c r="AB13">
        <f t="shared" si="7"/>
        <v>6.006555190163388E-2</v>
      </c>
      <c r="AC13">
        <f t="shared" si="7"/>
        <v>6.3637378020328261E-2</v>
      </c>
      <c r="AD13">
        <f t="shared" si="7"/>
        <v>6.5265004477000232E-2</v>
      </c>
      <c r="AE13">
        <f>AD13*1.001</f>
        <v>6.5330269481477229E-2</v>
      </c>
      <c r="AF13">
        <f t="shared" ref="AF13:BB13" si="8">AE13*1.001</f>
        <v>6.5395599750958697E-2</v>
      </c>
      <c r="AG13">
        <f t="shared" si="8"/>
        <v>6.546099535070965E-2</v>
      </c>
      <c r="AH13">
        <f t="shared" si="8"/>
        <v>6.5526456346060358E-2</v>
      </c>
      <c r="AI13">
        <f t="shared" si="8"/>
        <v>6.5591982802406412E-2</v>
      </c>
      <c r="AJ13">
        <f t="shared" si="8"/>
        <v>6.5657574785208811E-2</v>
      </c>
      <c r="AK13">
        <f t="shared" si="8"/>
        <v>6.5723232359994013E-2</v>
      </c>
      <c r="AL13">
        <f t="shared" si="8"/>
        <v>6.5788955592353995E-2</v>
      </c>
      <c r="AM13">
        <f t="shared" si="8"/>
        <v>6.5854744547946348E-2</v>
      </c>
      <c r="AN13">
        <f t="shared" si="8"/>
        <v>6.5920599292494289E-2</v>
      </c>
      <c r="AO13">
        <f t="shared" si="8"/>
        <v>6.5986519891786777E-2</v>
      </c>
      <c r="AP13">
        <f t="shared" si="8"/>
        <v>6.6052506411678563E-2</v>
      </c>
      <c r="AQ13">
        <f t="shared" si="8"/>
        <v>6.6118558918090237E-2</v>
      </c>
      <c r="AR13">
        <f t="shared" si="8"/>
        <v>6.6184677477008319E-2</v>
      </c>
      <c r="AS13">
        <f t="shared" si="8"/>
        <v>6.6250862154485321E-2</v>
      </c>
      <c r="AT13">
        <f t="shared" si="8"/>
        <v>6.6317113016639798E-2</v>
      </c>
      <c r="AU13">
        <f t="shared" si="8"/>
        <v>6.6383430129656432E-2</v>
      </c>
      <c r="AV13">
        <f t="shared" si="8"/>
        <v>6.6449813559786075E-2</v>
      </c>
      <c r="AW13">
        <f t="shared" si="8"/>
        <v>6.651626337334586E-2</v>
      </c>
      <c r="AX13">
        <f t="shared" si="8"/>
        <v>6.65827796367192E-2</v>
      </c>
      <c r="AY13">
        <f t="shared" si="8"/>
        <v>6.6649362416355912E-2</v>
      </c>
      <c r="AZ13">
        <f t="shared" si="8"/>
        <v>6.6716011778772261E-2</v>
      </c>
      <c r="BA13">
        <f t="shared" si="8"/>
        <v>6.6782727790551027E-2</v>
      </c>
      <c r="BB13">
        <f t="shared" si="8"/>
        <v>6.6849510518341565E-2</v>
      </c>
    </row>
    <row r="14" spans="1:54">
      <c r="A14" s="71"/>
      <c r="B14" s="71"/>
      <c r="C14" s="71"/>
      <c r="D14" s="71"/>
      <c r="E14" s="71"/>
      <c r="F14" s="71"/>
    </row>
    <row r="15" spans="1:54">
      <c r="A15" s="71" t="s">
        <v>498</v>
      </c>
      <c r="B15" s="71"/>
      <c r="C15" s="71"/>
      <c r="D15" s="71"/>
      <c r="E15" s="71"/>
      <c r="F15" s="71"/>
    </row>
    <row r="16" spans="1:54">
      <c r="A16" s="71"/>
      <c r="B16" s="71"/>
      <c r="C16" s="71"/>
      <c r="D16" s="71"/>
      <c r="E16" s="71"/>
      <c r="F16" s="71"/>
    </row>
    <row r="17" spans="1:54">
      <c r="A17" s="71" t="s">
        <v>342</v>
      </c>
      <c r="B17" s="71"/>
      <c r="C17" s="71"/>
      <c r="D17" s="71"/>
      <c r="E17" s="71"/>
      <c r="F17" s="71"/>
      <c r="Z17">
        <f>Z41/Z40</f>
        <v>0.15943836804235059</v>
      </c>
      <c r="AA17">
        <f t="shared" ref="AA17:AC17" si="9">AA41/AA40</f>
        <v>0.14428164731484103</v>
      </c>
      <c r="AB17">
        <f t="shared" si="9"/>
        <v>0.13302260844085087</v>
      </c>
      <c r="AC17">
        <f t="shared" si="9"/>
        <v>0.16204461684424407</v>
      </c>
      <c r="AE17" s="86"/>
    </row>
    <row r="18" spans="1:54">
      <c r="A18" s="71"/>
      <c r="B18" s="71"/>
      <c r="C18" s="71"/>
      <c r="D18" s="71"/>
      <c r="E18" s="71"/>
      <c r="F18" s="71"/>
      <c r="AE18" s="86"/>
    </row>
    <row r="19" spans="1:54">
      <c r="A19" t="s">
        <v>499</v>
      </c>
      <c r="B19" s="71"/>
      <c r="C19" s="71"/>
      <c r="D19" s="71"/>
      <c r="E19" s="71"/>
      <c r="F19" s="71"/>
      <c r="Z19">
        <f>Z52/Z25</f>
        <v>4.8225418373857493E-2</v>
      </c>
      <c r="AA19">
        <f t="shared" ref="AA19:AC19" si="10">AA52/AA25</f>
        <v>4.0274666229532081E-2</v>
      </c>
      <c r="AB19">
        <f t="shared" si="10"/>
        <v>3.084602410494865E-2</v>
      </c>
      <c r="AC19">
        <f t="shared" si="10"/>
        <v>2.8159298857803657E-2</v>
      </c>
      <c r="AE19" s="86"/>
    </row>
    <row r="20" spans="1:54">
      <c r="A20" t="s">
        <v>500</v>
      </c>
      <c r="B20" s="71"/>
      <c r="C20" s="71"/>
      <c r="D20" s="71"/>
      <c r="E20" s="71"/>
      <c r="F20" s="71"/>
      <c r="Z20">
        <f>Z53/Z25</f>
        <v>2.3322853167495598E-2</v>
      </c>
      <c r="AA20">
        <f t="shared" ref="AA20:AC20" si="11">AA53/AA25</f>
        <v>2.4876600550061016E-2</v>
      </c>
      <c r="AB20">
        <f t="shared" si="11"/>
        <v>2.1611898845597662E-2</v>
      </c>
      <c r="AC20">
        <f t="shared" si="11"/>
        <v>2.2920005680550203E-2</v>
      </c>
      <c r="AE20" s="86"/>
    </row>
    <row r="21" spans="1:54">
      <c r="A21" s="71" t="s">
        <v>501</v>
      </c>
      <c r="B21" s="71"/>
      <c r="C21" s="71"/>
      <c r="D21" s="71"/>
      <c r="E21" s="71"/>
      <c r="F21" s="71"/>
      <c r="U21" s="263">
        <f>((W25+V25)/(R25+S25))-1</f>
        <v>-1.999589429473414E-2</v>
      </c>
      <c r="Z21">
        <f>(Z53+Z54)/Z25</f>
        <v>3.1148385311368546E-2</v>
      </c>
      <c r="AA21">
        <f t="shared" ref="AA21:AC21" si="12">(AA53+AA54)/AA25</f>
        <v>3.4908839225543234E-2</v>
      </c>
      <c r="AB21">
        <f t="shared" si="12"/>
        <v>3.9533427916143865E-2</v>
      </c>
      <c r="AC21">
        <f t="shared" si="12"/>
        <v>3.8701284210099204E-2</v>
      </c>
      <c r="AE21" s="86"/>
    </row>
    <row r="22" spans="1:54">
      <c r="A22" s="71" t="s">
        <v>84</v>
      </c>
      <c r="B22" s="71"/>
      <c r="C22" s="71"/>
      <c r="D22" s="71"/>
      <c r="E22" s="71"/>
      <c r="F22" s="71"/>
      <c r="U22">
        <f>((W25+V25)/(F25+G25))-1</f>
        <v>0.57956252682787235</v>
      </c>
      <c r="Z22">
        <f>Z55/Z25</f>
        <v>4.033838892433525E-2</v>
      </c>
      <c r="AA22">
        <f t="shared" ref="AA22:AC22" si="13">AA55/AA25</f>
        <v>2.6625138881299748E-2</v>
      </c>
      <c r="AB22">
        <f t="shared" si="13"/>
        <v>3.0302036264033657E-2</v>
      </c>
      <c r="AC22">
        <f t="shared" si="13"/>
        <v>2.7155058732831552E-2</v>
      </c>
      <c r="AE22" s="86"/>
    </row>
    <row r="23" spans="1:54">
      <c r="A23" s="71" t="s">
        <v>502</v>
      </c>
      <c r="B23" s="71"/>
      <c r="C23" s="71"/>
      <c r="D23" s="71"/>
      <c r="E23" s="71"/>
      <c r="F23" s="71"/>
      <c r="Z23">
        <f>Z21/Z20</f>
        <v>1.3355306526038233</v>
      </c>
      <c r="AA23">
        <f t="shared" ref="AA23:AC23" si="14">AA21/AA20</f>
        <v>1.4032801288622054</v>
      </c>
      <c r="AB23">
        <f t="shared" si="14"/>
        <v>1.8292436124462434</v>
      </c>
      <c r="AC23">
        <f t="shared" si="14"/>
        <v>1.6885372870104003</v>
      </c>
      <c r="AE23" s="86"/>
    </row>
    <row r="24" spans="1:54">
      <c r="A24" s="71"/>
      <c r="B24" s="71"/>
      <c r="C24" s="71"/>
      <c r="D24" s="71"/>
      <c r="E24" s="71"/>
      <c r="F24" s="71"/>
    </row>
    <row r="25" spans="1:54">
      <c r="A25" t="s">
        <v>373</v>
      </c>
      <c r="C25">
        <f t="shared" ref="C25:W25" si="15">C26+C27</f>
        <v>53265</v>
      </c>
      <c r="D25">
        <f t="shared" si="15"/>
        <v>64040</v>
      </c>
      <c r="E25">
        <f t="shared" si="15"/>
        <v>84310</v>
      </c>
      <c r="F25">
        <f t="shared" si="15"/>
        <v>58015</v>
      </c>
      <c r="G25">
        <f t="shared" si="15"/>
        <v>53809</v>
      </c>
      <c r="H25">
        <f t="shared" si="15"/>
        <v>64040</v>
      </c>
      <c r="I25">
        <f t="shared" si="15"/>
        <v>91819</v>
      </c>
      <c r="J25">
        <f t="shared" si="15"/>
        <v>58313</v>
      </c>
      <c r="K25">
        <f t="shared" si="15"/>
        <v>59685</v>
      </c>
      <c r="L25">
        <f t="shared" si="15"/>
        <v>64698</v>
      </c>
      <c r="M25">
        <f t="shared" si="15"/>
        <v>111439</v>
      </c>
      <c r="N25">
        <f t="shared" si="15"/>
        <v>89584</v>
      </c>
      <c r="O25">
        <f t="shared" si="15"/>
        <v>81434</v>
      </c>
      <c r="P25">
        <f t="shared" si="15"/>
        <v>83360</v>
      </c>
      <c r="Q25">
        <f t="shared" si="15"/>
        <v>123945</v>
      </c>
      <c r="R25">
        <f t="shared" si="15"/>
        <v>97278</v>
      </c>
      <c r="S25">
        <f t="shared" si="15"/>
        <v>82959</v>
      </c>
      <c r="T25">
        <f t="shared" si="15"/>
        <v>90146</v>
      </c>
      <c r="U25">
        <f t="shared" si="15"/>
        <v>117154</v>
      </c>
      <c r="V25">
        <f t="shared" si="15"/>
        <v>94836</v>
      </c>
      <c r="W25">
        <f t="shared" si="15"/>
        <v>81797</v>
      </c>
      <c r="X25">
        <f>X26+X27</f>
        <v>89282</v>
      </c>
      <c r="Z25">
        <f>Z26+Z27</f>
        <v>260174</v>
      </c>
      <c r="AA25">
        <f>AA26+AA27</f>
        <v>274515</v>
      </c>
      <c r="AB25">
        <f>AB26+AB27</f>
        <v>365817</v>
      </c>
      <c r="AC25">
        <f>AC26+AC27</f>
        <v>394328</v>
      </c>
      <c r="AD25">
        <f>AD26+AD27</f>
        <v>383069</v>
      </c>
      <c r="AE25">
        <f t="shared" ref="AE25:BB25" si="16">AE26+AE27</f>
        <v>404095.69999999995</v>
      </c>
      <c r="AF25">
        <f t="shared" si="16"/>
        <v>426020.38502915</v>
      </c>
      <c r="AG25">
        <f t="shared" si="16"/>
        <v>448860.48893937253</v>
      </c>
      <c r="AH25">
        <f t="shared" si="16"/>
        <v>472632.31682514609</v>
      </c>
      <c r="AI25">
        <f t="shared" si="16"/>
        <v>497350.97627166676</v>
      </c>
      <c r="AJ25">
        <f t="shared" si="16"/>
        <v>523030.31453687267</v>
      </c>
      <c r="AK25">
        <f t="shared" si="16"/>
        <v>549682.8620322668</v>
      </c>
      <c r="AL25">
        <f t="shared" si="16"/>
        <v>577319.78240064369</v>
      </c>
      <c r="AM25">
        <f t="shared" si="16"/>
        <v>605950.82942131127</v>
      </c>
      <c r="AN25">
        <f t="shared" si="16"/>
        <v>635584.31090613932</v>
      </c>
      <c r="AO25">
        <f t="shared" si="16"/>
        <v>666227.05968362512</v>
      </c>
      <c r="AP25">
        <f t="shared" si="16"/>
        <v>697884.41170396539</v>
      </c>
      <c r="AQ25">
        <f t="shared" si="16"/>
        <v>730560.19123654719</v>
      </c>
      <c r="AR25">
        <f t="shared" si="16"/>
        <v>764256.70307296689</v>
      </c>
      <c r="AS25">
        <f t="shared" si="16"/>
        <v>798974.73159418046</v>
      </c>
      <c r="AT25">
        <f t="shared" si="16"/>
        <v>834713.54651011061</v>
      </c>
      <c r="AU25">
        <f t="shared" si="16"/>
        <v>871470.91503434</v>
      </c>
      <c r="AV25">
        <f t="shared" si="16"/>
        <v>909243.1202156581</v>
      </c>
      <c r="AW25">
        <f t="shared" si="16"/>
        <v>948024.98511235893</v>
      </c>
      <c r="AX25">
        <f t="shared" si="16"/>
        <v>987809.90246440098</v>
      </c>
      <c r="AY25">
        <f t="shared" si="16"/>
        <v>1028589.869492837</v>
      </c>
      <c r="AZ25">
        <f t="shared" si="16"/>
        <v>1070355.5274352536</v>
      </c>
      <c r="BA25">
        <f t="shared" si="16"/>
        <v>1113096.2054101799</v>
      </c>
      <c r="BB25">
        <f t="shared" si="16"/>
        <v>1156799.9681923776</v>
      </c>
    </row>
    <row r="26" spans="1:54">
      <c r="A26" s="262" t="s">
        <v>503</v>
      </c>
      <c r="B26" s="262"/>
      <c r="C26" s="262">
        <v>43095</v>
      </c>
      <c r="D26" s="262">
        <v>51529</v>
      </c>
      <c r="E26" s="262">
        <v>73435</v>
      </c>
      <c r="F26" s="262">
        <v>46565</v>
      </c>
      <c r="G26" s="262">
        <v>42354</v>
      </c>
      <c r="H26" s="262">
        <v>51529</v>
      </c>
      <c r="I26" s="262">
        <v>79104</v>
      </c>
      <c r="J26" s="262">
        <v>44965</v>
      </c>
      <c r="K26" s="262">
        <v>46529</v>
      </c>
      <c r="L26" s="262">
        <v>50149</v>
      </c>
      <c r="M26">
        <v>95678</v>
      </c>
      <c r="N26" s="127">
        <v>72683</v>
      </c>
      <c r="O26">
        <v>63948</v>
      </c>
      <c r="P26">
        <v>65083</v>
      </c>
      <c r="Q26">
        <v>104429</v>
      </c>
      <c r="R26">
        <v>77457</v>
      </c>
      <c r="S26">
        <v>63355</v>
      </c>
      <c r="T26">
        <v>70958</v>
      </c>
      <c r="U26">
        <v>96388</v>
      </c>
      <c r="V26">
        <v>73929</v>
      </c>
      <c r="W26">
        <v>60584</v>
      </c>
      <c r="X26">
        <v>67977</v>
      </c>
      <c r="Z26">
        <f>SUM(E26:H26)</f>
        <v>213883</v>
      </c>
      <c r="AA26">
        <f>SUM(I26:L26)</f>
        <v>220747</v>
      </c>
      <c r="AB26">
        <f>SUM(M26:P26)</f>
        <v>297392</v>
      </c>
      <c r="AC26">
        <f>SUM(Q26:T26)</f>
        <v>316199</v>
      </c>
      <c r="AD26">
        <f>SUM(U26:X26)</f>
        <v>298878</v>
      </c>
      <c r="AE26" s="71">
        <f>(1+AE5)*AD26</f>
        <v>312327.50999999995</v>
      </c>
      <c r="AF26" s="71">
        <f t="shared" ref="AF26:BB26" si="17">(1+AF5)*AE26</f>
        <v>326199.53635665</v>
      </c>
      <c r="AG26" s="71">
        <f t="shared" si="17"/>
        <v>340499.34278263594</v>
      </c>
      <c r="AH26" s="71">
        <f t="shared" si="17"/>
        <v>355231.97169030906</v>
      </c>
      <c r="AI26" s="71">
        <f t="shared" si="17"/>
        <v>370402.23681401042</v>
      </c>
      <c r="AJ26" s="71">
        <f t="shared" si="17"/>
        <v>386014.71619399753</v>
      </c>
      <c r="AK26" s="71">
        <f t="shared" si="17"/>
        <v>402073.74553397647</v>
      </c>
      <c r="AL26" s="71">
        <f t="shared" si="17"/>
        <v>418583.41194309283</v>
      </c>
      <c r="AM26" s="71">
        <f t="shared" si="17"/>
        <v>435547.54807207413</v>
      </c>
      <c r="AN26" s="71">
        <f t="shared" si="17"/>
        <v>452969.72665205173</v>
      </c>
      <c r="AO26" s="71">
        <f t="shared" si="17"/>
        <v>470853.25544342265</v>
      </c>
      <c r="AP26" s="71">
        <f t="shared" si="17"/>
        <v>489201.17260095105</v>
      </c>
      <c r="AQ26" s="71">
        <f t="shared" si="17"/>
        <v>508016.2424601533</v>
      </c>
      <c r="AR26" s="71">
        <f t="shared" si="17"/>
        <v>527300.95174886822</v>
      </c>
      <c r="AS26" s="71">
        <f t="shared" si="17"/>
        <v>547057.50622678723</v>
      </c>
      <c r="AT26" s="71">
        <f t="shared" si="17"/>
        <v>567287.82775461243</v>
      </c>
      <c r="AU26" s="71">
        <f t="shared" si="17"/>
        <v>587993.55179342255</v>
      </c>
      <c r="AV26" s="71">
        <f t="shared" si="17"/>
        <v>609176.02533377125</v>
      </c>
      <c r="AW26" s="71">
        <f t="shared" si="17"/>
        <v>630836.30525300954</v>
      </c>
      <c r="AX26" s="71">
        <f t="shared" si="17"/>
        <v>652975.15709832637</v>
      </c>
      <c r="AY26" s="71">
        <f t="shared" si="17"/>
        <v>675593.05429203343</v>
      </c>
      <c r="AZ26" s="71">
        <f t="shared" si="17"/>
        <v>698690.17775469646</v>
      </c>
      <c r="BA26" s="71">
        <f t="shared" si="17"/>
        <v>722266.41594081966</v>
      </c>
      <c r="BB26" s="71">
        <f t="shared" si="17"/>
        <v>746321.36528094101</v>
      </c>
    </row>
    <row r="27" spans="1:54">
      <c r="A27" s="262" t="s">
        <v>504</v>
      </c>
      <c r="B27" s="262"/>
      <c r="C27" s="262">
        <v>10170</v>
      </c>
      <c r="D27" s="262">
        <v>12511</v>
      </c>
      <c r="E27" s="262">
        <v>10875</v>
      </c>
      <c r="F27" s="262">
        <v>11450</v>
      </c>
      <c r="G27" s="262">
        <v>11455</v>
      </c>
      <c r="H27" s="262">
        <v>12511</v>
      </c>
      <c r="I27" s="262">
        <v>12715</v>
      </c>
      <c r="J27" s="262">
        <v>13348</v>
      </c>
      <c r="K27" s="262">
        <v>13156</v>
      </c>
      <c r="L27" s="262">
        <v>14549</v>
      </c>
      <c r="M27">
        <v>15761</v>
      </c>
      <c r="N27">
        <v>16901</v>
      </c>
      <c r="O27">
        <v>17486</v>
      </c>
      <c r="P27">
        <v>18277</v>
      </c>
      <c r="Q27">
        <v>19516</v>
      </c>
      <c r="R27">
        <v>19821</v>
      </c>
      <c r="S27">
        <v>19604</v>
      </c>
      <c r="T27">
        <v>19188</v>
      </c>
      <c r="U27">
        <v>20766</v>
      </c>
      <c r="V27">
        <v>20907</v>
      </c>
      <c r="W27">
        <v>21213</v>
      </c>
      <c r="X27">
        <v>21305</v>
      </c>
      <c r="Z27">
        <f>SUM(E27:H27)</f>
        <v>46291</v>
      </c>
      <c r="AA27">
        <f>SUM(I27:L27)</f>
        <v>53768</v>
      </c>
      <c r="AB27">
        <f>SUM(M27:P27)</f>
        <v>68425</v>
      </c>
      <c r="AC27">
        <f>SUM(Q27:T27)</f>
        <v>78129</v>
      </c>
      <c r="AD27">
        <f>SUM(U27:X27)</f>
        <v>84191</v>
      </c>
      <c r="AE27" s="71">
        <f>(1+AE6)*AD27</f>
        <v>91768.19</v>
      </c>
      <c r="AF27" s="71">
        <f t="shared" ref="AF27:BB27" si="18">(1+AF6)*AE27</f>
        <v>99820.848672499997</v>
      </c>
      <c r="AG27" s="71">
        <f t="shared" si="18"/>
        <v>108361.14615673658</v>
      </c>
      <c r="AH27" s="71">
        <f t="shared" si="18"/>
        <v>117400.34513483704</v>
      </c>
      <c r="AI27" s="71">
        <f t="shared" si="18"/>
        <v>126948.73945765635</v>
      </c>
      <c r="AJ27" s="71">
        <f t="shared" si="18"/>
        <v>137015.59834287516</v>
      </c>
      <c r="AK27" s="71">
        <f t="shared" si="18"/>
        <v>147609.11649829036</v>
      </c>
      <c r="AL27" s="71">
        <f t="shared" si="18"/>
        <v>158736.3704575508</v>
      </c>
      <c r="AM27" s="71">
        <f t="shared" si="18"/>
        <v>170403.28134923716</v>
      </c>
      <c r="AN27" s="71">
        <f t="shared" si="18"/>
        <v>182614.58425408759</v>
      </c>
      <c r="AO27" s="71">
        <f t="shared" si="18"/>
        <v>195373.80424020247</v>
      </c>
      <c r="AP27" s="71">
        <f t="shared" si="18"/>
        <v>208683.23910301441</v>
      </c>
      <c r="AQ27" s="71">
        <f t="shared" si="18"/>
        <v>222543.9487763939</v>
      </c>
      <c r="AR27" s="71">
        <f t="shared" si="18"/>
        <v>236955.75132409864</v>
      </c>
      <c r="AS27" s="71">
        <f t="shared" si="18"/>
        <v>251917.22536739323</v>
      </c>
      <c r="AT27" s="71">
        <f t="shared" si="18"/>
        <v>267425.71875549818</v>
      </c>
      <c r="AU27" s="71">
        <f t="shared" si="18"/>
        <v>283477.36324091739</v>
      </c>
      <c r="AV27" s="71">
        <f t="shared" si="18"/>
        <v>300067.09488188679</v>
      </c>
      <c r="AW27" s="71">
        <f t="shared" si="18"/>
        <v>317188.67985934939</v>
      </c>
      <c r="AX27" s="71">
        <f t="shared" si="18"/>
        <v>334834.74536607461</v>
      </c>
      <c r="AY27" s="71">
        <f t="shared" si="18"/>
        <v>352996.81520080357</v>
      </c>
      <c r="AZ27" s="71">
        <f t="shared" si="18"/>
        <v>371665.34968055709</v>
      </c>
      <c r="BA27" s="71">
        <f t="shared" si="18"/>
        <v>390829.78946936032</v>
      </c>
      <c r="BB27" s="71">
        <f t="shared" si="18"/>
        <v>410478.60291143652</v>
      </c>
    </row>
    <row r="28" spans="1:54">
      <c r="C28" s="71" t="s">
        <v>288</v>
      </c>
    </row>
    <row r="29" spans="1:54">
      <c r="A29" t="s">
        <v>496</v>
      </c>
    </row>
    <row r="30" spans="1:54">
      <c r="A30" s="262" t="s">
        <v>503</v>
      </c>
      <c r="B30" s="262"/>
      <c r="C30" s="262">
        <v>28956</v>
      </c>
      <c r="D30" s="262">
        <v>35238</v>
      </c>
      <c r="E30" s="262">
        <v>48238</v>
      </c>
      <c r="F30" s="262">
        <v>32047</v>
      </c>
      <c r="G30" s="262">
        <v>29473</v>
      </c>
      <c r="H30" s="262">
        <v>35238</v>
      </c>
      <c r="I30" s="262">
        <v>52075</v>
      </c>
      <c r="J30" s="262">
        <v>31321</v>
      </c>
      <c r="K30" s="262">
        <v>32693</v>
      </c>
      <c r="L30" s="262">
        <v>35197</v>
      </c>
      <c r="M30">
        <v>62130</v>
      </c>
      <c r="N30">
        <v>46447</v>
      </c>
      <c r="O30">
        <v>40899</v>
      </c>
      <c r="P30">
        <v>42790</v>
      </c>
      <c r="Q30">
        <v>64309</v>
      </c>
      <c r="R30">
        <v>49290</v>
      </c>
      <c r="S30">
        <v>41485</v>
      </c>
      <c r="T30">
        <v>46387</v>
      </c>
      <c r="U30">
        <v>60765</v>
      </c>
      <c r="V30">
        <v>46795</v>
      </c>
      <c r="W30">
        <v>39136</v>
      </c>
      <c r="X30">
        <v>43350</v>
      </c>
      <c r="Z30">
        <f>SUM(E30:H30)</f>
        <v>144996</v>
      </c>
      <c r="AA30">
        <f>SUM(I30:L30)</f>
        <v>151286</v>
      </c>
      <c r="AB30">
        <f>SUM(M30:P30)</f>
        <v>192266</v>
      </c>
      <c r="AC30">
        <f>SUM(Q30:T30)</f>
        <v>201471</v>
      </c>
      <c r="AD30">
        <f>SUM(U30:X30)</f>
        <v>190046</v>
      </c>
      <c r="AE30">
        <f>AE9*AE26</f>
        <v>198796.66806999993</v>
      </c>
      <c r="AF30">
        <f t="shared" ref="AF30:BB30" si="19">AF9*AF26</f>
        <v>207833.84830441131</v>
      </c>
      <c r="AG30">
        <f t="shared" si="19"/>
        <v>217161.731238462</v>
      </c>
      <c r="AH30">
        <f t="shared" si="19"/>
        <v>226784.38120445397</v>
      </c>
      <c r="AI30">
        <f t="shared" si="19"/>
        <v>236705.73094695766</v>
      </c>
      <c r="AJ30">
        <f t="shared" si="19"/>
        <v>246929.57643898326</v>
      </c>
      <c r="AK30">
        <f t="shared" si="19"/>
        <v>257459.57190833043</v>
      </c>
      <c r="AL30">
        <f t="shared" si="19"/>
        <v>268299.22508264828</v>
      </c>
      <c r="AM30">
        <f t="shared" si="19"/>
        <v>279451.89266105503</v>
      </c>
      <c r="AN30">
        <f t="shared" si="19"/>
        <v>290920.7760194756</v>
      </c>
      <c r="AO30">
        <f t="shared" si="19"/>
        <v>302708.91715615429</v>
      </c>
      <c r="AP30">
        <f t="shared" si="19"/>
        <v>314819.19488309877</v>
      </c>
      <c r="AQ30">
        <f t="shared" si="19"/>
        <v>327254.32126850577</v>
      </c>
      <c r="AR30">
        <f t="shared" si="19"/>
        <v>340016.83833451505</v>
      </c>
      <c r="AS30">
        <f t="shared" si="19"/>
        <v>353109.1150139395</v>
      </c>
      <c r="AT30">
        <f t="shared" si="19"/>
        <v>366533.34436892427</v>
      </c>
      <c r="AU30">
        <f t="shared" si="19"/>
        <v>380291.54107380292</v>
      </c>
      <c r="AV30">
        <f t="shared" si="19"/>
        <v>394385.53916374309</v>
      </c>
      <c r="AW30">
        <f t="shared" si="19"/>
        <v>408816.99005011184</v>
      </c>
      <c r="AX30">
        <f t="shared" si="19"/>
        <v>423587.36080284324</v>
      </c>
      <c r="AY30">
        <f t="shared" si="19"/>
        <v>438697.93269945658</v>
      </c>
      <c r="AZ30">
        <f t="shared" si="19"/>
        <v>454149.80003976275</v>
      </c>
      <c r="BA30">
        <f t="shared" si="19"/>
        <v>469943.86922469834</v>
      </c>
      <c r="BB30">
        <f t="shared" si="19"/>
        <v>486080.85809715459</v>
      </c>
    </row>
    <row r="31" spans="1:54">
      <c r="A31" s="262" t="s">
        <v>504</v>
      </c>
      <c r="B31" s="262"/>
      <c r="C31" s="262">
        <v>3888</v>
      </c>
      <c r="D31" s="262">
        <v>4489</v>
      </c>
      <c r="E31" s="262">
        <v>4041</v>
      </c>
      <c r="F31" s="262">
        <v>4147</v>
      </c>
      <c r="G31" s="262">
        <v>4109</v>
      </c>
      <c r="H31" s="262">
        <v>4489</v>
      </c>
      <c r="I31" s="262">
        <v>4527</v>
      </c>
      <c r="J31" s="262">
        <v>4622</v>
      </c>
      <c r="K31" s="262">
        <v>4312</v>
      </c>
      <c r="L31" s="262">
        <v>4812</v>
      </c>
      <c r="M31">
        <v>4981</v>
      </c>
      <c r="N31">
        <v>5058</v>
      </c>
      <c r="O31">
        <v>5280</v>
      </c>
      <c r="P31">
        <v>5396</v>
      </c>
      <c r="Q31">
        <v>5393</v>
      </c>
      <c r="R31">
        <v>5429</v>
      </c>
      <c r="S31">
        <v>5589</v>
      </c>
      <c r="T31">
        <v>5664</v>
      </c>
      <c r="U31">
        <v>6057</v>
      </c>
      <c r="V31">
        <v>6065</v>
      </c>
      <c r="W31">
        <v>6248</v>
      </c>
      <c r="X31">
        <v>6134</v>
      </c>
      <c r="Z31">
        <f>SUM(E31:H31)</f>
        <v>16786</v>
      </c>
      <c r="AA31">
        <f>SUM(I31:L31)</f>
        <v>18273</v>
      </c>
      <c r="AB31">
        <f>SUM(M31:P31)</f>
        <v>20715</v>
      </c>
      <c r="AC31">
        <f>SUM(Q31:T31)</f>
        <v>22075</v>
      </c>
      <c r="AD31">
        <f>SUM(U31:X31)</f>
        <v>24504</v>
      </c>
      <c r="AE31">
        <f>AE10*AE27</f>
        <v>26736.069360000001</v>
      </c>
      <c r="AF31">
        <f t="shared" ref="AF31:BB31" si="20">AF10*AF27</f>
        <v>29111.241605786334</v>
      </c>
      <c r="AG31">
        <f t="shared" si="20"/>
        <v>31633.492160691811</v>
      </c>
      <c r="AH31">
        <f t="shared" si="20"/>
        <v>34306.546324323434</v>
      </c>
      <c r="AI31">
        <f t="shared" si="20"/>
        <v>37133.860031012278</v>
      </c>
      <c r="AJ31">
        <f t="shared" si="20"/>
        <v>40118.602128219012</v>
      </c>
      <c r="AK31">
        <f t="shared" si="20"/>
        <v>43263.638289372757</v>
      </c>
      <c r="AL31">
        <f t="shared" si="20"/>
        <v>46571.516657223656</v>
      </c>
      <c r="AM31">
        <f t="shared" si="20"/>
        <v>50044.455295024622</v>
      </c>
      <c r="AN31">
        <f t="shared" si="20"/>
        <v>53684.331503995818</v>
      </c>
      <c r="AO31">
        <f t="shared" si="20"/>
        <v>57492.67304682338</v>
      </c>
      <c r="AP31">
        <f t="shared" si="20"/>
        <v>61470.651298637633</v>
      </c>
      <c r="AQ31">
        <f t="shared" si="20"/>
        <v>65619.076329219373</v>
      </c>
      <c r="AR31">
        <f t="shared" si="20"/>
        <v>69938.393903286866</v>
      </c>
      <c r="AS31">
        <f t="shared" si="20"/>
        <v>74428.684369785013</v>
      </c>
      <c r="AT31">
        <f t="shared" si="20"/>
        <v>79089.663396270262</v>
      </c>
      <c r="AU31">
        <f t="shared" si="20"/>
        <v>83920.684490874773</v>
      </c>
      <c r="AV31">
        <f t="shared" si="20"/>
        <v>88920.743242025026</v>
      </c>
      <c r="AW31">
        <f t="shared" si="20"/>
        <v>94088.483195147477</v>
      </c>
      <c r="AX31">
        <f t="shared" si="20"/>
        <v>99422.203276055487</v>
      </c>
      <c r="AY31">
        <f t="shared" si="20"/>
        <v>104919.86666259107</v>
      </c>
      <c r="AZ31">
        <f t="shared" si="20"/>
        <v>110579.11099939028</v>
      </c>
      <c r="BA31">
        <f t="shared" si="20"/>
        <v>116397.25984532754</v>
      </c>
      <c r="BB31">
        <f t="shared" si="20"/>
        <v>122371.33523923192</v>
      </c>
    </row>
    <row r="33" spans="1:54">
      <c r="A33" t="s">
        <v>384</v>
      </c>
      <c r="C33">
        <v>3701</v>
      </c>
      <c r="D33">
        <v>4110</v>
      </c>
      <c r="E33">
        <v>3902</v>
      </c>
      <c r="F33">
        <v>3948</v>
      </c>
      <c r="G33">
        <v>4257</v>
      </c>
      <c r="H33">
        <v>4110</v>
      </c>
      <c r="I33">
        <v>4451</v>
      </c>
      <c r="J33">
        <v>4565</v>
      </c>
      <c r="K33">
        <v>4758</v>
      </c>
      <c r="L33">
        <v>4978</v>
      </c>
      <c r="M33">
        <v>5163</v>
      </c>
      <c r="N33">
        <v>5262</v>
      </c>
      <c r="O33">
        <v>5717</v>
      </c>
      <c r="P33">
        <v>5772</v>
      </c>
      <c r="Q33">
        <v>6306</v>
      </c>
      <c r="R33">
        <v>6387</v>
      </c>
      <c r="S33">
        <v>6797</v>
      </c>
      <c r="T33">
        <v>6761</v>
      </c>
      <c r="U33">
        <v>7709</v>
      </c>
      <c r="V33">
        <v>7457</v>
      </c>
      <c r="W33">
        <v>7442</v>
      </c>
      <c r="X33">
        <v>7393</v>
      </c>
      <c r="Z33">
        <f>SUM(E33:H33)</f>
        <v>16217</v>
      </c>
      <c r="AA33">
        <f>SUM(I33:L33)</f>
        <v>18752</v>
      </c>
      <c r="AB33">
        <f>SUM(M33:P33)</f>
        <v>21914</v>
      </c>
      <c r="AC33">
        <f>SUM(Q33:T33)</f>
        <v>26251</v>
      </c>
      <c r="AD33">
        <f>SUM(U33:X33)</f>
        <v>30001</v>
      </c>
      <c r="AE33">
        <f>AE12*AE$25</f>
        <v>31964.235807797028</v>
      </c>
      <c r="AF33">
        <f t="shared" ref="AF33:BB33" si="21">AF12*AF$25</f>
        <v>34035.477750592836</v>
      </c>
      <c r="AG33">
        <f t="shared" si="21"/>
        <v>36218.813790341548</v>
      </c>
      <c r="AH33">
        <f t="shared" si="21"/>
        <v>38518.346165832445</v>
      </c>
      <c r="AI33">
        <f t="shared" si="21"/>
        <v>40938.183344336241</v>
      </c>
      <c r="AJ33">
        <f t="shared" si="21"/>
        <v>43482.432028956508</v>
      </c>
      <c r="AK33">
        <f t="shared" si="21"/>
        <v>46155.18927241159</v>
      </c>
      <c r="AL33">
        <f t="shared" si="21"/>
        <v>48960.534745766687</v>
      </c>
      <c r="AM33">
        <f t="shared" si="21"/>
        <v>51902.523208004182</v>
      </c>
      <c r="AN33">
        <f t="shared" si="21"/>
        <v>54985.177219318335</v>
      </c>
      <c r="AO33">
        <f t="shared" si="21"/>
        <v>58212.480137703489</v>
      </c>
      <c r="AP33">
        <f t="shared" si="21"/>
        <v>61588.369434832457</v>
      </c>
      <c r="AQ33">
        <f t="shared" si="21"/>
        <v>65116.730363448361</v>
      </c>
      <c r="AR33">
        <f t="shared" si="21"/>
        <v>68801.390004578323</v>
      </c>
      <c r="AS33">
        <f t="shared" si="21"/>
        <v>72646.111718873435</v>
      </c>
      <c r="AT33">
        <f t="shared" si="21"/>
        <v>76654.590022339762</v>
      </c>
      <c r="AU33">
        <f t="shared" si="21"/>
        <v>80830.445902697335</v>
      </c>
      <c r="AV33">
        <f t="shared" si="21"/>
        <v>85177.222588635006</v>
      </c>
      <c r="AW33">
        <f t="shared" si="21"/>
        <v>89698.38178035774</v>
      </c>
      <c r="AX33">
        <f t="shared" si="21"/>
        <v>94397.300346087504</v>
      </c>
      <c r="AY33">
        <f t="shared" si="21"/>
        <v>99277.267485610209</v>
      </c>
      <c r="AZ33">
        <f t="shared" si="21"/>
        <v>104341.48235858878</v>
      </c>
      <c r="BA33">
        <f t="shared" si="21"/>
        <v>109593.05217220577</v>
      </c>
      <c r="BB33">
        <f t="shared" si="21"/>
        <v>115034.99071977998</v>
      </c>
    </row>
    <row r="34" spans="1:54">
      <c r="A34" t="s">
        <v>497</v>
      </c>
      <c r="C34">
        <v>4108</v>
      </c>
      <c r="D34">
        <v>4578</v>
      </c>
      <c r="E34">
        <v>4783</v>
      </c>
      <c r="F34">
        <v>4458</v>
      </c>
      <c r="G34">
        <v>4426</v>
      </c>
      <c r="H34">
        <v>4578</v>
      </c>
      <c r="I34">
        <v>5197</v>
      </c>
      <c r="J34">
        <v>4952</v>
      </c>
      <c r="K34">
        <v>4831</v>
      </c>
      <c r="L34">
        <v>4936</v>
      </c>
      <c r="M34">
        <v>5631</v>
      </c>
      <c r="N34">
        <v>5314</v>
      </c>
      <c r="O34">
        <v>5412</v>
      </c>
      <c r="P34">
        <v>5616</v>
      </c>
      <c r="Q34">
        <v>6449</v>
      </c>
      <c r="R34">
        <v>6193</v>
      </c>
      <c r="S34">
        <v>6012</v>
      </c>
      <c r="T34">
        <v>6440</v>
      </c>
      <c r="U34">
        <v>6607</v>
      </c>
      <c r="V34">
        <v>6201</v>
      </c>
      <c r="W34">
        <v>5973</v>
      </c>
      <c r="X34">
        <v>6220</v>
      </c>
      <c r="Z34">
        <f>SUM(E34:H34)</f>
        <v>18245</v>
      </c>
      <c r="AA34">
        <f>SUM(I34:L34)</f>
        <v>19916</v>
      </c>
      <c r="AB34">
        <f>SUM(M34:P34)</f>
        <v>21973</v>
      </c>
      <c r="AC34">
        <f>SUM(Q34:T34)</f>
        <v>25094</v>
      </c>
      <c r="AD34">
        <f>SUM(U34:X34)</f>
        <v>25001</v>
      </c>
      <c r="AE34">
        <f>AE13*AE$25</f>
        <v>26399.680977306176</v>
      </c>
      <c r="AF34">
        <f t="shared" ref="AF34:BB34" si="22">AF13*AF$25</f>
        <v>27859.858585115609</v>
      </c>
      <c r="AG34">
        <f t="shared" si="22"/>
        <v>29382.854379577526</v>
      </c>
      <c r="AH34">
        <f t="shared" si="22"/>
        <v>30969.920876180302</v>
      </c>
      <c r="AI34">
        <f t="shared" si="22"/>
        <v>32622.236682371207</v>
      </c>
      <c r="AJ34">
        <f t="shared" si="22"/>
        <v>34340.901991636005</v>
      </c>
      <c r="AK34">
        <f t="shared" si="22"/>
        <v>36126.934465653205</v>
      </c>
      <c r="AL34">
        <f t="shared" si="22"/>
        <v>37981.265526943418</v>
      </c>
      <c r="AM34">
        <f t="shared" si="22"/>
        <v>39904.737080156665</v>
      </c>
      <c r="AN34">
        <f t="shared" si="22"/>
        <v>41898.098675839719</v>
      </c>
      <c r="AO34">
        <f t="shared" si="22"/>
        <v>43962.005126260148</v>
      </c>
      <c r="AP34">
        <f t="shared" si="22"/>
        <v>46097.0145786867</v>
      </c>
      <c r="AQ34">
        <f t="shared" si="22"/>
        <v>48303.587047484914</v>
      </c>
      <c r="AR34">
        <f t="shared" si="22"/>
        <v>50582.083402526026</v>
      </c>
      <c r="AS34">
        <f t="shared" si="22"/>
        <v>52932.764807762956</v>
      </c>
      <c r="AT34">
        <f t="shared" si="22"/>
        <v>55355.792600431225</v>
      </c>
      <c r="AU34">
        <f t="shared" si="22"/>
        <v>57851.228598209869</v>
      </c>
      <c r="AV34">
        <f t="shared" si="22"/>
        <v>60419.035818848635</v>
      </c>
      <c r="AW34">
        <f t="shared" si="22"/>
        <v>63059.079594245952</v>
      </c>
      <c r="AX34">
        <f t="shared" si="22"/>
        <v>65771.129058756298</v>
      </c>
      <c r="AY34">
        <f t="shared" si="22"/>
        <v>68554.858989620319</v>
      </c>
      <c r="AZ34">
        <f t="shared" si="22"/>
        <v>71409.851975844373</v>
      </c>
      <c r="BA34">
        <f t="shared" si="22"/>
        <v>74335.600890603324</v>
      </c>
      <c r="BB34">
        <f t="shared" si="22"/>
        <v>77331.511641293531</v>
      </c>
    </row>
    <row r="36" spans="1:54">
      <c r="A36" s="71" t="s">
        <v>505</v>
      </c>
      <c r="C36">
        <f>C25-C30-C31-C33-C34</f>
        <v>12612</v>
      </c>
      <c r="D36">
        <f t="shared" ref="D36:BB36" si="23">D25-D30-D31-D33-D34</f>
        <v>15625</v>
      </c>
      <c r="E36">
        <f t="shared" si="23"/>
        <v>23346</v>
      </c>
      <c r="F36">
        <f t="shared" si="23"/>
        <v>13415</v>
      </c>
      <c r="G36">
        <f t="shared" si="23"/>
        <v>11544</v>
      </c>
      <c r="H36">
        <f t="shared" si="23"/>
        <v>15625</v>
      </c>
      <c r="I36">
        <f t="shared" si="23"/>
        <v>25569</v>
      </c>
      <c r="J36">
        <f t="shared" si="23"/>
        <v>12853</v>
      </c>
      <c r="K36">
        <f t="shared" si="23"/>
        <v>13091</v>
      </c>
      <c r="L36">
        <f t="shared" si="23"/>
        <v>14775</v>
      </c>
      <c r="M36">
        <f t="shared" si="23"/>
        <v>33534</v>
      </c>
      <c r="N36">
        <f t="shared" si="23"/>
        <v>27503</v>
      </c>
      <c r="O36">
        <f t="shared" si="23"/>
        <v>24126</v>
      </c>
      <c r="P36">
        <f t="shared" si="23"/>
        <v>23786</v>
      </c>
      <c r="Q36">
        <f t="shared" si="23"/>
        <v>41488</v>
      </c>
      <c r="R36">
        <f t="shared" si="23"/>
        <v>29979</v>
      </c>
      <c r="S36">
        <f t="shared" si="23"/>
        <v>23076</v>
      </c>
      <c r="T36">
        <f t="shared" si="23"/>
        <v>24894</v>
      </c>
      <c r="U36">
        <f t="shared" si="23"/>
        <v>36016</v>
      </c>
      <c r="V36">
        <f t="shared" si="23"/>
        <v>28318</v>
      </c>
      <c r="W36">
        <f t="shared" si="23"/>
        <v>22998</v>
      </c>
      <c r="X36">
        <f>X25-X30-X31-X33-X34</f>
        <v>26185</v>
      </c>
      <c r="Z36">
        <f t="shared" si="23"/>
        <v>63930</v>
      </c>
      <c r="AA36">
        <f t="shared" si="23"/>
        <v>66288</v>
      </c>
      <c r="AB36">
        <f t="shared" si="23"/>
        <v>108949</v>
      </c>
      <c r="AC36">
        <f t="shared" si="23"/>
        <v>119437</v>
      </c>
      <c r="AD36">
        <f t="shared" si="23"/>
        <v>113517</v>
      </c>
      <c r="AE36">
        <f t="shared" si="23"/>
        <v>120199.04578489682</v>
      </c>
      <c r="AF36">
        <f t="shared" si="23"/>
        <v>127179.9587832439</v>
      </c>
      <c r="AG36">
        <f t="shared" si="23"/>
        <v>134463.59737029963</v>
      </c>
      <c r="AH36">
        <f t="shared" si="23"/>
        <v>142053.12225435593</v>
      </c>
      <c r="AI36">
        <f t="shared" si="23"/>
        <v>149950.9652669894</v>
      </c>
      <c r="AJ36">
        <f t="shared" si="23"/>
        <v>158158.8019490779</v>
      </c>
      <c r="AK36">
        <f t="shared" si="23"/>
        <v>166677.52809649881</v>
      </c>
      <c r="AL36">
        <f t="shared" si="23"/>
        <v>175507.24038806168</v>
      </c>
      <c r="AM36">
        <f t="shared" si="23"/>
        <v>184647.22117707078</v>
      </c>
      <c r="AN36">
        <f t="shared" si="23"/>
        <v>194095.92748750985</v>
      </c>
      <c r="AO36">
        <f t="shared" si="23"/>
        <v>203850.98421668384</v>
      </c>
      <c r="AP36">
        <f t="shared" si="23"/>
        <v>213909.18150870985</v>
      </c>
      <c r="AQ36">
        <f t="shared" si="23"/>
        <v>224266.47622788875</v>
      </c>
      <c r="AR36">
        <f t="shared" si="23"/>
        <v>234917.99742806063</v>
      </c>
      <c r="AS36">
        <f t="shared" si="23"/>
        <v>245858.05568381955</v>
      </c>
      <c r="AT36">
        <f t="shared" si="23"/>
        <v>257080.1561221451</v>
      </c>
      <c r="AU36">
        <f t="shared" si="23"/>
        <v>268577.01496875513</v>
      </c>
      <c r="AV36">
        <f t="shared" si="23"/>
        <v>280340.57940240635</v>
      </c>
      <c r="AW36">
        <f t="shared" si="23"/>
        <v>292362.050492496</v>
      </c>
      <c r="AX36">
        <f t="shared" si="23"/>
        <v>304631.90898065845</v>
      </c>
      <c r="AY36">
        <f t="shared" si="23"/>
        <v>317139.94365555886</v>
      </c>
      <c r="AZ36">
        <f t="shared" si="23"/>
        <v>329875.28206166747</v>
      </c>
      <c r="BA36">
        <f t="shared" si="23"/>
        <v>342826.42327734496</v>
      </c>
      <c r="BB36">
        <f t="shared" si="23"/>
        <v>355981.2724949175</v>
      </c>
    </row>
    <row r="37" spans="1:54">
      <c r="AB37" s="71"/>
      <c r="AC37" s="71"/>
    </row>
    <row r="38" spans="1:54">
      <c r="A38" t="s">
        <v>506</v>
      </c>
      <c r="C38">
        <v>672</v>
      </c>
      <c r="D38">
        <v>502</v>
      </c>
      <c r="E38">
        <v>560</v>
      </c>
      <c r="F38">
        <v>378</v>
      </c>
      <c r="G38">
        <v>367</v>
      </c>
      <c r="H38">
        <v>502</v>
      </c>
      <c r="I38">
        <v>349</v>
      </c>
      <c r="J38">
        <v>282</v>
      </c>
      <c r="K38">
        <v>46</v>
      </c>
      <c r="L38">
        <v>126</v>
      </c>
      <c r="M38">
        <v>45</v>
      </c>
      <c r="N38">
        <v>508</v>
      </c>
      <c r="O38">
        <v>243</v>
      </c>
      <c r="P38">
        <v>-538</v>
      </c>
      <c r="Q38">
        <v>-247</v>
      </c>
      <c r="R38">
        <v>160</v>
      </c>
      <c r="S38">
        <v>-10</v>
      </c>
      <c r="T38">
        <v>-237</v>
      </c>
      <c r="U38">
        <v>-393</v>
      </c>
      <c r="V38">
        <v>64</v>
      </c>
      <c r="W38">
        <v>-265</v>
      </c>
      <c r="Z38">
        <f>SUM(E38:H38)</f>
        <v>1807</v>
      </c>
      <c r="AA38">
        <f>SUM(I38:L38)</f>
        <v>803</v>
      </c>
      <c r="AB38">
        <f>SUM(M38:P38)</f>
        <v>258</v>
      </c>
      <c r="AC38">
        <f>SUM(Q38:T38)</f>
        <v>-334</v>
      </c>
    </row>
    <row r="39" spans="1:54">
      <c r="AC39" s="71"/>
    </row>
    <row r="40" spans="1:54">
      <c r="A40" t="s">
        <v>507</v>
      </c>
      <c r="C40">
        <f t="shared" ref="C40:W40" si="24">C26+C27-C30-C31-C33-C34+C38</f>
        <v>13284</v>
      </c>
      <c r="D40">
        <f t="shared" si="24"/>
        <v>16127</v>
      </c>
      <c r="E40">
        <f t="shared" si="24"/>
        <v>23906</v>
      </c>
      <c r="F40">
        <f t="shared" si="24"/>
        <v>13793</v>
      </c>
      <c r="G40">
        <f t="shared" si="24"/>
        <v>11911</v>
      </c>
      <c r="H40">
        <f t="shared" si="24"/>
        <v>16127</v>
      </c>
      <c r="I40">
        <f t="shared" si="24"/>
        <v>25918</v>
      </c>
      <c r="J40">
        <f t="shared" si="24"/>
        <v>13135</v>
      </c>
      <c r="K40">
        <f t="shared" si="24"/>
        <v>13137</v>
      </c>
      <c r="L40">
        <f t="shared" si="24"/>
        <v>14901</v>
      </c>
      <c r="M40">
        <f t="shared" si="24"/>
        <v>33579</v>
      </c>
      <c r="N40">
        <f t="shared" si="24"/>
        <v>28011</v>
      </c>
      <c r="O40">
        <f t="shared" si="24"/>
        <v>24369</v>
      </c>
      <c r="P40">
        <f t="shared" si="24"/>
        <v>23248</v>
      </c>
      <c r="Q40">
        <f t="shared" si="24"/>
        <v>41241</v>
      </c>
      <c r="R40">
        <f t="shared" si="24"/>
        <v>30139</v>
      </c>
      <c r="S40">
        <f t="shared" si="24"/>
        <v>23066</v>
      </c>
      <c r="T40">
        <f t="shared" si="24"/>
        <v>24657</v>
      </c>
      <c r="U40">
        <f t="shared" si="24"/>
        <v>35623</v>
      </c>
      <c r="V40">
        <f t="shared" si="24"/>
        <v>28382</v>
      </c>
      <c r="W40">
        <f t="shared" si="24"/>
        <v>22733</v>
      </c>
      <c r="Z40">
        <f>SUM(E40:H40)</f>
        <v>65737</v>
      </c>
      <c r="AA40">
        <f>SUM(I40:L40)</f>
        <v>67091</v>
      </c>
      <c r="AB40">
        <f>SUM(M40:P40)</f>
        <v>109207</v>
      </c>
      <c r="AC40">
        <f>SUM(Q40:T40)</f>
        <v>119103</v>
      </c>
    </row>
    <row r="41" spans="1:54">
      <c r="A41" t="s">
        <v>508</v>
      </c>
      <c r="C41">
        <v>1765</v>
      </c>
      <c r="D41">
        <v>2441</v>
      </c>
      <c r="E41">
        <v>3941</v>
      </c>
      <c r="F41">
        <v>2232</v>
      </c>
      <c r="G41">
        <v>1867</v>
      </c>
      <c r="H41">
        <v>2441</v>
      </c>
      <c r="I41">
        <v>3682</v>
      </c>
      <c r="J41">
        <v>1886</v>
      </c>
      <c r="K41">
        <v>1884</v>
      </c>
      <c r="L41">
        <v>2228</v>
      </c>
      <c r="M41">
        <v>4824</v>
      </c>
      <c r="N41">
        <v>4381</v>
      </c>
      <c r="O41">
        <v>2625</v>
      </c>
      <c r="P41">
        <v>2697</v>
      </c>
      <c r="Q41">
        <v>6611</v>
      </c>
      <c r="R41">
        <v>5129</v>
      </c>
      <c r="S41">
        <v>3624</v>
      </c>
      <c r="T41">
        <v>3936</v>
      </c>
      <c r="U41">
        <v>5625</v>
      </c>
      <c r="V41">
        <v>4222</v>
      </c>
      <c r="W41">
        <v>2852</v>
      </c>
      <c r="Z41">
        <f>SUM(E41:H41)</f>
        <v>10481</v>
      </c>
      <c r="AA41">
        <f>SUM(I41:L41)</f>
        <v>9680</v>
      </c>
      <c r="AB41">
        <f>SUM(M41:P41)</f>
        <v>14527</v>
      </c>
      <c r="AC41">
        <f>SUM(Q41:T41)</f>
        <v>19300</v>
      </c>
    </row>
    <row r="42" spans="1:54">
      <c r="A42" t="s">
        <v>509</v>
      </c>
      <c r="C42">
        <f t="shared" ref="C42:W42" si="25">C40-C41</f>
        <v>11519</v>
      </c>
      <c r="D42">
        <f t="shared" si="25"/>
        <v>13686</v>
      </c>
      <c r="E42">
        <f t="shared" si="25"/>
        <v>19965</v>
      </c>
      <c r="F42">
        <f t="shared" si="25"/>
        <v>11561</v>
      </c>
      <c r="G42">
        <f t="shared" si="25"/>
        <v>10044</v>
      </c>
      <c r="H42">
        <f t="shared" si="25"/>
        <v>13686</v>
      </c>
      <c r="I42">
        <f t="shared" si="25"/>
        <v>22236</v>
      </c>
      <c r="J42">
        <f t="shared" si="25"/>
        <v>11249</v>
      </c>
      <c r="K42">
        <f t="shared" si="25"/>
        <v>11253</v>
      </c>
      <c r="L42">
        <f t="shared" si="25"/>
        <v>12673</v>
      </c>
      <c r="M42">
        <f t="shared" si="25"/>
        <v>28755</v>
      </c>
      <c r="N42">
        <f t="shared" si="25"/>
        <v>23630</v>
      </c>
      <c r="O42">
        <f t="shared" si="25"/>
        <v>21744</v>
      </c>
      <c r="P42">
        <f t="shared" si="25"/>
        <v>20551</v>
      </c>
      <c r="Q42">
        <f t="shared" si="25"/>
        <v>34630</v>
      </c>
      <c r="R42">
        <f t="shared" si="25"/>
        <v>25010</v>
      </c>
      <c r="S42">
        <f t="shared" si="25"/>
        <v>19442</v>
      </c>
      <c r="T42">
        <f t="shared" si="25"/>
        <v>20721</v>
      </c>
      <c r="U42">
        <f t="shared" si="25"/>
        <v>29998</v>
      </c>
      <c r="V42">
        <f t="shared" si="25"/>
        <v>24160</v>
      </c>
      <c r="W42">
        <f t="shared" si="25"/>
        <v>19881</v>
      </c>
    </row>
    <row r="45" spans="1:54">
      <c r="A45" t="s">
        <v>499</v>
      </c>
      <c r="E45">
        <v>3395</v>
      </c>
      <c r="F45">
        <v>6435</v>
      </c>
      <c r="G45">
        <v>9368</v>
      </c>
      <c r="H45">
        <v>12547</v>
      </c>
      <c r="I45">
        <v>2816</v>
      </c>
      <c r="J45">
        <v>5602</v>
      </c>
      <c r="K45">
        <v>8354</v>
      </c>
      <c r="L45">
        <v>11056</v>
      </c>
      <c r="M45">
        <v>2666</v>
      </c>
      <c r="N45">
        <v>5463</v>
      </c>
      <c r="O45">
        <v>8295</v>
      </c>
      <c r="P45">
        <v>11284</v>
      </c>
      <c r="Q45">
        <v>2697</v>
      </c>
      <c r="R45">
        <v>5434</v>
      </c>
      <c r="S45">
        <v>8239</v>
      </c>
      <c r="T45">
        <v>11104</v>
      </c>
      <c r="U45">
        <v>2916</v>
      </c>
      <c r="V45">
        <v>5814</v>
      </c>
      <c r="W45">
        <v>8866</v>
      </c>
    </row>
    <row r="46" spans="1:54">
      <c r="A46" t="s">
        <v>500</v>
      </c>
      <c r="E46">
        <v>1559</v>
      </c>
      <c r="F46">
        <v>3073</v>
      </c>
      <c r="G46">
        <v>4569</v>
      </c>
      <c r="H46">
        <v>6068</v>
      </c>
      <c r="I46">
        <v>1710</v>
      </c>
      <c r="J46">
        <v>3407</v>
      </c>
      <c r="K46">
        <v>5105</v>
      </c>
      <c r="L46">
        <v>6829</v>
      </c>
      <c r="M46">
        <v>2020</v>
      </c>
      <c r="N46">
        <v>4001</v>
      </c>
      <c r="O46">
        <v>5961</v>
      </c>
      <c r="P46">
        <v>7906</v>
      </c>
      <c r="Q46">
        <v>2265</v>
      </c>
      <c r="R46">
        <v>4517</v>
      </c>
      <c r="S46">
        <v>6760</v>
      </c>
      <c r="T46">
        <v>9038</v>
      </c>
      <c r="U46">
        <v>2905</v>
      </c>
      <c r="V46">
        <v>5591</v>
      </c>
      <c r="W46">
        <v>8208</v>
      </c>
    </row>
    <row r="47" spans="1:54">
      <c r="A47" t="s">
        <v>510</v>
      </c>
      <c r="E47">
        <v>1318</v>
      </c>
      <c r="F47">
        <v>1037</v>
      </c>
      <c r="G47">
        <v>2325</v>
      </c>
      <c r="H47">
        <v>2036</v>
      </c>
      <c r="I47">
        <v>1377</v>
      </c>
      <c r="J47">
        <v>1136</v>
      </c>
      <c r="K47">
        <v>2804</v>
      </c>
      <c r="L47">
        <v>2754</v>
      </c>
      <c r="M47">
        <v>2861</v>
      </c>
      <c r="N47">
        <v>3160</v>
      </c>
      <c r="O47">
        <v>5855</v>
      </c>
      <c r="P47">
        <v>6556</v>
      </c>
      <c r="Q47">
        <v>2888</v>
      </c>
      <c r="R47">
        <v>3218</v>
      </c>
      <c r="S47">
        <v>5915</v>
      </c>
      <c r="T47">
        <v>6223</v>
      </c>
      <c r="U47">
        <v>2316</v>
      </c>
      <c r="V47">
        <v>2734</v>
      </c>
      <c r="W47">
        <v>5119</v>
      </c>
    </row>
    <row r="48" spans="1:54">
      <c r="A48" t="s">
        <v>84</v>
      </c>
      <c r="E48">
        <v>3355</v>
      </c>
      <c r="F48">
        <v>5718</v>
      </c>
      <c r="G48">
        <v>7718</v>
      </c>
      <c r="H48">
        <v>10495</v>
      </c>
      <c r="I48">
        <v>2107</v>
      </c>
      <c r="J48">
        <v>3960</v>
      </c>
      <c r="K48">
        <v>5525</v>
      </c>
      <c r="L48">
        <v>7309</v>
      </c>
      <c r="M48">
        <v>3500</v>
      </c>
      <c r="N48">
        <v>5769</v>
      </c>
      <c r="O48">
        <v>7862</v>
      </c>
      <c r="P48">
        <v>11085</v>
      </c>
      <c r="Q48">
        <v>2803</v>
      </c>
      <c r="R48">
        <v>5317</v>
      </c>
      <c r="S48">
        <v>7419</v>
      </c>
      <c r="T48">
        <v>10708</v>
      </c>
      <c r="U48">
        <v>3787</v>
      </c>
      <c r="V48">
        <v>6703</v>
      </c>
      <c r="W48">
        <v>8796</v>
      </c>
    </row>
    <row r="49" spans="1:29">
      <c r="A49" t="s">
        <v>511</v>
      </c>
      <c r="E49">
        <v>3568</v>
      </c>
      <c r="F49">
        <v>7011</v>
      </c>
      <c r="G49">
        <v>10640</v>
      </c>
      <c r="H49">
        <v>14119</v>
      </c>
      <c r="I49">
        <v>3539</v>
      </c>
      <c r="J49">
        <v>6914</v>
      </c>
      <c r="K49">
        <v>10570</v>
      </c>
      <c r="L49">
        <v>14081</v>
      </c>
      <c r="M49">
        <v>3613</v>
      </c>
      <c r="N49">
        <v>7060</v>
      </c>
      <c r="O49">
        <v>10827</v>
      </c>
      <c r="P49">
        <v>14467</v>
      </c>
      <c r="Q49">
        <v>3732</v>
      </c>
      <c r="R49">
        <v>7327</v>
      </c>
      <c r="S49">
        <v>11138</v>
      </c>
      <c r="T49">
        <v>14841</v>
      </c>
      <c r="U49">
        <v>3768</v>
      </c>
      <c r="V49">
        <v>7418</v>
      </c>
      <c r="W49">
        <v>11267</v>
      </c>
    </row>
    <row r="50" spans="1:29">
      <c r="A50" t="s">
        <v>512</v>
      </c>
      <c r="E50">
        <v>8796</v>
      </c>
      <c r="F50">
        <v>32498</v>
      </c>
      <c r="G50">
        <v>49463</v>
      </c>
      <c r="H50">
        <v>66897</v>
      </c>
      <c r="I50">
        <v>20706</v>
      </c>
      <c r="J50">
        <v>39280</v>
      </c>
      <c r="K50">
        <v>55171</v>
      </c>
      <c r="L50">
        <v>72358</v>
      </c>
      <c r="M50">
        <v>24775</v>
      </c>
      <c r="N50">
        <v>43323</v>
      </c>
      <c r="O50">
        <v>66223</v>
      </c>
      <c r="P50">
        <v>85971</v>
      </c>
      <c r="Q50">
        <v>20478</v>
      </c>
      <c r="R50">
        <v>43109</v>
      </c>
      <c r="S50">
        <v>64974</v>
      </c>
      <c r="T50">
        <v>89402</v>
      </c>
      <c r="U50">
        <v>19475</v>
      </c>
      <c r="V50">
        <v>39069</v>
      </c>
      <c r="W50">
        <v>56547</v>
      </c>
    </row>
    <row r="52" spans="1:29">
      <c r="A52" t="s">
        <v>499</v>
      </c>
      <c r="E52">
        <f>E45</f>
        <v>3395</v>
      </c>
      <c r="F52">
        <f t="shared" ref="F52" si="26">F45-E45</f>
        <v>3040</v>
      </c>
      <c r="G52">
        <f t="shared" ref="G52" si="27">G45-F45</f>
        <v>2933</v>
      </c>
      <c r="H52">
        <f t="shared" ref="H52" si="28">H45-G45</f>
        <v>3179</v>
      </c>
      <c r="I52">
        <f>I45</f>
        <v>2816</v>
      </c>
      <c r="J52">
        <f t="shared" ref="J52:K52" si="29">J45-I45</f>
        <v>2786</v>
      </c>
      <c r="K52">
        <f t="shared" si="29"/>
        <v>2752</v>
      </c>
      <c r="L52">
        <f>L45-K45</f>
        <v>2702</v>
      </c>
      <c r="M52">
        <f>M45</f>
        <v>2666</v>
      </c>
      <c r="N52">
        <f>N45-M45</f>
        <v>2797</v>
      </c>
      <c r="O52">
        <f>O45-N45</f>
        <v>2832</v>
      </c>
      <c r="P52">
        <f>P45-O45</f>
        <v>2989</v>
      </c>
      <c r="Q52">
        <f>Q45</f>
        <v>2697</v>
      </c>
      <c r="R52">
        <f>R45-Q45</f>
        <v>2737</v>
      </c>
      <c r="S52">
        <f>S45-R45</f>
        <v>2805</v>
      </c>
      <c r="T52">
        <f>T45-S45</f>
        <v>2865</v>
      </c>
      <c r="U52">
        <f>U45</f>
        <v>2916</v>
      </c>
      <c r="V52">
        <f>V45-U45</f>
        <v>2898</v>
      </c>
      <c r="W52">
        <f>W45-V45</f>
        <v>3052</v>
      </c>
      <c r="X52">
        <v>3262</v>
      </c>
      <c r="Z52">
        <f>SUM(E52:H52)</f>
        <v>12547</v>
      </c>
      <c r="AA52">
        <f>SUM(I52:L52)</f>
        <v>11056</v>
      </c>
      <c r="AB52">
        <f>SUM(M52:P52)</f>
        <v>11284</v>
      </c>
      <c r="AC52">
        <f>SUM(Q52:T52)</f>
        <v>11104</v>
      </c>
    </row>
    <row r="53" spans="1:29">
      <c r="A53" t="s">
        <v>500</v>
      </c>
      <c r="E53">
        <f t="shared" ref="E53:E57" si="30">E46</f>
        <v>1559</v>
      </c>
      <c r="F53">
        <f t="shared" ref="F53" si="31">F46-E46</f>
        <v>1514</v>
      </c>
      <c r="G53">
        <f t="shared" ref="G53" si="32">G46-F46</f>
        <v>1496</v>
      </c>
      <c r="H53">
        <f t="shared" ref="H53" si="33">H46-G46</f>
        <v>1499</v>
      </c>
      <c r="I53">
        <f t="shared" ref="I53:I57" si="34">I46</f>
        <v>1710</v>
      </c>
      <c r="J53">
        <f t="shared" ref="J53:L57" si="35">J46-I46</f>
        <v>1697</v>
      </c>
      <c r="K53">
        <f t="shared" si="35"/>
        <v>1698</v>
      </c>
      <c r="L53">
        <f t="shared" si="35"/>
        <v>1724</v>
      </c>
      <c r="M53">
        <f t="shared" ref="M53:M57" si="36">M46</f>
        <v>2020</v>
      </c>
      <c r="N53">
        <f t="shared" ref="N53:P53" si="37">N46-M46</f>
        <v>1981</v>
      </c>
      <c r="O53">
        <f t="shared" si="37"/>
        <v>1960</v>
      </c>
      <c r="P53">
        <f t="shared" si="37"/>
        <v>1945</v>
      </c>
      <c r="Q53">
        <f t="shared" ref="Q53:Q57" si="38">Q46</f>
        <v>2265</v>
      </c>
      <c r="R53">
        <f t="shared" ref="R53:T53" si="39">R46-Q46</f>
        <v>2252</v>
      </c>
      <c r="S53">
        <f t="shared" si="39"/>
        <v>2243</v>
      </c>
      <c r="T53">
        <f t="shared" si="39"/>
        <v>2278</v>
      </c>
      <c r="U53">
        <f t="shared" ref="U53:U57" si="40">U46</f>
        <v>2905</v>
      </c>
      <c r="V53">
        <f t="shared" ref="V53:W53" si="41">V46-U46</f>
        <v>2686</v>
      </c>
      <c r="W53">
        <f t="shared" si="41"/>
        <v>2617</v>
      </c>
      <c r="Z53">
        <f t="shared" ref="Z53:Z57" si="42">SUM(E53:H53)</f>
        <v>6068</v>
      </c>
      <c r="AA53">
        <f t="shared" ref="AA53:AA57" si="43">SUM(I53:L53)</f>
        <v>6829</v>
      </c>
      <c r="AB53">
        <f t="shared" ref="AB53:AB57" si="44">SUM(M53:P53)</f>
        <v>7906</v>
      </c>
      <c r="AC53">
        <f t="shared" ref="AC53:AC57" si="45">SUM(Q53:T53)</f>
        <v>9038</v>
      </c>
    </row>
    <row r="54" spans="1:29">
      <c r="A54" t="s">
        <v>510</v>
      </c>
      <c r="E54">
        <f t="shared" si="30"/>
        <v>1318</v>
      </c>
      <c r="F54">
        <f t="shared" ref="F54" si="46">F47-E47</f>
        <v>-281</v>
      </c>
      <c r="G54">
        <f t="shared" ref="G54" si="47">G47-F47</f>
        <v>1288</v>
      </c>
      <c r="H54">
        <f t="shared" ref="H54" si="48">H47-G47</f>
        <v>-289</v>
      </c>
      <c r="I54">
        <f t="shared" si="34"/>
        <v>1377</v>
      </c>
      <c r="J54">
        <f t="shared" si="35"/>
        <v>-241</v>
      </c>
      <c r="K54">
        <f t="shared" si="35"/>
        <v>1668</v>
      </c>
      <c r="L54">
        <f t="shared" si="35"/>
        <v>-50</v>
      </c>
      <c r="M54">
        <f t="shared" si="36"/>
        <v>2861</v>
      </c>
      <c r="N54">
        <f t="shared" ref="N54:P54" si="49">N47-M47</f>
        <v>299</v>
      </c>
      <c r="O54">
        <f t="shared" si="49"/>
        <v>2695</v>
      </c>
      <c r="P54">
        <f t="shared" si="49"/>
        <v>701</v>
      </c>
      <c r="Q54">
        <f t="shared" si="38"/>
        <v>2888</v>
      </c>
      <c r="R54">
        <f t="shared" ref="R54:T54" si="50">R47-Q47</f>
        <v>330</v>
      </c>
      <c r="S54">
        <f t="shared" si="50"/>
        <v>2697</v>
      </c>
      <c r="T54">
        <f t="shared" si="50"/>
        <v>308</v>
      </c>
      <c r="U54">
        <f t="shared" si="40"/>
        <v>2316</v>
      </c>
      <c r="V54">
        <f t="shared" ref="V54:W54" si="51">V47-U47</f>
        <v>418</v>
      </c>
      <c r="W54">
        <f t="shared" si="51"/>
        <v>2385</v>
      </c>
      <c r="Z54">
        <f t="shared" si="42"/>
        <v>2036</v>
      </c>
      <c r="AA54">
        <f t="shared" si="43"/>
        <v>2754</v>
      </c>
      <c r="AB54">
        <f t="shared" si="44"/>
        <v>6556</v>
      </c>
      <c r="AC54">
        <f t="shared" si="45"/>
        <v>6223</v>
      </c>
    </row>
    <row r="55" spans="1:29">
      <c r="A55" t="s">
        <v>84</v>
      </c>
      <c r="E55">
        <f t="shared" si="30"/>
        <v>3355</v>
      </c>
      <c r="F55">
        <f t="shared" ref="F55" si="52">F48-E48</f>
        <v>2363</v>
      </c>
      <c r="G55">
        <f t="shared" ref="G55" si="53">G48-F48</f>
        <v>2000</v>
      </c>
      <c r="H55">
        <f t="shared" ref="H55" si="54">H48-G48</f>
        <v>2777</v>
      </c>
      <c r="I55">
        <f t="shared" si="34"/>
        <v>2107</v>
      </c>
      <c r="J55">
        <f t="shared" si="35"/>
        <v>1853</v>
      </c>
      <c r="K55">
        <f t="shared" si="35"/>
        <v>1565</v>
      </c>
      <c r="L55">
        <f t="shared" si="35"/>
        <v>1784</v>
      </c>
      <c r="M55">
        <f t="shared" si="36"/>
        <v>3500</v>
      </c>
      <c r="N55">
        <f t="shared" ref="N55:P55" si="55">N48-M48</f>
        <v>2269</v>
      </c>
      <c r="O55">
        <f t="shared" si="55"/>
        <v>2093</v>
      </c>
      <c r="P55">
        <f t="shared" si="55"/>
        <v>3223</v>
      </c>
      <c r="Q55">
        <f t="shared" si="38"/>
        <v>2803</v>
      </c>
      <c r="R55">
        <f t="shared" ref="R55:T55" si="56">R48-Q48</f>
        <v>2514</v>
      </c>
      <c r="S55">
        <f t="shared" si="56"/>
        <v>2102</v>
      </c>
      <c r="T55">
        <f t="shared" si="56"/>
        <v>3289</v>
      </c>
      <c r="U55">
        <f t="shared" si="40"/>
        <v>3787</v>
      </c>
      <c r="V55">
        <f t="shared" ref="V55:W55" si="57">V48-U48</f>
        <v>2916</v>
      </c>
      <c r="W55">
        <f t="shared" si="57"/>
        <v>2093</v>
      </c>
      <c r="Z55">
        <f t="shared" si="42"/>
        <v>10495</v>
      </c>
      <c r="AA55">
        <f t="shared" si="43"/>
        <v>7309</v>
      </c>
      <c r="AB55">
        <f t="shared" si="44"/>
        <v>11085</v>
      </c>
      <c r="AC55">
        <f t="shared" si="45"/>
        <v>10708</v>
      </c>
    </row>
    <row r="56" spans="1:29">
      <c r="A56" t="s">
        <v>511</v>
      </c>
      <c r="E56">
        <f t="shared" si="30"/>
        <v>3568</v>
      </c>
      <c r="F56">
        <f t="shared" ref="F56" si="58">F49-E49</f>
        <v>3443</v>
      </c>
      <c r="G56">
        <f t="shared" ref="G56" si="59">G49-F49</f>
        <v>3629</v>
      </c>
      <c r="H56">
        <f t="shared" ref="H56" si="60">H49-G49</f>
        <v>3479</v>
      </c>
      <c r="I56">
        <f t="shared" si="34"/>
        <v>3539</v>
      </c>
      <c r="J56">
        <f t="shared" si="35"/>
        <v>3375</v>
      </c>
      <c r="K56">
        <f t="shared" si="35"/>
        <v>3656</v>
      </c>
      <c r="L56">
        <f t="shared" si="35"/>
        <v>3511</v>
      </c>
      <c r="M56">
        <f t="shared" si="36"/>
        <v>3613</v>
      </c>
      <c r="N56">
        <f t="shared" ref="N56:P56" si="61">N49-M49</f>
        <v>3447</v>
      </c>
      <c r="O56">
        <f t="shared" si="61"/>
        <v>3767</v>
      </c>
      <c r="P56">
        <f t="shared" si="61"/>
        <v>3640</v>
      </c>
      <c r="Q56">
        <f t="shared" si="38"/>
        <v>3732</v>
      </c>
      <c r="R56">
        <f t="shared" ref="R56:T56" si="62">R49-Q49</f>
        <v>3595</v>
      </c>
      <c r="S56">
        <f t="shared" si="62"/>
        <v>3811</v>
      </c>
      <c r="T56">
        <f t="shared" si="62"/>
        <v>3703</v>
      </c>
      <c r="U56">
        <f t="shared" si="40"/>
        <v>3768</v>
      </c>
      <c r="V56">
        <f t="shared" ref="V56:W56" si="63">V49-U49</f>
        <v>3650</v>
      </c>
      <c r="W56">
        <f t="shared" si="63"/>
        <v>3849</v>
      </c>
      <c r="Z56">
        <f t="shared" si="42"/>
        <v>14119</v>
      </c>
      <c r="AA56">
        <f t="shared" si="43"/>
        <v>14081</v>
      </c>
      <c r="AB56">
        <f t="shared" si="44"/>
        <v>14467</v>
      </c>
      <c r="AC56">
        <f t="shared" si="45"/>
        <v>14841</v>
      </c>
    </row>
    <row r="57" spans="1:29">
      <c r="A57" t="s">
        <v>512</v>
      </c>
      <c r="E57">
        <f t="shared" si="30"/>
        <v>8796</v>
      </c>
      <c r="F57">
        <f t="shared" ref="F57" si="64">F50-E50</f>
        <v>23702</v>
      </c>
      <c r="G57">
        <f t="shared" ref="G57" si="65">G50-F50</f>
        <v>16965</v>
      </c>
      <c r="H57">
        <f t="shared" ref="H57" si="66">H50-G50</f>
        <v>17434</v>
      </c>
      <c r="I57">
        <f t="shared" si="34"/>
        <v>20706</v>
      </c>
      <c r="J57">
        <f>J50-I50</f>
        <v>18574</v>
      </c>
      <c r="K57">
        <f t="shared" si="35"/>
        <v>15891</v>
      </c>
      <c r="L57">
        <f t="shared" si="35"/>
        <v>17187</v>
      </c>
      <c r="M57">
        <f t="shared" si="36"/>
        <v>24775</v>
      </c>
      <c r="N57">
        <f t="shared" ref="N57:P57" si="67">N50-M50</f>
        <v>18548</v>
      </c>
      <c r="O57">
        <f t="shared" si="67"/>
        <v>22900</v>
      </c>
      <c r="P57">
        <f t="shared" si="67"/>
        <v>19748</v>
      </c>
      <c r="Q57">
        <f t="shared" si="38"/>
        <v>20478</v>
      </c>
      <c r="R57">
        <f t="shared" ref="R57:T57" si="68">R50-Q50</f>
        <v>22631</v>
      </c>
      <c r="S57">
        <f t="shared" si="68"/>
        <v>21865</v>
      </c>
      <c r="T57">
        <f t="shared" si="68"/>
        <v>24428</v>
      </c>
      <c r="U57">
        <f t="shared" si="40"/>
        <v>19475</v>
      </c>
      <c r="V57">
        <f t="shared" ref="V57:W57" si="69">V50-U50</f>
        <v>19594</v>
      </c>
      <c r="W57">
        <f t="shared" si="69"/>
        <v>17478</v>
      </c>
      <c r="Z57">
        <f t="shared" si="42"/>
        <v>66897</v>
      </c>
      <c r="AA57">
        <f t="shared" si="43"/>
        <v>72358</v>
      </c>
      <c r="AB57">
        <f t="shared" si="44"/>
        <v>85971</v>
      </c>
      <c r="AC57">
        <f t="shared" si="45"/>
        <v>89402</v>
      </c>
    </row>
    <row r="63" spans="1:29">
      <c r="J63">
        <v>-1</v>
      </c>
    </row>
  </sheetData>
  <phoneticPr fontId="5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feb2c5ef200143b90f0b07231141d1ea">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cb6e695611f8519c80c089278c6250c4"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50308C3F-F593-4504-9903-A5D49413DC44}"/>
</file>

<file path=customXml/itemProps2.xml><?xml version="1.0" encoding="utf-8"?>
<ds:datastoreItem xmlns:ds="http://schemas.openxmlformats.org/officeDocument/2006/customXml" ds:itemID="{97FB3ED4-AE09-4A5F-AFD9-51C7AB84015B}"/>
</file>

<file path=customXml/itemProps3.xml><?xml version="1.0" encoding="utf-8"?>
<ds:datastoreItem xmlns:ds="http://schemas.openxmlformats.org/officeDocument/2006/customXml" ds:itemID="{D4F95F15-C902-4F29-BCC3-173A7BFB5290}"/>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João Pedro Botelho Pereira de Rodrigues Ferreira</cp:lastModifiedBy>
  <cp:revision/>
  <dcterms:created xsi:type="dcterms:W3CDTF">2000-04-19T14:51:26Z</dcterms:created>
  <dcterms:modified xsi:type="dcterms:W3CDTF">2025-10-25T22:41:15Z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