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5.xml" ContentType="application/vnd.openxmlformats-officedocument.spreadsheetml.comments+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24-25/4th cycle/Team 8 (Vitória Lopes)/"/>
    </mc:Choice>
  </mc:AlternateContent>
  <xr:revisionPtr revIDLastSave="334" documentId="11_D76D8848D7AB020B836F01FE3D02FE7C046CD411" xr6:coauthVersionLast="47" xr6:coauthVersionMax="47" xr10:uidLastSave="{F2C16F24-55E9-4642-B69C-32EF572CF57B}"/>
  <bookViews>
    <workbookView xWindow="-108" yWindow="-108" windowWidth="23256" windowHeight="12456" tabRatio="644" firstSheet="1" activeTab="5" xr2:uid="{00000000-000D-0000-FFFF-FFFF00000000}"/>
  </bookViews>
  <sheets>
    <sheet name="COVID-19 impact" sheetId="12" state="hidden" r:id="rId1"/>
    <sheet name="OP" sheetId="1" r:id="rId2"/>
    <sheet name="Peers" sheetId="10" r:id="rId3"/>
    <sheet name="Segments" sheetId="3" r:id="rId4"/>
    <sheet name="Acuerdo" sheetId="11" state="hidden" r:id="rId5"/>
    <sheet name="ESG" sheetId="7" r:id="rId6"/>
    <sheet name="DCF" sheetId="4" state="hidden" r:id="rId7"/>
    <sheet name="DCFF" sheetId="16" r:id="rId8"/>
    <sheet name="Cifras_en_Millones" sheetId="17" r:id="rId9"/>
    <sheet name="Cifras_Originales" sheetId="18" r:id="rId10"/>
    <sheet name="Q" sheetId="19" r:id="rId11"/>
  </sheets>
  <externalReferences>
    <externalReference r:id="rId12"/>
    <externalReference r:id="rId13"/>
    <externalReference r:id="rId14"/>
  </externalReferences>
  <definedNames>
    <definedName name="_xlnm.Print_Area" localSheetId="8">Cifras_en_Millones!$A$1:$M$88</definedName>
    <definedName name="_xlnm.Print_Area" localSheetId="1">OP!$A$1:$M$51</definedName>
    <definedName name="_xlnm.Print_Area" localSheetId="3">Segments!#REF!</definedName>
    <definedName name="Benchmark">[1]ControlsH!$B$3</definedName>
    <definedName name="BestConsOv">#REF!</definedName>
    <definedName name="Broker_Name">OFFSET(#REF!,0,0,[1]ControlsH!$E$5, 1)</definedName>
    <definedName name="calCODE">[1]ControlsH!$C$4</definedName>
    <definedName name="Chart_Benchmark_100_Size">OFFSET(#REF!, 0, 0, [1]ControlsH!$E$3, 1)</definedName>
    <definedName name="Chart_Date_Size">OFFSET(#REF!, 0, 0, [1]ControlsH!$E$3, 1)</definedName>
    <definedName name="Chart_Date_VAL1_Size">OFFSET(#REF!, 0, 0, [1]ControlsH!$I$3, 1)</definedName>
    <definedName name="Chart_Date_VAL2_Size">OFFSET(#REF!, 0, 0, [1]ControlsH!$I$5, 1)</definedName>
    <definedName name="Chart_Peer_100_Size">OFFSET(#REF!, 0, 0, [1]ControlsH!$E$3, 1)</definedName>
    <definedName name="Chart_Price_100_Size">OFFSET(#REF!, 0, 0, [1]ControlsH!$E$3, 1)</definedName>
    <definedName name="Chart_Price_Size">OFFSET(#REF!, 0, 0, [1]ControlsH!$E$3, 1)</definedName>
    <definedName name="Chart_VAL1_FY1_Size">OFFSET(#REF!, 0, 0, [1]ControlsH!$F$3, 1)</definedName>
    <definedName name="Chart_VAL1_FY2_Size">OFFSET(#REF!, 0, 0, [1]ControlsH!$G$3, 1)</definedName>
    <definedName name="Chart_VAL1_FY3_Size">OFFSET(#REF!, 0, 0, [1]ControlsH!$H$3, 1)</definedName>
    <definedName name="Chart_VAL2_FY1_Size">OFFSET(#REF!, 0, 0, [1]ControlsH!$F$5, 1)</definedName>
    <definedName name="Chart_VAL2_FY2_Size">OFFSET(#REF!, 0, 0, [1]ControlsH!$G$5, 1)</definedName>
    <definedName name="Chart_VAL2_FY3_Size">OFFSET(#REF!, 0, 0, [1]ControlsH!$H$5, 1)</definedName>
    <definedName name="Chart_Volume_Size">OFFSET(#REF!, 0, 0, [1]ControlsH!$E$3, 1)</definedName>
    <definedName name="compNAME">[1]ControlsH!$B$6</definedName>
    <definedName name="CURRENCY">[1]ControlsH!$B$9</definedName>
    <definedName name="currPRICE">[1]Overview!$E$19</definedName>
    <definedName name="custBenchmark">[1]Overview!$C$9</definedName>
    <definedName name="custED">#REF!</definedName>
    <definedName name="custSD">#REF!</definedName>
    <definedName name="dayCODE">[1]ControlsH!$C$5</definedName>
    <definedName name="ED">[1]ControlsH!$B$5</definedName>
    <definedName name="ESTBrokersItem">#REF!</definedName>
    <definedName name="ESTBrokersPeriod">#REF!</definedName>
    <definedName name="ESTDetailBroker">#REF!</definedName>
    <definedName name="ESTDetailBroker2">#REF!</definedName>
    <definedName name="ESTDetailPeriod">#REF!</definedName>
    <definedName name="EstDetPerO">#REF!</definedName>
    <definedName name="EstDetPerT">#REF!</definedName>
    <definedName name="FinancialsPeriod">#REF!</definedName>
    <definedName name="fundTICKER">[1]ControlsH!$B$15</definedName>
    <definedName name="GraphValRatio1">#REF!</definedName>
    <definedName name="GraphValRatio2">#REF!</definedName>
    <definedName name="Index1">#REF!</definedName>
    <definedName name="Lang">[1]Overview!$D$11</definedName>
    <definedName name="newCrncy">[1]ControlsH!$B$21:$B$199</definedName>
    <definedName name="newEstBrokerPeriod">#REF!</definedName>
    <definedName name="newEstBrokersItem">#REF!</definedName>
    <definedName name="newEstDetailBroker">#REF!</definedName>
    <definedName name="newEstDetailBroker2">#REF!</definedName>
    <definedName name="newEstDetailPeriod">#REF!</definedName>
    <definedName name="newFinancialsPeriod">#REF!</definedName>
    <definedName name="newOverviewCon">#REF!</definedName>
    <definedName name="newOverviewYear">#REF!</definedName>
    <definedName name="newOwners">#REF!</definedName>
    <definedName name="newPeersRatio">#REF!</definedName>
    <definedName name="newPeriod">#REF!</definedName>
    <definedName name="newValRatio1">#REF!</definedName>
    <definedName name="newValRatio2">#REF!</definedName>
    <definedName name="OverviewValRatioPeriod">[1]Overview!$D$30</definedName>
    <definedName name="PeerDate1">[1]Peers!$S$11</definedName>
    <definedName name="peerHist1">#REF!</definedName>
    <definedName name="PeerIndex">[1]ControlsH!$F$35:$F$36</definedName>
    <definedName name="Peers">OFFSET([1]Peers!$C$18,0,0,MAX(COUNTA([1]Peers!$C$18:$C$47),1),1)</definedName>
    <definedName name="peersWEIGHT">[1]ControlsH!$B$13</definedName>
    <definedName name="PERIODICITY">[1]ControlsH!$C$3</definedName>
    <definedName name="salesGEOG">OFFSET([1]Overview!$W$16, 0, 0,#REF!, 1)</definedName>
    <definedName name="salesPROD">OFFSET([1]Overview!$Q$16, 0, 0,#REF!, 1)</definedName>
    <definedName name="SD">[1]ControlsH!$B$4</definedName>
    <definedName name="shBroker1">#REF!</definedName>
    <definedName name="shBrokerRange">#REF!</definedName>
    <definedName name="shOverviewYear">#REF!</definedName>
    <definedName name="shPeer1">#REF!</definedName>
    <definedName name="shPeerRange">#REF!</definedName>
    <definedName name="shPeersDate1">#REF!</definedName>
    <definedName name="startingDate">#REF!</definedName>
    <definedName name="Target_Price">OFFSET(#REF!,0,0,[1]ControlsH!$E$5, 1)</definedName>
    <definedName name="TICKER">[1]Overview!$D$8</definedName>
    <definedName name="Top20OwnerType">[1]Owners!$E$24</definedName>
    <definedName name="ViewConsolidatedOrParent">[1]Overview!$O$13</definedName>
    <definedName name="ViewYear">[1]Overview!$U$13</definedName>
    <definedName name="YTDdt">[1]ControlsH!$G$34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3" l="1"/>
  <c r="H9" i="3"/>
  <c r="F10" i="3"/>
  <c r="F9" i="3"/>
  <c r="F4" i="3"/>
  <c r="D63" i="16" l="1"/>
  <c r="H80" i="16"/>
  <c r="G80" i="16"/>
  <c r="F80" i="16"/>
  <c r="E80" i="16"/>
  <c r="D80" i="16"/>
  <c r="E75" i="16"/>
  <c r="D75" i="16"/>
  <c r="H71" i="16"/>
  <c r="G71" i="16"/>
  <c r="F71" i="16"/>
  <c r="E71" i="16"/>
  <c r="I6" i="16"/>
  <c r="E50" i="16"/>
  <c r="D50" i="16" s="1"/>
  <c r="H27" i="16" l="1"/>
  <c r="H75" i="16" s="1"/>
  <c r="G27" i="16"/>
  <c r="G75" i="16" s="1"/>
  <c r="F27" i="16"/>
  <c r="F75" i="16" s="1"/>
  <c r="G26" i="16"/>
  <c r="D26" i="16"/>
  <c r="D14" i="18"/>
  <c r="H22" i="16"/>
  <c r="H79" i="16" s="1"/>
  <c r="H81" i="16" s="1"/>
  <c r="H20" i="16"/>
  <c r="H70" i="16" s="1"/>
  <c r="H72" i="16" s="1"/>
  <c r="G20" i="16"/>
  <c r="G70" i="16" s="1"/>
  <c r="G72" i="16" s="1"/>
  <c r="F20" i="16"/>
  <c r="F70" i="16" s="1"/>
  <c r="F72" i="16" s="1"/>
  <c r="E20" i="16"/>
  <c r="E70" i="16" s="1"/>
  <c r="E72" i="16" s="1"/>
  <c r="D20" i="16"/>
  <c r="D70" i="16" s="1"/>
  <c r="H14" i="16"/>
  <c r="C19" i="18"/>
  <c r="G10" i="16"/>
  <c r="F10" i="16"/>
  <c r="E10" i="16"/>
  <c r="H7" i="16"/>
  <c r="H5" i="16"/>
  <c r="G5" i="16"/>
  <c r="F5" i="16"/>
  <c r="E5" i="16"/>
  <c r="C39" i="1"/>
  <c r="N34" i="1"/>
  <c r="L9" i="1" a="1"/>
  <c r="K2" i="1" a="1"/>
  <c r="C7" i="1" a="1"/>
  <c r="C8" i="1" a="1"/>
  <c r="I72" i="16" l="1"/>
  <c r="D56" i="16" s="1"/>
  <c r="E56" i="16" s="1"/>
  <c r="D51" i="16"/>
  <c r="C8" i="1"/>
  <c r="C7" i="1"/>
  <c r="D67" i="16" s="1"/>
  <c r="K2" i="1"/>
  <c r="L9" i="1"/>
  <c r="L31" i="1"/>
  <c r="K31" i="1"/>
  <c r="E36" i="1"/>
  <c r="E37" i="1"/>
  <c r="H37" i="1"/>
  <c r="H36" i="1"/>
  <c r="H35" i="1"/>
  <c r="H34" i="1"/>
  <c r="H33" i="1"/>
  <c r="H32" i="1"/>
  <c r="H31" i="1"/>
  <c r="H30" i="1"/>
  <c r="H29" i="1"/>
  <c r="H28" i="1"/>
  <c r="H27" i="1"/>
  <c r="G26" i="1"/>
  <c r="J10" i="1"/>
  <c r="L7" i="1" l="1"/>
  <c r="C9" i="1"/>
  <c r="D47" i="16" l="1"/>
  <c r="G33" i="16"/>
  <c r="F33" i="16"/>
  <c r="E33" i="16"/>
  <c r="D33" i="16"/>
  <c r="G30" i="16"/>
  <c r="F30" i="16"/>
  <c r="E30" i="16"/>
  <c r="D30" i="16"/>
  <c r="I29" i="16"/>
  <c r="J29" i="16" s="1"/>
  <c r="K29" i="16" s="1"/>
  <c r="L29" i="16" s="1"/>
  <c r="M29" i="16" s="1"/>
  <c r="N29" i="16" s="1"/>
  <c r="O29" i="16" s="1"/>
  <c r="P29" i="16" s="1"/>
  <c r="Q29" i="16" s="1"/>
  <c r="R29" i="16" s="1"/>
  <c r="S29" i="16" s="1"/>
  <c r="T29" i="16" s="1"/>
  <c r="U29" i="16" s="1"/>
  <c r="V29" i="16" s="1"/>
  <c r="W29" i="16" s="1"/>
  <c r="X29" i="16" s="1"/>
  <c r="Y29" i="16" s="1"/>
  <c r="Z29" i="16" s="1"/>
  <c r="AA29" i="16" s="1"/>
  <c r="AB29" i="16" s="1"/>
  <c r="AC29" i="16" s="1"/>
  <c r="AD29" i="16" s="1"/>
  <c r="AE29" i="16" s="1"/>
  <c r="AF29" i="16" s="1"/>
  <c r="H28" i="16"/>
  <c r="I28" i="16" s="1"/>
  <c r="J28" i="16" s="1"/>
  <c r="K28" i="16" s="1"/>
  <c r="L28" i="16" s="1"/>
  <c r="M28" i="16" s="1"/>
  <c r="N28" i="16" s="1"/>
  <c r="O28" i="16" s="1"/>
  <c r="P28" i="16" s="1"/>
  <c r="I23" i="16"/>
  <c r="J23" i="16" s="1"/>
  <c r="K23" i="16" s="1"/>
  <c r="L23" i="16" s="1"/>
  <c r="M23" i="16" s="1"/>
  <c r="N23" i="16" s="1"/>
  <c r="O23" i="16" s="1"/>
  <c r="P23" i="16" s="1"/>
  <c r="Q23" i="16" s="1"/>
  <c r="R23" i="16" s="1"/>
  <c r="S23" i="16" s="1"/>
  <c r="T23" i="16" s="1"/>
  <c r="U23" i="16" s="1"/>
  <c r="V23" i="16" s="1"/>
  <c r="W23" i="16" s="1"/>
  <c r="X23" i="16" s="1"/>
  <c r="Y23" i="16" s="1"/>
  <c r="Z23" i="16" s="1"/>
  <c r="AA23" i="16" s="1"/>
  <c r="AB23" i="16" s="1"/>
  <c r="AC23" i="16" s="1"/>
  <c r="AD23" i="16" s="1"/>
  <c r="AE23" i="16" s="1"/>
  <c r="AF23" i="16" s="1"/>
  <c r="D5" i="16"/>
  <c r="J4" i="16"/>
  <c r="K4" i="16" s="1"/>
  <c r="L4" i="16" s="1"/>
  <c r="M4" i="16" s="1"/>
  <c r="N4" i="16" s="1"/>
  <c r="O4" i="16" s="1"/>
  <c r="P4" i="16" s="1"/>
  <c r="Q4" i="16" s="1"/>
  <c r="R4" i="16" s="1"/>
  <c r="S4" i="16" s="1"/>
  <c r="T4" i="16" s="1"/>
  <c r="U4" i="16" s="1"/>
  <c r="V4" i="16" s="1"/>
  <c r="W4" i="16" s="1"/>
  <c r="X4" i="16" s="1"/>
  <c r="Y4" i="16" s="1"/>
  <c r="Z4" i="16" s="1"/>
  <c r="AA4" i="16" s="1"/>
  <c r="AB4" i="16" s="1"/>
  <c r="AC4" i="16" s="1"/>
  <c r="AD4" i="16" s="1"/>
  <c r="AE4" i="16" s="1"/>
  <c r="AF4" i="16" s="1"/>
  <c r="L5" i="16" s="1"/>
  <c r="I3" i="16"/>
  <c r="F3" i="16"/>
  <c r="E3" i="16"/>
  <c r="C41" i="1"/>
  <c r="C42" i="1"/>
  <c r="F39" i="16" l="1"/>
  <c r="F40" i="16"/>
  <c r="M5" i="16"/>
  <c r="I38" i="16"/>
  <c r="G38" i="16"/>
  <c r="H39" i="16"/>
  <c r="G40" i="16"/>
  <c r="H40" i="16"/>
  <c r="H38" i="16"/>
  <c r="G39" i="16"/>
  <c r="K40" i="16"/>
  <c r="K39" i="16"/>
  <c r="L38" i="16"/>
  <c r="K38" i="16"/>
  <c r="J40" i="16"/>
  <c r="J39" i="16"/>
  <c r="J38" i="16"/>
  <c r="I40" i="16"/>
  <c r="I39" i="16"/>
  <c r="J3" i="16"/>
  <c r="L39" i="16" s="1"/>
  <c r="D26" i="1"/>
  <c r="D10" i="18"/>
  <c r="B19" i="18"/>
  <c r="B20" i="18" s="1"/>
  <c r="L40" i="16" l="1"/>
  <c r="N5" i="16"/>
  <c r="K3" i="16"/>
  <c r="I20" i="16"/>
  <c r="I8" i="16"/>
  <c r="J6" i="16"/>
  <c r="I10" i="16"/>
  <c r="I19" i="16" s="1"/>
  <c r="H24" i="16"/>
  <c r="J12" i="1"/>
  <c r="O5" i="16" l="1"/>
  <c r="M40" i="16"/>
  <c r="M39" i="16"/>
  <c r="M38" i="16"/>
  <c r="J20" i="16"/>
  <c r="J8" i="16"/>
  <c r="K6" i="16"/>
  <c r="J10" i="16"/>
  <c r="J19" i="16" s="1"/>
  <c r="L3" i="16"/>
  <c r="L34" i="17"/>
  <c r="I26" i="1"/>
  <c r="H26" i="1"/>
  <c r="E26" i="1"/>
  <c r="E27" i="1"/>
  <c r="M27" i="17"/>
  <c r="F26" i="1"/>
  <c r="E35" i="1"/>
  <c r="E34" i="1"/>
  <c r="E33" i="1"/>
  <c r="E32" i="1"/>
  <c r="E31" i="1"/>
  <c r="E30" i="1"/>
  <c r="E29" i="1"/>
  <c r="E28" i="1"/>
  <c r="E9" i="1"/>
  <c r="N29" i="1"/>
  <c r="N39" i="16" l="1"/>
  <c r="N38" i="16"/>
  <c r="N40" i="16"/>
  <c r="P5" i="16"/>
  <c r="C12" i="1"/>
  <c r="M3" i="16"/>
  <c r="K20" i="16"/>
  <c r="K8" i="16"/>
  <c r="L6" i="16"/>
  <c r="M6" i="16" s="1"/>
  <c r="K10" i="16"/>
  <c r="K19" i="16" s="1"/>
  <c r="C38" i="1"/>
  <c r="D39" i="18"/>
  <c r="D44" i="18" s="1"/>
  <c r="C39" i="18"/>
  <c r="AB11" i="18"/>
  <c r="M12" i="18"/>
  <c r="L12" i="18"/>
  <c r="K12" i="18"/>
  <c r="J12" i="18"/>
  <c r="I12" i="18"/>
  <c r="H12" i="18"/>
  <c r="G12" i="18"/>
  <c r="F12" i="18"/>
  <c r="E12" i="18"/>
  <c r="D12" i="18"/>
  <c r="C12" i="18"/>
  <c r="B12" i="18"/>
  <c r="F5" i="3"/>
  <c r="H5" i="3"/>
  <c r="H4" i="3"/>
  <c r="R9" i="18"/>
  <c r="R11" i="18"/>
  <c r="N37" i="1"/>
  <c r="C11" i="3"/>
  <c r="Q5" i="16" l="1"/>
  <c r="O40" i="16"/>
  <c r="O39" i="16"/>
  <c r="O38" i="16"/>
  <c r="L20" i="16"/>
  <c r="L8" i="16"/>
  <c r="L10" i="16"/>
  <c r="L19" i="16" s="1"/>
  <c r="N3" i="16"/>
  <c r="C5" i="18"/>
  <c r="C2" i="18"/>
  <c r="J11" i="1"/>
  <c r="B21" i="10" s="1"/>
  <c r="F8" i="1"/>
  <c r="F9" i="1"/>
  <c r="F10" i="1"/>
  <c r="F11" i="1"/>
  <c r="F12" i="1"/>
  <c r="F15" i="1"/>
  <c r="F16" i="1"/>
  <c r="F17" i="1"/>
  <c r="F18" i="1"/>
  <c r="F19" i="1"/>
  <c r="P40" i="16" l="1"/>
  <c r="P39" i="16"/>
  <c r="P38" i="16"/>
  <c r="R5" i="16"/>
  <c r="O3" i="16"/>
  <c r="M8" i="16"/>
  <c r="N6" i="16"/>
  <c r="M10" i="16"/>
  <c r="M19" i="16" s="1"/>
  <c r="M20" i="16"/>
  <c r="S5" i="16" l="1"/>
  <c r="Q40" i="16"/>
  <c r="Q38" i="16"/>
  <c r="Q39" i="16"/>
  <c r="N8" i="16"/>
  <c r="O6" i="16"/>
  <c r="P6" i="16" s="1"/>
  <c r="N10" i="16"/>
  <c r="N19" i="16" s="1"/>
  <c r="N20" i="16"/>
  <c r="P3" i="16"/>
  <c r="AC38" i="19"/>
  <c r="AB38" i="19"/>
  <c r="AA38" i="19"/>
  <c r="Z38" i="19"/>
  <c r="AC41" i="19"/>
  <c r="AB41" i="19"/>
  <c r="AA41" i="19"/>
  <c r="Z41" i="19"/>
  <c r="C25" i="19"/>
  <c r="C36" i="19" s="1"/>
  <c r="D25" i="19"/>
  <c r="D36" i="19" s="1"/>
  <c r="E25" i="19"/>
  <c r="E36" i="19" s="1"/>
  <c r="F25" i="19"/>
  <c r="F36" i="19" s="1"/>
  <c r="G25" i="19"/>
  <c r="G36" i="19" s="1"/>
  <c r="H25" i="19"/>
  <c r="H36" i="19" s="1"/>
  <c r="I25" i="19"/>
  <c r="I36" i="19" s="1"/>
  <c r="J25" i="19"/>
  <c r="J36" i="19" s="1"/>
  <c r="K25" i="19"/>
  <c r="K36" i="19" s="1"/>
  <c r="L25" i="19"/>
  <c r="L36" i="19" s="1"/>
  <c r="M25" i="19"/>
  <c r="M36" i="19" s="1"/>
  <c r="N25" i="19"/>
  <c r="N36" i="19" s="1"/>
  <c r="O25" i="19"/>
  <c r="O36" i="19" s="1"/>
  <c r="P25" i="19"/>
  <c r="P36" i="19" s="1"/>
  <c r="Q25" i="19"/>
  <c r="Q36" i="19" s="1"/>
  <c r="R25" i="19"/>
  <c r="R36" i="19" s="1"/>
  <c r="S25" i="19"/>
  <c r="S36" i="19" s="1"/>
  <c r="T25" i="19"/>
  <c r="T36" i="19" s="1"/>
  <c r="U25" i="19"/>
  <c r="U36" i="19" s="1"/>
  <c r="V25" i="19"/>
  <c r="V36" i="19" s="1"/>
  <c r="W25" i="19"/>
  <c r="X25" i="19"/>
  <c r="X36" i="19" s="1"/>
  <c r="AD34" i="19"/>
  <c r="AC34" i="19"/>
  <c r="AB34" i="19"/>
  <c r="AA34" i="19"/>
  <c r="Z34" i="19"/>
  <c r="AD33" i="19"/>
  <c r="AC33" i="19"/>
  <c r="AB33" i="19"/>
  <c r="AA33" i="19"/>
  <c r="Z33" i="19"/>
  <c r="AD31" i="19"/>
  <c r="AC31" i="19"/>
  <c r="AB31" i="19"/>
  <c r="AA31" i="19"/>
  <c r="Z31" i="19"/>
  <c r="AD30" i="19"/>
  <c r="AC30" i="19"/>
  <c r="AB30" i="19"/>
  <c r="AA30" i="19"/>
  <c r="Z30" i="19"/>
  <c r="AF5" i="19"/>
  <c r="AG5" i="19" s="1"/>
  <c r="AH5" i="19" s="1"/>
  <c r="AI5" i="19" s="1"/>
  <c r="AJ5" i="19" s="1"/>
  <c r="AK5" i="19" s="1"/>
  <c r="AL5" i="19" s="1"/>
  <c r="AM5" i="19" s="1"/>
  <c r="AN5" i="19" s="1"/>
  <c r="AO5" i="19" s="1"/>
  <c r="AP5" i="19" s="1"/>
  <c r="AQ5" i="19" s="1"/>
  <c r="AR5" i="19" s="1"/>
  <c r="AS5" i="19" s="1"/>
  <c r="AT5" i="19" s="1"/>
  <c r="AU5" i="19" s="1"/>
  <c r="AV5" i="19" s="1"/>
  <c r="AW5" i="19" s="1"/>
  <c r="AX5" i="19" s="1"/>
  <c r="AY5" i="19" s="1"/>
  <c r="AZ5" i="19" s="1"/>
  <c r="BA5" i="19" s="1"/>
  <c r="BB5" i="19" s="1"/>
  <c r="AF6" i="19"/>
  <c r="Z27" i="19"/>
  <c r="Z10" i="19" s="1"/>
  <c r="AA27" i="19"/>
  <c r="Z26" i="19"/>
  <c r="AA26" i="19"/>
  <c r="AB27" i="19"/>
  <c r="AB26" i="19"/>
  <c r="AB25" i="19" s="1"/>
  <c r="AC27" i="19"/>
  <c r="AC26" i="19"/>
  <c r="AD27" i="19"/>
  <c r="AE27" i="19" s="1"/>
  <c r="AD26" i="19"/>
  <c r="AE26" i="19" s="1"/>
  <c r="C40" i="19"/>
  <c r="C42" i="19" s="1"/>
  <c r="D40" i="19"/>
  <c r="D42" i="19" s="1"/>
  <c r="E53" i="19"/>
  <c r="E54" i="19"/>
  <c r="E55" i="19"/>
  <c r="E56" i="19"/>
  <c r="E57" i="19"/>
  <c r="E52" i="19"/>
  <c r="I53" i="19"/>
  <c r="I54" i="19"/>
  <c r="I55" i="19"/>
  <c r="I56" i="19"/>
  <c r="I57" i="19"/>
  <c r="I52" i="19"/>
  <c r="J57" i="19"/>
  <c r="F57" i="19"/>
  <c r="F56" i="19"/>
  <c r="F55" i="19"/>
  <c r="F54" i="19"/>
  <c r="F53" i="19"/>
  <c r="F52" i="19"/>
  <c r="G57" i="19"/>
  <c r="G56" i="19"/>
  <c r="G55" i="19"/>
  <c r="G54" i="19"/>
  <c r="G53" i="19"/>
  <c r="G52" i="19"/>
  <c r="H57" i="19"/>
  <c r="H56" i="19"/>
  <c r="H55" i="19"/>
  <c r="H54" i="19"/>
  <c r="H53" i="19"/>
  <c r="H52" i="19"/>
  <c r="J52" i="19"/>
  <c r="K52" i="19"/>
  <c r="J53" i="19"/>
  <c r="K53" i="19"/>
  <c r="J54" i="19"/>
  <c r="K54" i="19"/>
  <c r="J55" i="19"/>
  <c r="K55" i="19"/>
  <c r="J56" i="19"/>
  <c r="K56" i="19"/>
  <c r="K57" i="19"/>
  <c r="L53" i="19"/>
  <c r="L54" i="19"/>
  <c r="L55" i="19"/>
  <c r="L56" i="19"/>
  <c r="L57" i="19"/>
  <c r="L52" i="19"/>
  <c r="E40" i="19"/>
  <c r="E42" i="19" s="1"/>
  <c r="I40" i="19"/>
  <c r="I42" i="19" s="1"/>
  <c r="F40" i="19"/>
  <c r="F42" i="19" s="1"/>
  <c r="J40" i="19"/>
  <c r="J42" i="19" s="1"/>
  <c r="G40" i="19"/>
  <c r="G42" i="19" s="1"/>
  <c r="K40" i="19"/>
  <c r="K42" i="19" s="1"/>
  <c r="H40" i="19"/>
  <c r="H42" i="19" s="1"/>
  <c r="L40" i="19"/>
  <c r="L42" i="19" s="1"/>
  <c r="M53" i="19"/>
  <c r="N53" i="19"/>
  <c r="O53" i="19"/>
  <c r="P53" i="19"/>
  <c r="M54" i="19"/>
  <c r="N54" i="19"/>
  <c r="O54" i="19"/>
  <c r="P54" i="19"/>
  <c r="M55" i="19"/>
  <c r="N55" i="19"/>
  <c r="O55" i="19"/>
  <c r="P55" i="19"/>
  <c r="M56" i="19"/>
  <c r="N56" i="19"/>
  <c r="O56" i="19"/>
  <c r="P56" i="19"/>
  <c r="M57" i="19"/>
  <c r="N57" i="19"/>
  <c r="O57" i="19"/>
  <c r="P57" i="19"/>
  <c r="M52" i="19"/>
  <c r="N52" i="19"/>
  <c r="O52" i="19"/>
  <c r="P52" i="19"/>
  <c r="M40" i="19"/>
  <c r="M42" i="19" s="1"/>
  <c r="N40" i="19"/>
  <c r="N42" i="19" s="1"/>
  <c r="O40" i="19"/>
  <c r="O42" i="19" s="1"/>
  <c r="Q53" i="19"/>
  <c r="R53" i="19"/>
  <c r="S53" i="19"/>
  <c r="T53" i="19"/>
  <c r="U53" i="19"/>
  <c r="V53" i="19"/>
  <c r="W53" i="19"/>
  <c r="Q54" i="19"/>
  <c r="R54" i="19"/>
  <c r="S54" i="19"/>
  <c r="T54" i="19"/>
  <c r="U54" i="19"/>
  <c r="V54" i="19"/>
  <c r="W54" i="19"/>
  <c r="Q55" i="19"/>
  <c r="R55" i="19"/>
  <c r="S55" i="19"/>
  <c r="T55" i="19"/>
  <c r="U55" i="19"/>
  <c r="V55" i="19"/>
  <c r="W55" i="19"/>
  <c r="Q56" i="19"/>
  <c r="R56" i="19"/>
  <c r="S56" i="19"/>
  <c r="T56" i="19"/>
  <c r="U56" i="19"/>
  <c r="V56" i="19"/>
  <c r="W56" i="19"/>
  <c r="Q57" i="19"/>
  <c r="R57" i="19"/>
  <c r="S57" i="19"/>
  <c r="T57" i="19"/>
  <c r="U57" i="19"/>
  <c r="V57" i="19"/>
  <c r="W57" i="19"/>
  <c r="W52" i="19"/>
  <c r="V52" i="19"/>
  <c r="U52" i="19"/>
  <c r="T52" i="19"/>
  <c r="S52" i="19"/>
  <c r="R52" i="19"/>
  <c r="Q52" i="19"/>
  <c r="P40" i="19"/>
  <c r="P42" i="19" s="1"/>
  <c r="T40" i="19"/>
  <c r="T42" i="19" s="1"/>
  <c r="Q40" i="19"/>
  <c r="Q42" i="19" s="1"/>
  <c r="U40" i="19"/>
  <c r="U42" i="19" s="1"/>
  <c r="V40" i="19"/>
  <c r="V42" i="19" s="1"/>
  <c r="R40" i="19"/>
  <c r="R42" i="19" s="1"/>
  <c r="S40" i="19"/>
  <c r="S42" i="19" s="1"/>
  <c r="W40" i="19"/>
  <c r="W42" i="19" s="1"/>
  <c r="R39" i="16" l="1"/>
  <c r="R40" i="16"/>
  <c r="R38" i="16"/>
  <c r="T5" i="16"/>
  <c r="Q3" i="16"/>
  <c r="O10" i="16"/>
  <c r="O19" i="16" s="1"/>
  <c r="O20" i="16"/>
  <c r="O8" i="16"/>
  <c r="AC52" i="19"/>
  <c r="W36" i="19"/>
  <c r="U22" i="19"/>
  <c r="U21" i="19"/>
  <c r="AC54" i="19"/>
  <c r="AA57" i="19"/>
  <c r="Z55" i="19"/>
  <c r="AA55" i="19"/>
  <c r="AB56" i="19"/>
  <c r="AB54" i="19"/>
  <c r="AA54" i="19"/>
  <c r="AC25" i="19"/>
  <c r="AC56" i="19"/>
  <c r="AB55" i="19"/>
  <c r="AB22" i="19" s="1"/>
  <c r="AB53" i="19"/>
  <c r="Z52" i="19"/>
  <c r="Z53" i="19"/>
  <c r="AA52" i="19"/>
  <c r="AB52" i="19"/>
  <c r="AB19" i="19" s="1"/>
  <c r="AA53" i="19"/>
  <c r="AB36" i="19"/>
  <c r="AC55" i="19"/>
  <c r="AC53" i="19"/>
  <c r="Z57" i="19"/>
  <c r="AB57" i="19"/>
  <c r="Z54" i="19"/>
  <c r="AC57" i="19"/>
  <c r="AA56" i="19"/>
  <c r="AC36" i="19"/>
  <c r="Z56" i="19"/>
  <c r="Z40" i="19"/>
  <c r="Z17" i="19" s="1"/>
  <c r="AA40" i="19"/>
  <c r="AA17" i="19" s="1"/>
  <c r="AB40" i="19"/>
  <c r="AB17" i="19" s="1"/>
  <c r="AC40" i="19"/>
  <c r="AC17" i="19" s="1"/>
  <c r="AE25" i="19"/>
  <c r="AA25" i="19"/>
  <c r="AB12" i="19"/>
  <c r="AB13" i="19"/>
  <c r="Z25" i="19"/>
  <c r="AC9" i="19"/>
  <c r="AB10" i="19"/>
  <c r="AA9" i="19"/>
  <c r="AA10" i="19"/>
  <c r="AC10" i="19"/>
  <c r="Z9" i="19"/>
  <c r="AB9" i="19"/>
  <c r="AF27" i="19"/>
  <c r="AG6" i="19"/>
  <c r="AH6" i="19" s="1"/>
  <c r="AI6" i="19" s="1"/>
  <c r="AJ6" i="19" s="1"/>
  <c r="AK6" i="19" s="1"/>
  <c r="AL6" i="19" s="1"/>
  <c r="AM6" i="19" s="1"/>
  <c r="AN6" i="19" s="1"/>
  <c r="AO6" i="19" s="1"/>
  <c r="AP6" i="19" s="1"/>
  <c r="AQ6" i="19" s="1"/>
  <c r="AR6" i="19" s="1"/>
  <c r="AS6" i="19" s="1"/>
  <c r="AT6" i="19" s="1"/>
  <c r="AU6" i="19" s="1"/>
  <c r="AV6" i="19" s="1"/>
  <c r="AW6" i="19" s="1"/>
  <c r="AX6" i="19" s="1"/>
  <c r="AY6" i="19" s="1"/>
  <c r="AZ6" i="19" s="1"/>
  <c r="BA6" i="19" s="1"/>
  <c r="BB6" i="19" s="1"/>
  <c r="AD9" i="19"/>
  <c r="AE9" i="19" s="1"/>
  <c r="AD10" i="19"/>
  <c r="AE10" i="19" s="1"/>
  <c r="AF26" i="19"/>
  <c r="AD25" i="19"/>
  <c r="AD36" i="19" s="1"/>
  <c r="U5" i="16" l="1"/>
  <c r="S39" i="16"/>
  <c r="S38" i="16"/>
  <c r="S40" i="16"/>
  <c r="AC19" i="19"/>
  <c r="P10" i="16"/>
  <c r="P19" i="16" s="1"/>
  <c r="P20" i="16"/>
  <c r="P8" i="16"/>
  <c r="R3" i="16"/>
  <c r="AA22" i="19"/>
  <c r="AC22" i="19"/>
  <c r="Z22" i="19"/>
  <c r="AA19" i="19"/>
  <c r="AC12" i="19"/>
  <c r="Z21" i="19"/>
  <c r="Z20" i="19"/>
  <c r="Z19" i="19"/>
  <c r="AC21" i="19"/>
  <c r="AC23" i="19" s="1"/>
  <c r="AC20" i="19"/>
  <c r="AB20" i="19"/>
  <c r="AB21" i="19"/>
  <c r="AA21" i="19"/>
  <c r="AA23" i="19" s="1"/>
  <c r="AA20" i="19"/>
  <c r="AC13" i="19"/>
  <c r="Z13" i="19"/>
  <c r="Z36" i="19"/>
  <c r="AA12" i="19"/>
  <c r="AA36" i="19"/>
  <c r="AA13" i="19"/>
  <c r="AD12" i="19"/>
  <c r="AE12" i="19" s="1"/>
  <c r="AD13" i="19"/>
  <c r="AE13" i="19" s="1"/>
  <c r="Z12" i="19"/>
  <c r="AF10" i="19"/>
  <c r="AE31" i="19"/>
  <c r="AF9" i="19"/>
  <c r="AE30" i="19"/>
  <c r="AF25" i="19"/>
  <c r="AG27" i="19"/>
  <c r="AH27" i="19" s="1"/>
  <c r="AI27" i="19" s="1"/>
  <c r="AJ27" i="19" s="1"/>
  <c r="AK27" i="19" s="1"/>
  <c r="AL27" i="19" s="1"/>
  <c r="AM27" i="19" s="1"/>
  <c r="AN27" i="19" s="1"/>
  <c r="AO27" i="19" s="1"/>
  <c r="AP27" i="19" s="1"/>
  <c r="AQ27" i="19" s="1"/>
  <c r="AR27" i="19" s="1"/>
  <c r="AS27" i="19" s="1"/>
  <c r="AT27" i="19" s="1"/>
  <c r="AU27" i="19" s="1"/>
  <c r="AV27" i="19" s="1"/>
  <c r="AW27" i="19" s="1"/>
  <c r="AX27" i="19" s="1"/>
  <c r="AY27" i="19" s="1"/>
  <c r="AZ27" i="19" s="1"/>
  <c r="BA27" i="19" s="1"/>
  <c r="BB27" i="19" s="1"/>
  <c r="AG26" i="19"/>
  <c r="AH26" i="19" s="1"/>
  <c r="B60" i="17"/>
  <c r="B59" i="17" s="1"/>
  <c r="B66" i="17"/>
  <c r="B56" i="17"/>
  <c r="B35" i="17"/>
  <c r="B36" i="17" s="1"/>
  <c r="B24" i="17"/>
  <c r="B19" i="17"/>
  <c r="B20" i="17" s="1"/>
  <c r="B16" i="17"/>
  <c r="B22" i="17" s="1"/>
  <c r="B12" i="17"/>
  <c r="B9" i="17"/>
  <c r="B10" i="17" s="1"/>
  <c r="B8" i="17"/>
  <c r="C53" i="18"/>
  <c r="D53" i="18" s="1"/>
  <c r="D77" i="17" s="1"/>
  <c r="A52" i="18"/>
  <c r="K44" i="18"/>
  <c r="J44" i="18"/>
  <c r="C44" i="18"/>
  <c r="M39" i="18"/>
  <c r="M44" i="18" s="1"/>
  <c r="L39" i="18"/>
  <c r="L44" i="18" s="1"/>
  <c r="K39" i="18"/>
  <c r="J39" i="18"/>
  <c r="I39" i="18"/>
  <c r="I44" i="18" s="1"/>
  <c r="H39" i="18"/>
  <c r="H44" i="18" s="1"/>
  <c r="G39" i="18"/>
  <c r="H57" i="17" s="1"/>
  <c r="F39" i="18"/>
  <c r="G57" i="17" s="1"/>
  <c r="E39" i="18"/>
  <c r="E44" i="18" s="1"/>
  <c r="D57" i="17"/>
  <c r="B39" i="18"/>
  <c r="B44" i="18" s="1"/>
  <c r="M38" i="18"/>
  <c r="L38" i="18"/>
  <c r="M56" i="17" s="1"/>
  <c r="K38" i="18"/>
  <c r="L56" i="17" s="1"/>
  <c r="J38" i="18"/>
  <c r="K56" i="17" s="1"/>
  <c r="I38" i="18"/>
  <c r="J56" i="17" s="1"/>
  <c r="H38" i="18"/>
  <c r="I56" i="17" s="1"/>
  <c r="G38" i="18"/>
  <c r="H56" i="17" s="1"/>
  <c r="F38" i="18"/>
  <c r="G56" i="17" s="1"/>
  <c r="E38" i="18"/>
  <c r="F56" i="17" s="1"/>
  <c r="D38" i="18"/>
  <c r="E56" i="17" s="1"/>
  <c r="C38" i="18"/>
  <c r="D56" i="17" s="1"/>
  <c r="B38" i="18"/>
  <c r="C56" i="17" s="1"/>
  <c r="M34" i="18"/>
  <c r="L34" i="18"/>
  <c r="M52" i="17" s="1"/>
  <c r="K34" i="18"/>
  <c r="L52" i="17" s="1"/>
  <c r="J34" i="18"/>
  <c r="K52" i="17" s="1"/>
  <c r="I34" i="18"/>
  <c r="J52" i="17" s="1"/>
  <c r="H34" i="18"/>
  <c r="I52" i="17" s="1"/>
  <c r="G34" i="18"/>
  <c r="H52" i="17" s="1"/>
  <c r="F34" i="18"/>
  <c r="G52" i="17" s="1"/>
  <c r="E34" i="18"/>
  <c r="F52" i="17" s="1"/>
  <c r="D34" i="18"/>
  <c r="E52" i="17" s="1"/>
  <c r="C34" i="18"/>
  <c r="D52" i="17" s="1"/>
  <c r="B34" i="18"/>
  <c r="C52" i="17" s="1"/>
  <c r="M26" i="18"/>
  <c r="L26" i="18"/>
  <c r="M44" i="17" s="1"/>
  <c r="K26" i="18"/>
  <c r="L44" i="17" s="1"/>
  <c r="J26" i="18"/>
  <c r="K44" i="17" s="1"/>
  <c r="I26" i="18"/>
  <c r="J44" i="17" s="1"/>
  <c r="H26" i="18"/>
  <c r="I44" i="17" s="1"/>
  <c r="G26" i="18"/>
  <c r="H44" i="17" s="1"/>
  <c r="F26" i="18"/>
  <c r="G44" i="17" s="1"/>
  <c r="E26" i="18"/>
  <c r="F44" i="17" s="1"/>
  <c r="D26" i="18"/>
  <c r="E44" i="17" s="1"/>
  <c r="C26" i="18"/>
  <c r="D44" i="17" s="1"/>
  <c r="B26" i="18"/>
  <c r="C44" i="17" s="1"/>
  <c r="M19" i="18"/>
  <c r="M20" i="18" s="1"/>
  <c r="L19" i="18"/>
  <c r="L20" i="18" s="1"/>
  <c r="H19" i="18"/>
  <c r="H20" i="18" s="1"/>
  <c r="G19" i="18"/>
  <c r="G20" i="18" s="1"/>
  <c r="J29" i="17"/>
  <c r="I29" i="17"/>
  <c r="AB16" i="18"/>
  <c r="AA16" i="18"/>
  <c r="Z16" i="18"/>
  <c r="Y16" i="18"/>
  <c r="X16" i="18"/>
  <c r="W16" i="18"/>
  <c r="V16" i="18"/>
  <c r="U16" i="18"/>
  <c r="T16" i="18"/>
  <c r="S16" i="18"/>
  <c r="M33" i="17"/>
  <c r="AA11" i="18"/>
  <c r="Z11" i="18"/>
  <c r="Y11" i="18"/>
  <c r="X11" i="18"/>
  <c r="Y15" i="18" s="1"/>
  <c r="W11" i="18"/>
  <c r="X15" i="18" s="1"/>
  <c r="V11" i="18"/>
  <c r="U11" i="18"/>
  <c r="T11" i="18"/>
  <c r="S11" i="18"/>
  <c r="AB10" i="18"/>
  <c r="AA10" i="18"/>
  <c r="Z10" i="18"/>
  <c r="Y10" i="18"/>
  <c r="X10" i="18"/>
  <c r="W10" i="18"/>
  <c r="V10" i="18"/>
  <c r="U10" i="18"/>
  <c r="T10" i="18"/>
  <c r="S10" i="18"/>
  <c r="T14" i="18" s="1"/>
  <c r="R10" i="18"/>
  <c r="S14" i="18" s="1"/>
  <c r="S9" i="18"/>
  <c r="K19" i="18"/>
  <c r="K20" i="18" s="1"/>
  <c r="J19" i="18"/>
  <c r="J20" i="18" s="1"/>
  <c r="I19" i="18"/>
  <c r="I20" i="18" s="1"/>
  <c r="F19" i="18"/>
  <c r="F20" i="18" s="1"/>
  <c r="E14" i="17"/>
  <c r="E12" i="16" s="1"/>
  <c r="D14" i="17"/>
  <c r="F12" i="16" s="1"/>
  <c r="E7" i="17"/>
  <c r="D7" i="17"/>
  <c r="D5" i="18"/>
  <c r="E5" i="18" s="1"/>
  <c r="G3" i="18"/>
  <c r="A1" i="17" s="1"/>
  <c r="E85" i="17"/>
  <c r="D85" i="17"/>
  <c r="C85" i="17"/>
  <c r="B85" i="17"/>
  <c r="A85" i="17"/>
  <c r="E84" i="17"/>
  <c r="D84" i="17"/>
  <c r="C84" i="17"/>
  <c r="B84" i="17"/>
  <c r="A84" i="17"/>
  <c r="E83" i="17"/>
  <c r="D83" i="17"/>
  <c r="C83" i="17"/>
  <c r="B83" i="17"/>
  <c r="A83" i="17"/>
  <c r="E82" i="17"/>
  <c r="D82" i="17"/>
  <c r="C82" i="17"/>
  <c r="B82" i="17"/>
  <c r="A82" i="17"/>
  <c r="A81" i="17"/>
  <c r="D79" i="17"/>
  <c r="C79" i="17"/>
  <c r="B79" i="17"/>
  <c r="A79" i="17"/>
  <c r="B78" i="17"/>
  <c r="A78" i="17"/>
  <c r="C77" i="17"/>
  <c r="B77" i="17"/>
  <c r="IH75" i="17"/>
  <c r="M75" i="17"/>
  <c r="L75" i="17"/>
  <c r="K75" i="17"/>
  <c r="J75" i="17"/>
  <c r="I75" i="17"/>
  <c r="H75" i="17"/>
  <c r="G75" i="17"/>
  <c r="F75" i="17"/>
  <c r="E75" i="17"/>
  <c r="D75" i="17"/>
  <c r="C75" i="17"/>
  <c r="A75" i="17"/>
  <c r="M74" i="17"/>
  <c r="L74" i="17"/>
  <c r="K74" i="17"/>
  <c r="J74" i="17"/>
  <c r="I74" i="17"/>
  <c r="H74" i="17"/>
  <c r="G74" i="17"/>
  <c r="F74" i="17"/>
  <c r="E74" i="17"/>
  <c r="D74" i="17"/>
  <c r="C74" i="17"/>
  <c r="M73" i="17"/>
  <c r="L73" i="17"/>
  <c r="K73" i="17"/>
  <c r="J73" i="17"/>
  <c r="I73" i="17"/>
  <c r="H73" i="17"/>
  <c r="G73" i="17"/>
  <c r="F73" i="17"/>
  <c r="E73" i="17"/>
  <c r="D73" i="17"/>
  <c r="C73" i="17"/>
  <c r="M72" i="17"/>
  <c r="L72" i="17"/>
  <c r="K72" i="17"/>
  <c r="J72" i="17"/>
  <c r="I72" i="17"/>
  <c r="H72" i="17"/>
  <c r="G72" i="17"/>
  <c r="F72" i="17"/>
  <c r="E72" i="17"/>
  <c r="D72" i="17"/>
  <c r="C72" i="17"/>
  <c r="M71" i="17"/>
  <c r="L71" i="17"/>
  <c r="K71" i="17"/>
  <c r="J71" i="17"/>
  <c r="I71" i="17"/>
  <c r="H71" i="17"/>
  <c r="G71" i="17"/>
  <c r="F71" i="17"/>
  <c r="E71" i="17"/>
  <c r="D71" i="17"/>
  <c r="C71" i="17"/>
  <c r="M70" i="17"/>
  <c r="L70" i="17"/>
  <c r="K70" i="17"/>
  <c r="J70" i="17"/>
  <c r="I70" i="17"/>
  <c r="H70" i="17"/>
  <c r="G70" i="17"/>
  <c r="F70" i="17"/>
  <c r="E70" i="17"/>
  <c r="D70" i="17"/>
  <c r="C70" i="17"/>
  <c r="M63" i="17"/>
  <c r="L63" i="17"/>
  <c r="K63" i="17"/>
  <c r="J63" i="17"/>
  <c r="I63" i="17"/>
  <c r="H63" i="17"/>
  <c r="G63" i="17"/>
  <c r="F63" i="17"/>
  <c r="E63" i="17"/>
  <c r="D63" i="17"/>
  <c r="C63" i="17"/>
  <c r="L57" i="17"/>
  <c r="K57" i="17"/>
  <c r="E57" i="17"/>
  <c r="M55" i="17"/>
  <c r="L55" i="17"/>
  <c r="K55" i="17"/>
  <c r="J55" i="17"/>
  <c r="I55" i="17"/>
  <c r="H55" i="17"/>
  <c r="G55" i="17"/>
  <c r="F55" i="17"/>
  <c r="E55" i="17"/>
  <c r="D55" i="17"/>
  <c r="C55" i="17"/>
  <c r="M54" i="17"/>
  <c r="L54" i="17"/>
  <c r="K54" i="17"/>
  <c r="J54" i="17"/>
  <c r="I54" i="17"/>
  <c r="H54" i="17"/>
  <c r="G54" i="17"/>
  <c r="F54" i="17"/>
  <c r="E54" i="17"/>
  <c r="D54" i="17"/>
  <c r="C54" i="17"/>
  <c r="M53" i="17"/>
  <c r="L53" i="17"/>
  <c r="K53" i="17"/>
  <c r="J53" i="17"/>
  <c r="I53" i="17"/>
  <c r="H53" i="17"/>
  <c r="G53" i="17"/>
  <c r="F53" i="17"/>
  <c r="E53" i="17"/>
  <c r="D53" i="17"/>
  <c r="C53" i="17"/>
  <c r="M51" i="17"/>
  <c r="L51" i="17"/>
  <c r="K51" i="17"/>
  <c r="J51" i="17"/>
  <c r="I51" i="17"/>
  <c r="H51" i="17"/>
  <c r="G51" i="17"/>
  <c r="F51" i="17"/>
  <c r="E51" i="17"/>
  <c r="D51" i="17"/>
  <c r="C51" i="17"/>
  <c r="M50" i="17"/>
  <c r="L50" i="17"/>
  <c r="L60" i="17" s="1"/>
  <c r="L59" i="17" s="1"/>
  <c r="K50" i="17"/>
  <c r="J50" i="17"/>
  <c r="I50" i="17"/>
  <c r="H50" i="17"/>
  <c r="G50" i="17"/>
  <c r="F50" i="17"/>
  <c r="E50" i="17"/>
  <c r="D50" i="17"/>
  <c r="C50" i="17"/>
  <c r="M49" i="17"/>
  <c r="L49" i="17"/>
  <c r="K49" i="17"/>
  <c r="J49" i="17"/>
  <c r="I49" i="17"/>
  <c r="H49" i="17"/>
  <c r="G49" i="17"/>
  <c r="F49" i="17"/>
  <c r="E49" i="17"/>
  <c r="D49" i="17"/>
  <c r="C49" i="17"/>
  <c r="M45" i="17"/>
  <c r="L45" i="17"/>
  <c r="K45" i="17"/>
  <c r="J45" i="17"/>
  <c r="I45" i="17"/>
  <c r="H45" i="17"/>
  <c r="G45" i="17"/>
  <c r="F45" i="17"/>
  <c r="E45" i="17"/>
  <c r="D45" i="17"/>
  <c r="C45" i="17"/>
  <c r="E7" i="1" s="1"/>
  <c r="M43" i="17"/>
  <c r="L43" i="17"/>
  <c r="K43" i="17"/>
  <c r="J43" i="17"/>
  <c r="I43" i="17"/>
  <c r="H43" i="17"/>
  <c r="G43" i="17"/>
  <c r="F43" i="17"/>
  <c r="E43" i="17"/>
  <c r="D43" i="17"/>
  <c r="C43" i="17"/>
  <c r="M42" i="17"/>
  <c r="L42" i="17"/>
  <c r="K42" i="17"/>
  <c r="J42" i="17"/>
  <c r="I42" i="17"/>
  <c r="H42" i="17"/>
  <c r="G42" i="17"/>
  <c r="F42" i="17"/>
  <c r="E42" i="17"/>
  <c r="D42" i="17"/>
  <c r="C42" i="17"/>
  <c r="M41" i="17"/>
  <c r="L41" i="17"/>
  <c r="K41" i="17"/>
  <c r="J41" i="17"/>
  <c r="I41" i="17"/>
  <c r="H41" i="17"/>
  <c r="G41" i="17"/>
  <c r="F41" i="17"/>
  <c r="E41" i="17"/>
  <c r="D41" i="17"/>
  <c r="C41" i="17"/>
  <c r="M40" i="17"/>
  <c r="M26" i="17" s="1"/>
  <c r="M30" i="17" s="1"/>
  <c r="F27" i="1" s="1"/>
  <c r="L40" i="17"/>
  <c r="K40" i="17"/>
  <c r="J40" i="17"/>
  <c r="I40" i="17"/>
  <c r="H40" i="17"/>
  <c r="G40" i="17"/>
  <c r="F40" i="17"/>
  <c r="F26" i="17" s="1"/>
  <c r="F30" i="17" s="1"/>
  <c r="F34" i="1" s="1"/>
  <c r="E40" i="17"/>
  <c r="D40" i="17"/>
  <c r="C40" i="17"/>
  <c r="M34" i="17"/>
  <c r="K34" i="17"/>
  <c r="J34" i="17"/>
  <c r="I34" i="17"/>
  <c r="H34" i="17"/>
  <c r="G34" i="17"/>
  <c r="F34" i="17"/>
  <c r="E34" i="17"/>
  <c r="D34" i="17"/>
  <c r="C34" i="17"/>
  <c r="L33" i="17"/>
  <c r="L35" i="17" s="1"/>
  <c r="K33" i="17"/>
  <c r="J33" i="17"/>
  <c r="I33" i="17"/>
  <c r="H33" i="17"/>
  <c r="G33" i="17"/>
  <c r="F33" i="17"/>
  <c r="D33" i="17"/>
  <c r="C33" i="17"/>
  <c r="M29" i="17"/>
  <c r="L29" i="17"/>
  <c r="K29" i="17"/>
  <c r="H29" i="17"/>
  <c r="G29" i="17"/>
  <c r="F29" i="17"/>
  <c r="E29" i="17"/>
  <c r="L34" i="1" s="1"/>
  <c r="D29" i="17"/>
  <c r="K34" i="1" s="1"/>
  <c r="C29" i="17"/>
  <c r="L27" i="17"/>
  <c r="K27" i="17"/>
  <c r="J27" i="17"/>
  <c r="I27" i="17"/>
  <c r="H27" i="17"/>
  <c r="G27" i="17"/>
  <c r="F27" i="17"/>
  <c r="E27" i="17"/>
  <c r="D27" i="17"/>
  <c r="C27" i="17"/>
  <c r="M23" i="17"/>
  <c r="L23" i="17"/>
  <c r="K23" i="17"/>
  <c r="J23" i="17"/>
  <c r="I23" i="17"/>
  <c r="H23" i="17"/>
  <c r="G23" i="17"/>
  <c r="F23" i="17"/>
  <c r="E23" i="17"/>
  <c r="L27" i="1" s="1"/>
  <c r="D23" i="17"/>
  <c r="K27" i="1" s="1"/>
  <c r="C23" i="17"/>
  <c r="M21" i="17"/>
  <c r="L21" i="17"/>
  <c r="K21" i="17"/>
  <c r="J21" i="17"/>
  <c r="I21" i="17"/>
  <c r="H21" i="17"/>
  <c r="G21" i="17"/>
  <c r="F21" i="17"/>
  <c r="D15" i="16" s="1"/>
  <c r="E21" i="17"/>
  <c r="E15" i="16" s="1"/>
  <c r="D21" i="17"/>
  <c r="F15" i="16" s="1"/>
  <c r="C21" i="17"/>
  <c r="G15" i="16" s="1"/>
  <c r="M18" i="17"/>
  <c r="L18" i="17"/>
  <c r="K18" i="17"/>
  <c r="J18" i="17"/>
  <c r="I18" i="17"/>
  <c r="H18" i="17"/>
  <c r="G18" i="17"/>
  <c r="F18" i="17"/>
  <c r="E18" i="17"/>
  <c r="L29" i="1" s="1"/>
  <c r="D18" i="17"/>
  <c r="K29" i="1" s="1"/>
  <c r="C18" i="17"/>
  <c r="M17" i="17"/>
  <c r="L17" i="17"/>
  <c r="K17" i="17"/>
  <c r="J17" i="17"/>
  <c r="I17" i="17"/>
  <c r="H17" i="17"/>
  <c r="G17" i="17"/>
  <c r="F17" i="17"/>
  <c r="D9" i="16" s="1"/>
  <c r="E17" i="17"/>
  <c r="E9" i="16" s="1"/>
  <c r="D17" i="17"/>
  <c r="F9" i="16" s="1"/>
  <c r="C17" i="17"/>
  <c r="G9" i="16" s="1"/>
  <c r="M15" i="17"/>
  <c r="L15" i="17"/>
  <c r="K15" i="17"/>
  <c r="J15" i="17"/>
  <c r="I15" i="17"/>
  <c r="H15" i="17"/>
  <c r="G15" i="17"/>
  <c r="F15" i="17"/>
  <c r="D13" i="16" s="1"/>
  <c r="I13" i="16" s="1"/>
  <c r="E15" i="17"/>
  <c r="E13" i="16" s="1"/>
  <c r="D15" i="17"/>
  <c r="F13" i="16" s="1"/>
  <c r="C15" i="17"/>
  <c r="G13" i="16" s="1"/>
  <c r="M14" i="17"/>
  <c r="K14" i="17"/>
  <c r="J14" i="17"/>
  <c r="I14" i="17"/>
  <c r="H14" i="17"/>
  <c r="G14" i="17"/>
  <c r="F14" i="17"/>
  <c r="D12" i="16" s="1"/>
  <c r="C14" i="17"/>
  <c r="G12" i="16" s="1"/>
  <c r="M11" i="17"/>
  <c r="D27" i="1" s="1"/>
  <c r="L11" i="17"/>
  <c r="D28" i="1" s="1"/>
  <c r="K11" i="17"/>
  <c r="D29" i="1" s="1"/>
  <c r="J11" i="17"/>
  <c r="D30" i="1" s="1"/>
  <c r="I11" i="17"/>
  <c r="D31" i="1" s="1"/>
  <c r="H11" i="17"/>
  <c r="D32" i="1" s="1"/>
  <c r="G11" i="17"/>
  <c r="D33" i="1" s="1"/>
  <c r="M7" i="17"/>
  <c r="L7" i="17"/>
  <c r="K7" i="17"/>
  <c r="J7" i="17"/>
  <c r="I7" i="17"/>
  <c r="H7" i="17"/>
  <c r="G7" i="17"/>
  <c r="F7" i="17"/>
  <c r="M5" i="17"/>
  <c r="L5" i="17"/>
  <c r="K5" i="17"/>
  <c r="J5" i="17"/>
  <c r="I5" i="17"/>
  <c r="H5" i="17"/>
  <c r="G5" i="17"/>
  <c r="F5" i="17"/>
  <c r="E5" i="17"/>
  <c r="D5" i="17"/>
  <c r="C5" i="17"/>
  <c r="B6" i="17" s="1"/>
  <c r="D4" i="17"/>
  <c r="C4" i="17"/>
  <c r="A2" i="17"/>
  <c r="B37" i="17" l="1"/>
  <c r="C37" i="17"/>
  <c r="B9" i="10"/>
  <c r="E13" i="1"/>
  <c r="B20" i="10"/>
  <c r="L14" i="1"/>
  <c r="J13" i="16"/>
  <c r="C35" i="17"/>
  <c r="I37" i="1" s="1"/>
  <c r="K35" i="17"/>
  <c r="I29" i="1" s="1"/>
  <c r="T40" i="16"/>
  <c r="T38" i="16"/>
  <c r="T39" i="16"/>
  <c r="E15" i="1"/>
  <c r="U15" i="18"/>
  <c r="Z23" i="19"/>
  <c r="I60" i="17"/>
  <c r="L26" i="17"/>
  <c r="S17" i="18"/>
  <c r="E12" i="1"/>
  <c r="AB23" i="19"/>
  <c r="V5" i="16"/>
  <c r="G22" i="16"/>
  <c r="S3" i="16"/>
  <c r="AB14" i="18"/>
  <c r="V14" i="18"/>
  <c r="I35" i="17"/>
  <c r="I31" i="1" s="1"/>
  <c r="AB15" i="18"/>
  <c r="AA15" i="18"/>
  <c r="J60" i="17"/>
  <c r="J59" i="17" s="1"/>
  <c r="T15" i="18"/>
  <c r="S15" i="18"/>
  <c r="E4" i="17"/>
  <c r="C57" i="17"/>
  <c r="W14" i="18"/>
  <c r="X14" i="18"/>
  <c r="X17" i="18" s="1"/>
  <c r="C60" i="17"/>
  <c r="G37" i="16" s="1"/>
  <c r="H37" i="16" s="1"/>
  <c r="D60" i="17"/>
  <c r="F37" i="16" s="1"/>
  <c r="K60" i="17"/>
  <c r="K59" i="17" s="1"/>
  <c r="L13" i="17"/>
  <c r="I37" i="17"/>
  <c r="I26" i="17"/>
  <c r="F57" i="17"/>
  <c r="F66" i="17" s="1"/>
  <c r="Y14" i="18"/>
  <c r="Y17" i="18" s="1"/>
  <c r="V15" i="18"/>
  <c r="V17" i="18" s="1"/>
  <c r="Z14" i="18"/>
  <c r="W15" i="18"/>
  <c r="E60" i="17"/>
  <c r="E37" i="16" s="1"/>
  <c r="M60" i="17"/>
  <c r="M59" i="17" s="1"/>
  <c r="F60" i="17"/>
  <c r="G60" i="17"/>
  <c r="G59" i="17" s="1"/>
  <c r="H60" i="17"/>
  <c r="I61" i="17"/>
  <c r="G31" i="1" s="1"/>
  <c r="J57" i="17"/>
  <c r="J66" i="17" s="1"/>
  <c r="I57" i="17"/>
  <c r="I66" i="17" s="1"/>
  <c r="M57" i="17"/>
  <c r="M66" i="17" s="1"/>
  <c r="G66" i="17"/>
  <c r="AA14" i="18"/>
  <c r="T17" i="18"/>
  <c r="J26" i="17"/>
  <c r="U14" i="18"/>
  <c r="Z15" i="18"/>
  <c r="Z17" i="18" s="1"/>
  <c r="B25" i="17"/>
  <c r="J17" i="1"/>
  <c r="L13" i="1" s="1"/>
  <c r="H19" i="17"/>
  <c r="H20" i="17" s="1"/>
  <c r="AG25" i="19"/>
  <c r="AF13" i="19"/>
  <c r="AE34" i="19"/>
  <c r="AF12" i="19"/>
  <c r="AE33" i="19"/>
  <c r="AG9" i="19"/>
  <c r="AF30" i="19"/>
  <c r="AG10" i="19"/>
  <c r="AF31" i="19"/>
  <c r="AH25" i="19"/>
  <c r="AI26" i="19"/>
  <c r="B26" i="17"/>
  <c r="B30" i="17" s="1"/>
  <c r="I6" i="17"/>
  <c r="H37" i="17"/>
  <c r="E8" i="17"/>
  <c r="B44" i="17"/>
  <c r="B61" i="17"/>
  <c r="M24" i="17"/>
  <c r="J19" i="17"/>
  <c r="J20" i="17" s="1"/>
  <c r="D24" i="17"/>
  <c r="L24" i="17"/>
  <c r="M12" i="17"/>
  <c r="F25" i="17"/>
  <c r="H25" i="17"/>
  <c r="J9" i="17"/>
  <c r="J10" i="17" s="1"/>
  <c r="G26" i="17"/>
  <c r="D66" i="17"/>
  <c r="L66" i="17"/>
  <c r="K36" i="17"/>
  <c r="F8" i="17"/>
  <c r="G19" i="17"/>
  <c r="G20" i="17" s="1"/>
  <c r="F35" i="17"/>
  <c r="H6" i="17"/>
  <c r="H8" i="17"/>
  <c r="J25" i="17"/>
  <c r="H35" i="17"/>
  <c r="I32" i="1" s="1"/>
  <c r="E26" i="17"/>
  <c r="H9" i="17"/>
  <c r="H10" i="17" s="1"/>
  <c r="G8" i="17"/>
  <c r="I9" i="17"/>
  <c r="I10" i="17" s="1"/>
  <c r="G12" i="17"/>
  <c r="I24" i="17"/>
  <c r="D35" i="17"/>
  <c r="E66" i="17"/>
  <c r="D8" i="17"/>
  <c r="I25" i="17"/>
  <c r="K9" i="17"/>
  <c r="K10" i="17" s="1"/>
  <c r="I8" i="17"/>
  <c r="C24" i="17"/>
  <c r="K24" i="17"/>
  <c r="M37" i="17"/>
  <c r="L8" i="17"/>
  <c r="J8" i="17"/>
  <c r="I19" i="17"/>
  <c r="I20" i="17" s="1"/>
  <c r="D25" i="17"/>
  <c r="L25" i="17"/>
  <c r="G35" i="17"/>
  <c r="I33" i="1" s="1"/>
  <c r="J61" i="17"/>
  <c r="G30" i="1" s="1"/>
  <c r="M35" i="17"/>
  <c r="H12" i="17"/>
  <c r="M9" i="17"/>
  <c r="M10" i="17" s="1"/>
  <c r="E25" i="17"/>
  <c r="D26" i="17"/>
  <c r="J24" i="17"/>
  <c r="K16" i="17"/>
  <c r="K22" i="17" s="1"/>
  <c r="K19" i="17"/>
  <c r="K20" i="17" s="1"/>
  <c r="H26" i="17"/>
  <c r="I36" i="17"/>
  <c r="G9" i="17"/>
  <c r="G10" i="17" s="1"/>
  <c r="M8" i="17"/>
  <c r="L12" i="17"/>
  <c r="M16" i="17"/>
  <c r="M22" i="17" s="1"/>
  <c r="L19" i="17"/>
  <c r="L20" i="17" s="1"/>
  <c r="G25" i="17"/>
  <c r="E24" i="17"/>
  <c r="J35" i="17"/>
  <c r="I30" i="1" s="1"/>
  <c r="K66" i="17"/>
  <c r="E19" i="18"/>
  <c r="E20" i="18" s="1"/>
  <c r="F11" i="17"/>
  <c r="H66" i="17"/>
  <c r="C7" i="17"/>
  <c r="C8" i="17" s="1"/>
  <c r="F5" i="18"/>
  <c r="U9" i="18"/>
  <c r="F4" i="17"/>
  <c r="J6" i="17"/>
  <c r="I12" i="17"/>
  <c r="L14" i="17"/>
  <c r="L16" i="17" s="1"/>
  <c r="L22" i="17" s="1"/>
  <c r="M19" i="17"/>
  <c r="M20" i="17" s="1"/>
  <c r="F24" i="17"/>
  <c r="C25" i="17"/>
  <c r="K25" i="17"/>
  <c r="K37" i="17"/>
  <c r="T9" i="18"/>
  <c r="K8" i="17"/>
  <c r="C6" i="17"/>
  <c r="K6" i="17"/>
  <c r="J12" i="17"/>
  <c r="G13" i="17"/>
  <c r="G16" i="17"/>
  <c r="G22" i="17" s="1"/>
  <c r="G24" i="17"/>
  <c r="D6" i="17"/>
  <c r="L6" i="17"/>
  <c r="L9" i="17"/>
  <c r="L10" i="17" s="1"/>
  <c r="K12" i="17"/>
  <c r="H13" i="17"/>
  <c r="H16" i="17"/>
  <c r="H22" i="17" s="1"/>
  <c r="H24" i="17"/>
  <c r="C26" i="17"/>
  <c r="K26" i="17"/>
  <c r="F44" i="18"/>
  <c r="E6" i="17"/>
  <c r="I13" i="17"/>
  <c r="I16" i="17"/>
  <c r="I22" i="17" s="1"/>
  <c r="G44" i="18"/>
  <c r="F6" i="17"/>
  <c r="J13" i="17"/>
  <c r="J16" i="17"/>
  <c r="J22" i="17" s="1"/>
  <c r="G37" i="17"/>
  <c r="G6" i="17"/>
  <c r="K13" i="17"/>
  <c r="C36" i="17" l="1"/>
  <c r="U17" i="18"/>
  <c r="I37" i="16"/>
  <c r="I26" i="16" s="1"/>
  <c r="H26" i="16"/>
  <c r="L37" i="17"/>
  <c r="L30" i="17"/>
  <c r="F28" i="1" s="1"/>
  <c r="D22" i="16"/>
  <c r="I34" i="1"/>
  <c r="F61" i="17"/>
  <c r="G34" i="1" s="1"/>
  <c r="D37" i="16"/>
  <c r="C66" i="17"/>
  <c r="E8" i="1"/>
  <c r="G24" i="16"/>
  <c r="G79" i="16"/>
  <c r="G81" i="16" s="1"/>
  <c r="K13" i="16"/>
  <c r="F9" i="17"/>
  <c r="F10" i="17" s="1"/>
  <c r="D8" i="16"/>
  <c r="D34" i="1"/>
  <c r="W5" i="16"/>
  <c r="U39" i="16"/>
  <c r="U38" i="16"/>
  <c r="U40" i="16"/>
  <c r="F22" i="16"/>
  <c r="I36" i="1"/>
  <c r="T3" i="16"/>
  <c r="M36" i="17"/>
  <c r="I27" i="1"/>
  <c r="J36" i="17"/>
  <c r="H36" i="17"/>
  <c r="G36" i="17"/>
  <c r="F36" i="17"/>
  <c r="D36" i="17"/>
  <c r="L36" i="17"/>
  <c r="I28" i="1"/>
  <c r="H59" i="17"/>
  <c r="AB17" i="18"/>
  <c r="L61" i="17"/>
  <c r="G28" i="1" s="1"/>
  <c r="D59" i="17"/>
  <c r="K35" i="1" s="1"/>
  <c r="C59" i="17"/>
  <c r="AA17" i="18"/>
  <c r="D61" i="17"/>
  <c r="G36" i="1" s="1"/>
  <c r="B31" i="17"/>
  <c r="B32" i="17" s="1"/>
  <c r="I59" i="17"/>
  <c r="K61" i="17"/>
  <c r="G29" i="1" s="1"/>
  <c r="W17" i="18"/>
  <c r="C61" i="17"/>
  <c r="G37" i="1" s="1"/>
  <c r="E30" i="17"/>
  <c r="E59" i="17"/>
  <c r="L35" i="1" s="1"/>
  <c r="M61" i="17"/>
  <c r="G27" i="1" s="1"/>
  <c r="M31" i="17"/>
  <c r="M32" i="17" s="1"/>
  <c r="E61" i="17"/>
  <c r="G35" i="1" s="1"/>
  <c r="F59" i="17"/>
  <c r="I30" i="17"/>
  <c r="H61" i="17"/>
  <c r="G32" i="1" s="1"/>
  <c r="G61" i="17"/>
  <c r="G33" i="1" s="1"/>
  <c r="L31" i="17"/>
  <c r="L32" i="17" s="1"/>
  <c r="J30" i="17"/>
  <c r="F31" i="17"/>
  <c r="F32" i="17" s="1"/>
  <c r="C30" i="17"/>
  <c r="AE36" i="19"/>
  <c r="AF33" i="19"/>
  <c r="AG12" i="19"/>
  <c r="AG13" i="19"/>
  <c r="AF34" i="19"/>
  <c r="AH10" i="19"/>
  <c r="AG31" i="19"/>
  <c r="AH9" i="19"/>
  <c r="AG30" i="19"/>
  <c r="AJ26" i="19"/>
  <c r="AI25" i="19"/>
  <c r="H30" i="17"/>
  <c r="D30" i="17"/>
  <c r="J37" i="17"/>
  <c r="C11" i="17"/>
  <c r="D37" i="17"/>
  <c r="F12" i="17"/>
  <c r="F19" i="17"/>
  <c r="F20" i="17" s="1"/>
  <c r="F16" i="17"/>
  <c r="F22" i="17" s="1"/>
  <c r="F13" i="17"/>
  <c r="G5" i="18"/>
  <c r="G4" i="17"/>
  <c r="V9" i="18"/>
  <c r="C20" i="18"/>
  <c r="D11" i="17"/>
  <c r="E37" i="17"/>
  <c r="F37" i="17"/>
  <c r="D19" i="18"/>
  <c r="D20" i="18" s="1"/>
  <c r="E11" i="17"/>
  <c r="K30" i="17"/>
  <c r="G30" i="17"/>
  <c r="B13" i="17" l="1"/>
  <c r="G8" i="16"/>
  <c r="D37" i="1"/>
  <c r="D39" i="1" s="1"/>
  <c r="E14" i="1"/>
  <c r="D79" i="16"/>
  <c r="D81" i="16" s="1"/>
  <c r="D24" i="16"/>
  <c r="E8" i="16"/>
  <c r="D35" i="1"/>
  <c r="D31" i="17"/>
  <c r="D32" i="17" s="1"/>
  <c r="F36" i="1"/>
  <c r="V40" i="16"/>
  <c r="V39" i="16"/>
  <c r="V38" i="16"/>
  <c r="H31" i="17"/>
  <c r="H32" i="17" s="1"/>
  <c r="F32" i="1"/>
  <c r="E31" i="17"/>
  <c r="E32" i="17" s="1"/>
  <c r="F35" i="1"/>
  <c r="X5" i="16"/>
  <c r="L11" i="1"/>
  <c r="J15" i="1"/>
  <c r="G31" i="17"/>
  <c r="G32" i="17" s="1"/>
  <c r="F33" i="1"/>
  <c r="F24" i="16"/>
  <c r="F79" i="16"/>
  <c r="F81" i="16" s="1"/>
  <c r="K31" i="17"/>
  <c r="K32" i="17" s="1"/>
  <c r="F29" i="1"/>
  <c r="J31" i="17"/>
  <c r="J32" i="17" s="1"/>
  <c r="F30" i="1"/>
  <c r="I31" i="17"/>
  <c r="I32" i="17" s="1"/>
  <c r="F31" i="1"/>
  <c r="D7" i="16"/>
  <c r="D14" i="16"/>
  <c r="D16" i="16" s="1"/>
  <c r="D18" i="16" s="1"/>
  <c r="D11" i="16"/>
  <c r="J37" i="16"/>
  <c r="F8" i="16"/>
  <c r="D36" i="1"/>
  <c r="D41" i="1" s="1"/>
  <c r="C31" i="17"/>
  <c r="C32" i="17" s="1"/>
  <c r="F37" i="1"/>
  <c r="E17" i="1"/>
  <c r="L13" i="16"/>
  <c r="U3" i="16"/>
  <c r="AF36" i="19"/>
  <c r="AG34" i="19"/>
  <c r="AH13" i="19"/>
  <c r="AG33" i="19"/>
  <c r="AH12" i="19"/>
  <c r="AI9" i="19"/>
  <c r="AH30" i="19"/>
  <c r="AI10" i="19"/>
  <c r="AH31" i="19"/>
  <c r="AK26" i="19"/>
  <c r="AJ25" i="19"/>
  <c r="D12" i="17"/>
  <c r="D16" i="17"/>
  <c r="D22" i="17" s="1"/>
  <c r="D13" i="17"/>
  <c r="D19" i="17"/>
  <c r="D20" i="17" s="1"/>
  <c r="D9" i="17"/>
  <c r="D10" i="17" s="1"/>
  <c r="C16" i="17"/>
  <c r="C22" i="17" s="1"/>
  <c r="C13" i="17"/>
  <c r="C19" i="17"/>
  <c r="C12" i="17"/>
  <c r="C9" i="17"/>
  <c r="C10" i="17" s="1"/>
  <c r="E12" i="17"/>
  <c r="E16" i="17"/>
  <c r="E22" i="17" s="1"/>
  <c r="E19" i="17"/>
  <c r="E20" i="17" s="1"/>
  <c r="E13" i="17"/>
  <c r="E9" i="17"/>
  <c r="E10" i="17" s="1"/>
  <c r="W9" i="18"/>
  <c r="H4" i="17"/>
  <c r="H5" i="18"/>
  <c r="E14" i="16" l="1"/>
  <c r="E16" i="16" s="1"/>
  <c r="E18" i="16" s="1"/>
  <c r="E21" i="16" s="1"/>
  <c r="E7" i="16"/>
  <c r="E11" i="16"/>
  <c r="W38" i="16"/>
  <c r="W39" i="16"/>
  <c r="W40" i="16"/>
  <c r="F14" i="16"/>
  <c r="F7" i="16"/>
  <c r="F11" i="16"/>
  <c r="K37" i="16"/>
  <c r="J26" i="16"/>
  <c r="M13" i="16"/>
  <c r="Y5" i="16"/>
  <c r="Z5" i="16" s="1"/>
  <c r="G7" i="16"/>
  <c r="G14" i="16"/>
  <c r="G16" i="16" s="1"/>
  <c r="G18" i="16" s="1"/>
  <c r="G21" i="16" s="1"/>
  <c r="G11" i="16"/>
  <c r="J18" i="1"/>
  <c r="J16" i="1"/>
  <c r="L15" i="1" s="1"/>
  <c r="B10" i="10"/>
  <c r="E10" i="1"/>
  <c r="V3" i="16"/>
  <c r="E11" i="1"/>
  <c r="E16" i="1"/>
  <c r="C20" i="17"/>
  <c r="AG36" i="19"/>
  <c r="AH34" i="19"/>
  <c r="AI13" i="19"/>
  <c r="AI12" i="19"/>
  <c r="AH33" i="19"/>
  <c r="AJ10" i="19"/>
  <c r="AI31" i="19"/>
  <c r="AJ9" i="19"/>
  <c r="AI30" i="19"/>
  <c r="AK25" i="19"/>
  <c r="AL26" i="19"/>
  <c r="X9" i="18"/>
  <c r="I4" i="17"/>
  <c r="I5" i="18"/>
  <c r="AA5" i="16" l="1"/>
  <c r="F16" i="16"/>
  <c r="F18" i="16" s="1"/>
  <c r="F21" i="16" s="1"/>
  <c r="D52" i="16"/>
  <c r="L37" i="16"/>
  <c r="K26" i="16"/>
  <c r="G76" i="16"/>
  <c r="G77" i="16" s="1"/>
  <c r="G32" i="16"/>
  <c r="G34" i="16" s="1"/>
  <c r="N13" i="16"/>
  <c r="X39" i="16"/>
  <c r="X38" i="16"/>
  <c r="X40" i="16"/>
  <c r="W3" i="16"/>
  <c r="AH36" i="19"/>
  <c r="AI34" i="19"/>
  <c r="AJ13" i="19"/>
  <c r="AI33" i="19"/>
  <c r="AJ12" i="19"/>
  <c r="AK9" i="19"/>
  <c r="AJ30" i="19"/>
  <c r="AK10" i="19"/>
  <c r="AJ31" i="19"/>
  <c r="AL25" i="19"/>
  <c r="AM26" i="19"/>
  <c r="Y9" i="18"/>
  <c r="J4" i="17"/>
  <c r="J5" i="18"/>
  <c r="M37" i="16" l="1"/>
  <c r="L26" i="16"/>
  <c r="F76" i="16"/>
  <c r="F77" i="16" s="1"/>
  <c r="F32" i="16"/>
  <c r="F34" i="16" s="1"/>
  <c r="P13" i="16"/>
  <c r="Y39" i="16"/>
  <c r="Y38" i="16"/>
  <c r="Y40" i="16"/>
  <c r="O13" i="16"/>
  <c r="AB5" i="16"/>
  <c r="X3" i="16"/>
  <c r="AI36" i="19"/>
  <c r="AJ33" i="19"/>
  <c r="AK12" i="19"/>
  <c r="AK13" i="19"/>
  <c r="AJ34" i="19"/>
  <c r="AL10" i="19"/>
  <c r="AK31" i="19"/>
  <c r="AL9" i="19"/>
  <c r="AK30" i="19"/>
  <c r="AN26" i="19"/>
  <c r="AM25" i="19"/>
  <c r="Z9" i="18"/>
  <c r="K4" i="17"/>
  <c r="K5" i="18"/>
  <c r="Q13" i="16" l="1"/>
  <c r="Z38" i="16"/>
  <c r="Z39" i="16"/>
  <c r="Z40" i="16"/>
  <c r="AC5" i="16"/>
  <c r="N37" i="16"/>
  <c r="M26" i="16"/>
  <c r="Y3" i="16"/>
  <c r="AJ36" i="19"/>
  <c r="AK34" i="19"/>
  <c r="AL13" i="19"/>
  <c r="AK33" i="19"/>
  <c r="AL12" i="19"/>
  <c r="AM9" i="19"/>
  <c r="AL30" i="19"/>
  <c r="AM10" i="19"/>
  <c r="AL31" i="19"/>
  <c r="AO26" i="19"/>
  <c r="AN25" i="19"/>
  <c r="L4" i="17"/>
  <c r="L5" i="18"/>
  <c r="AA9" i="18"/>
  <c r="AA40" i="16" l="1"/>
  <c r="AA39" i="16"/>
  <c r="AA38" i="16"/>
  <c r="O37" i="16"/>
  <c r="N26" i="16"/>
  <c r="S13" i="16"/>
  <c r="AD5" i="16"/>
  <c r="R13" i="16"/>
  <c r="Z3" i="16"/>
  <c r="AK36" i="19"/>
  <c r="AL33" i="19"/>
  <c r="AM12" i="19"/>
  <c r="AM13" i="19"/>
  <c r="AL34" i="19"/>
  <c r="AN10" i="19"/>
  <c r="AM31" i="19"/>
  <c r="AN9" i="19"/>
  <c r="AM30" i="19"/>
  <c r="AP26" i="19"/>
  <c r="AO25" i="19"/>
  <c r="M4" i="17"/>
  <c r="M5" i="18"/>
  <c r="AB9" i="18"/>
  <c r="P37" i="16" l="1"/>
  <c r="O26" i="16"/>
  <c r="W13" i="16"/>
  <c r="AB38" i="16"/>
  <c r="AB40" i="16"/>
  <c r="AB39" i="16"/>
  <c r="AE5" i="16"/>
  <c r="T13" i="16"/>
  <c r="U13" i="16" s="1"/>
  <c r="V13" i="16"/>
  <c r="AA3" i="16"/>
  <c r="AL36" i="19"/>
  <c r="AN13" i="19"/>
  <c r="AM34" i="19"/>
  <c r="AN12" i="19"/>
  <c r="AM33" i="19"/>
  <c r="AO9" i="19"/>
  <c r="AN30" i="19"/>
  <c r="AO10" i="19"/>
  <c r="AN31" i="19"/>
  <c r="AQ26" i="19"/>
  <c r="AP25" i="19"/>
  <c r="J24" i="1"/>
  <c r="AC40" i="16" l="1"/>
  <c r="AC39" i="16"/>
  <c r="AC38" i="16"/>
  <c r="Q37" i="16"/>
  <c r="P26" i="16"/>
  <c r="X13" i="16"/>
  <c r="AB3" i="16"/>
  <c r="AM36" i="19"/>
  <c r="AO12" i="19"/>
  <c r="AN33" i="19"/>
  <c r="AO13" i="19"/>
  <c r="AN34" i="19"/>
  <c r="AP10" i="19"/>
  <c r="AO31" i="19"/>
  <c r="AP9" i="19"/>
  <c r="AO30" i="19"/>
  <c r="AR26" i="19"/>
  <c r="AQ25" i="19"/>
  <c r="R37" i="16" l="1"/>
  <c r="Q26" i="16"/>
  <c r="AD38" i="16"/>
  <c r="AD39" i="16"/>
  <c r="AD40" i="16"/>
  <c r="Y13" i="16"/>
  <c r="AC3" i="16"/>
  <c r="AN36" i="19"/>
  <c r="AP13" i="19"/>
  <c r="AO34" i="19"/>
  <c r="AP12" i="19"/>
  <c r="AO33" i="19"/>
  <c r="AQ9" i="19"/>
  <c r="AP30" i="19"/>
  <c r="AQ10" i="19"/>
  <c r="AP31" i="19"/>
  <c r="AS26" i="19"/>
  <c r="AR25" i="19"/>
  <c r="Z13" i="16" l="1"/>
  <c r="AA13" i="16" s="1"/>
  <c r="AB13" i="16" s="1"/>
  <c r="AE40" i="16"/>
  <c r="AE39" i="16"/>
  <c r="AE38" i="16"/>
  <c r="S37" i="16"/>
  <c r="R26" i="16"/>
  <c r="AD3" i="16"/>
  <c r="AO36" i="19"/>
  <c r="AQ12" i="19"/>
  <c r="AP33" i="19"/>
  <c r="AQ13" i="19"/>
  <c r="AP34" i="19"/>
  <c r="AR10" i="19"/>
  <c r="AQ31" i="19"/>
  <c r="AR9" i="19"/>
  <c r="AQ30" i="19"/>
  <c r="AT26" i="19"/>
  <c r="AS25" i="19"/>
  <c r="T37" i="16" l="1"/>
  <c r="S26" i="16"/>
  <c r="AF38" i="16"/>
  <c r="AF40" i="16"/>
  <c r="AF39" i="16"/>
  <c r="AC13" i="16"/>
  <c r="AD13" i="16" s="1"/>
  <c r="AE13" i="16" s="1"/>
  <c r="AF13" i="16" s="1"/>
  <c r="AE3" i="16"/>
  <c r="AP36" i="19"/>
  <c r="AR13" i="19"/>
  <c r="AQ34" i="19"/>
  <c r="AR12" i="19"/>
  <c r="AQ33" i="19"/>
  <c r="AQ36" i="19" s="1"/>
  <c r="AS9" i="19"/>
  <c r="AR30" i="19"/>
  <c r="AS10" i="19"/>
  <c r="AR31" i="19"/>
  <c r="AU26" i="19"/>
  <c r="AT25" i="19"/>
  <c r="U37" i="16" l="1"/>
  <c r="T26" i="16"/>
  <c r="AF3" i="16"/>
  <c r="AG38" i="16" s="1"/>
  <c r="AS12" i="19"/>
  <c r="AR33" i="19"/>
  <c r="AS13" i="19"/>
  <c r="AR34" i="19"/>
  <c r="AT10" i="19"/>
  <c r="AS31" i="19"/>
  <c r="AT9" i="19"/>
  <c r="AS30" i="19"/>
  <c r="AV26" i="19"/>
  <c r="AU25" i="19"/>
  <c r="V37" i="16" l="1"/>
  <c r="U26" i="16"/>
  <c r="AR36" i="19"/>
  <c r="AT13" i="19"/>
  <c r="AS34" i="19"/>
  <c r="AT12" i="19"/>
  <c r="AS33" i="19"/>
  <c r="AU9" i="19"/>
  <c r="AT30" i="19"/>
  <c r="AU10" i="19"/>
  <c r="AT31" i="19"/>
  <c r="AW26" i="19"/>
  <c r="AV25" i="19"/>
  <c r="W37" i="16" l="1"/>
  <c r="V26" i="16"/>
  <c r="AS36" i="19"/>
  <c r="AU12" i="19"/>
  <c r="AT33" i="19"/>
  <c r="AU13" i="19"/>
  <c r="AT34" i="19"/>
  <c r="AV10" i="19"/>
  <c r="AU31" i="19"/>
  <c r="AV9" i="19"/>
  <c r="AU30" i="19"/>
  <c r="AX26" i="19"/>
  <c r="AW25" i="19"/>
  <c r="X37" i="16" l="1"/>
  <c r="W26" i="16"/>
  <c r="AT36" i="19"/>
  <c r="AV13" i="19"/>
  <c r="AU34" i="19"/>
  <c r="AV12" i="19"/>
  <c r="AU33" i="19"/>
  <c r="AW9" i="19"/>
  <c r="AV30" i="19"/>
  <c r="AW10" i="19"/>
  <c r="AV31" i="19"/>
  <c r="AY26" i="19"/>
  <c r="AX25" i="19"/>
  <c r="Y37" i="16" l="1"/>
  <c r="X26" i="16"/>
  <c r="AU36" i="19"/>
  <c r="AW12" i="19"/>
  <c r="AV33" i="19"/>
  <c r="AW13" i="19"/>
  <c r="AV34" i="19"/>
  <c r="AX10" i="19"/>
  <c r="AW31" i="19"/>
  <c r="AX9" i="19"/>
  <c r="AW30" i="19"/>
  <c r="AZ26" i="19"/>
  <c r="AY25" i="19"/>
  <c r="Z37" i="16" l="1"/>
  <c r="Y26" i="16"/>
  <c r="AV36" i="19"/>
  <c r="AX13" i="19"/>
  <c r="AW34" i="19"/>
  <c r="AX12" i="19"/>
  <c r="AW33" i="19"/>
  <c r="AY9" i="19"/>
  <c r="AX30" i="19"/>
  <c r="AY10" i="19"/>
  <c r="AX31" i="19"/>
  <c r="BA26" i="19"/>
  <c r="AZ25" i="19"/>
  <c r="AA37" i="16" l="1"/>
  <c r="Z26" i="16"/>
  <c r="AW36" i="19"/>
  <c r="AY12" i="19"/>
  <c r="AX33" i="19"/>
  <c r="AY13" i="19"/>
  <c r="AX34" i="19"/>
  <c r="AZ10" i="19"/>
  <c r="AY31" i="19"/>
  <c r="AZ9" i="19"/>
  <c r="AY30" i="19"/>
  <c r="BB26" i="19"/>
  <c r="BB25" i="19" s="1"/>
  <c r="BA25" i="19"/>
  <c r="AB37" i="16" l="1"/>
  <c r="AA26" i="16"/>
  <c r="AX36" i="19"/>
  <c r="AZ13" i="19"/>
  <c r="AY34" i="19"/>
  <c r="AZ12" i="19"/>
  <c r="AY33" i="19"/>
  <c r="AY36" i="19" s="1"/>
  <c r="BA9" i="19"/>
  <c r="AZ30" i="19"/>
  <c r="BA10" i="19"/>
  <c r="AZ31" i="19"/>
  <c r="AC37" i="16" l="1"/>
  <c r="AB26" i="16"/>
  <c r="BA12" i="19"/>
  <c r="AZ33" i="19"/>
  <c r="BA13" i="19"/>
  <c r="AZ34" i="19"/>
  <c r="BB10" i="19"/>
  <c r="BB31" i="19" s="1"/>
  <c r="BA31" i="19"/>
  <c r="BB9" i="19"/>
  <c r="BB30" i="19" s="1"/>
  <c r="BA30" i="19"/>
  <c r="AD37" i="16" l="1"/>
  <c r="AC26" i="16"/>
  <c r="AZ36" i="19"/>
  <c r="BB13" i="19"/>
  <c r="BB34" i="19" s="1"/>
  <c r="BA34" i="19"/>
  <c r="BB12" i="19"/>
  <c r="BB33" i="19" s="1"/>
  <c r="BB36" i="19" s="1"/>
  <c r="BA33" i="19"/>
  <c r="BA36" i="19" s="1"/>
  <c r="AE37" i="16" l="1"/>
  <c r="AD26" i="16"/>
  <c r="O36" i="1"/>
  <c r="N36" i="1"/>
  <c r="AF37" i="16" l="1"/>
  <c r="AF26" i="16" s="1"/>
  <c r="AE26" i="16"/>
  <c r="O37" i="1"/>
  <c r="D42" i="1"/>
  <c r="L40" i="1"/>
  <c r="K40" i="1"/>
  <c r="J13" i="1" l="1"/>
  <c r="B59" i="4"/>
  <c r="E61" i="4"/>
  <c r="D61" i="4"/>
  <c r="B43" i="4" l="1"/>
  <c r="C43" i="4"/>
  <c r="D42" i="4"/>
  <c r="E38" i="4" l="1"/>
  <c r="D38" i="4"/>
  <c r="C50" i="4" l="1"/>
  <c r="B50" i="4"/>
  <c r="C40" i="4" l="1"/>
  <c r="B40" i="4"/>
  <c r="C38" i="4"/>
  <c r="B38" i="4"/>
  <c r="C37" i="4"/>
  <c r="B37" i="4"/>
  <c r="R35" i="1" l="1"/>
  <c r="Q35" i="1"/>
  <c r="O35" i="1"/>
  <c r="N35" i="1"/>
  <c r="C36" i="4" s="1"/>
  <c r="D43" i="4" l="1"/>
  <c r="E43" i="4" s="1"/>
  <c r="F43" i="4" s="1"/>
  <c r="G43" i="4" s="1"/>
  <c r="H43" i="4" s="1"/>
  <c r="I43" i="4" s="1"/>
  <c r="J43" i="4" s="1"/>
  <c r="K43" i="4" s="1"/>
  <c r="L43" i="4" s="1"/>
  <c r="M43" i="4" s="1"/>
  <c r="N43" i="4" s="1"/>
  <c r="O43" i="4" s="1"/>
  <c r="P43" i="4" s="1"/>
  <c r="Q43" i="4" s="1"/>
  <c r="R43" i="4" s="1"/>
  <c r="S43" i="4" s="1"/>
  <c r="T43" i="4" s="1"/>
  <c r="U43" i="4" s="1"/>
  <c r="V43" i="4" s="1"/>
  <c r="W43" i="4" s="1"/>
  <c r="X43" i="4" s="1"/>
  <c r="Y43" i="4" s="1"/>
  <c r="Z43" i="4" s="1"/>
  <c r="AA43" i="4" s="1"/>
  <c r="AB43" i="4" s="1"/>
  <c r="AC43" i="4" s="1"/>
  <c r="P35" i="1" l="1"/>
  <c r="B47" i="4" l="1"/>
  <c r="F13" i="1"/>
  <c r="D6" i="3"/>
  <c r="C6" i="3"/>
  <c r="D48" i="4" l="1"/>
  <c r="E42" i="4" s="1"/>
  <c r="E48" i="4" l="1"/>
  <c r="F42" i="4" s="1"/>
  <c r="O27" i="1"/>
  <c r="O29" i="1"/>
  <c r="O30" i="1"/>
  <c r="O31" i="1"/>
  <c r="O32" i="1"/>
  <c r="O33" i="1"/>
  <c r="O34" i="1"/>
  <c r="F48" i="4" l="1"/>
  <c r="G42" i="4" s="1"/>
  <c r="G48" i="4" l="1"/>
  <c r="H42" i="4" s="1"/>
  <c r="H48" i="4" l="1"/>
  <c r="I42" i="4" s="1"/>
  <c r="B44" i="4"/>
  <c r="C44" i="4"/>
  <c r="I48" i="4" l="1"/>
  <c r="J42" i="4" s="1"/>
  <c r="E47" i="4"/>
  <c r="H10" i="1"/>
  <c r="J4" i="3" l="1"/>
  <c r="H8" i="1" s="1"/>
  <c r="J5" i="3"/>
  <c r="H9" i="1" s="1"/>
  <c r="J48" i="4"/>
  <c r="K42" i="4" s="1"/>
  <c r="K48" i="4" l="1"/>
  <c r="L42" i="4" s="1"/>
  <c r="F47" i="4"/>
  <c r="N32" i="1"/>
  <c r="N33" i="1"/>
  <c r="L48" i="4" l="1"/>
  <c r="M42" i="4" s="1"/>
  <c r="G47" i="4"/>
  <c r="M48" i="4" l="1"/>
  <c r="N42" i="4" s="1"/>
  <c r="H12" i="1"/>
  <c r="H11" i="1"/>
  <c r="J10" i="3" l="1"/>
  <c r="H16" i="1" s="1"/>
  <c r="H17" i="1"/>
  <c r="H19" i="1"/>
  <c r="H18" i="1"/>
  <c r="N48" i="4"/>
  <c r="O42" i="4" s="1"/>
  <c r="O48" i="4" l="1"/>
  <c r="P42" i="4" s="1"/>
  <c r="B41" i="4"/>
  <c r="P48" i="4" l="1"/>
  <c r="Q42" i="4" s="1"/>
  <c r="E40" i="4"/>
  <c r="F40" i="4" s="1"/>
  <c r="G40" i="4" s="1"/>
  <c r="H40" i="4" s="1"/>
  <c r="I40" i="4" s="1"/>
  <c r="J40" i="4" s="1"/>
  <c r="K40" i="4" s="1"/>
  <c r="L40" i="4" s="1"/>
  <c r="M40" i="4" s="1"/>
  <c r="N40" i="4" s="1"/>
  <c r="O40" i="4" s="1"/>
  <c r="P40" i="4" s="1"/>
  <c r="Q40" i="4" s="1"/>
  <c r="R40" i="4" s="1"/>
  <c r="S40" i="4" s="1"/>
  <c r="T40" i="4" s="1"/>
  <c r="U40" i="4" s="1"/>
  <c r="V40" i="4" s="1"/>
  <c r="W40" i="4" s="1"/>
  <c r="X40" i="4" s="1"/>
  <c r="Y40" i="4" s="1"/>
  <c r="Z40" i="4" s="1"/>
  <c r="AA40" i="4" s="1"/>
  <c r="AB40" i="4" s="1"/>
  <c r="AC40" i="4" s="1"/>
  <c r="C41" i="4"/>
  <c r="Q48" i="4" l="1"/>
  <c r="R42" i="4" s="1"/>
  <c r="B27" i="1"/>
  <c r="R48" i="4" l="1"/>
  <c r="S42" i="4" s="1"/>
  <c r="S48" i="4" l="1"/>
  <c r="T42" i="4" s="1"/>
  <c r="T48" i="4" l="1"/>
  <c r="U42" i="4" s="1"/>
  <c r="C49" i="4"/>
  <c r="U48" i="4" l="1"/>
  <c r="V42" i="4" s="1"/>
  <c r="V48" i="4" l="1"/>
  <c r="W42" i="4" s="1"/>
  <c r="N13" i="1"/>
  <c r="W48" i="4" l="1"/>
  <c r="X42" i="4" s="1"/>
  <c r="B49" i="4"/>
  <c r="X48" i="4" l="1"/>
  <c r="Y42" i="4" s="1"/>
  <c r="H47" i="4"/>
  <c r="E6" i="3"/>
  <c r="N27" i="1"/>
  <c r="E35" i="4"/>
  <c r="F35" i="4" s="1"/>
  <c r="G35" i="4" s="1"/>
  <c r="H35" i="4" s="1"/>
  <c r="I35" i="4" s="1"/>
  <c r="J35" i="4" s="1"/>
  <c r="K35" i="4" s="1"/>
  <c r="L35" i="4" s="1"/>
  <c r="M35" i="4" s="1"/>
  <c r="N35" i="4" s="1"/>
  <c r="O35" i="4" s="1"/>
  <c r="P35" i="4" s="1"/>
  <c r="Q35" i="4" s="1"/>
  <c r="R35" i="4" s="1"/>
  <c r="S35" i="4" s="1"/>
  <c r="T35" i="4" s="1"/>
  <c r="U35" i="4" s="1"/>
  <c r="V35" i="4" s="1"/>
  <c r="W35" i="4" s="1"/>
  <c r="X35" i="4" s="1"/>
  <c r="Y35" i="4" s="1"/>
  <c r="Z35" i="4" s="1"/>
  <c r="AA35" i="4" s="1"/>
  <c r="AB35" i="4" s="1"/>
  <c r="AC35" i="4" s="1"/>
  <c r="B46" i="4"/>
  <c r="C46" i="4"/>
  <c r="C53" i="4" s="1"/>
  <c r="D37" i="4"/>
  <c r="D3" i="3"/>
  <c r="F11" i="3"/>
  <c r="D11" i="3"/>
  <c r="E11" i="3"/>
  <c r="F6" i="1"/>
  <c r="J14" i="1"/>
  <c r="L12" i="1"/>
  <c r="L26" i="1"/>
  <c r="B28" i="1"/>
  <c r="B29" i="1" s="1"/>
  <c r="B30" i="1" s="1"/>
  <c r="B31" i="1" s="1"/>
  <c r="B32" i="1" s="1"/>
  <c r="B33" i="1" s="1"/>
  <c r="B34" i="1" s="1"/>
  <c r="B35" i="1" s="1"/>
  <c r="B36" i="1" s="1"/>
  <c r="B37" i="1" s="1"/>
  <c r="P28" i="1"/>
  <c r="S28" i="1"/>
  <c r="N28" i="1"/>
  <c r="O28" i="1"/>
  <c r="D40" i="1" s="1"/>
  <c r="Q28" i="1"/>
  <c r="R28" i="1"/>
  <c r="P29" i="1"/>
  <c r="Q29" i="1"/>
  <c r="R29" i="1"/>
  <c r="S29" i="1"/>
  <c r="N30" i="1"/>
  <c r="P30" i="1"/>
  <c r="Q30" i="1"/>
  <c r="R30" i="1"/>
  <c r="S30" i="1"/>
  <c r="S31" i="1"/>
  <c r="N31" i="1"/>
  <c r="P31" i="1"/>
  <c r="Q31" i="1"/>
  <c r="R31" i="1"/>
  <c r="Q32" i="1"/>
  <c r="R32" i="1"/>
  <c r="S32" i="1"/>
  <c r="Q33" i="1"/>
  <c r="R33" i="1"/>
  <c r="P34" i="1"/>
  <c r="B36" i="4"/>
  <c r="Q34" i="1"/>
  <c r="R34" i="1"/>
  <c r="P32" i="1"/>
  <c r="P33" i="1"/>
  <c r="S34" i="1"/>
  <c r="S33" i="1"/>
  <c r="C40" i="1" l="1"/>
  <c r="L18" i="1"/>
  <c r="J9" i="3"/>
  <c r="H15" i="1" s="1"/>
  <c r="Y33" i="4"/>
  <c r="Q33" i="4"/>
  <c r="I33" i="4"/>
  <c r="Z32" i="4"/>
  <c r="R32" i="4"/>
  <c r="J32" i="4"/>
  <c r="AA31" i="4"/>
  <c r="S31" i="4"/>
  <c r="K31" i="4"/>
  <c r="X33" i="4"/>
  <c r="P33" i="4"/>
  <c r="H33" i="4"/>
  <c r="Y32" i="4"/>
  <c r="Q32" i="4"/>
  <c r="I32" i="4"/>
  <c r="Z31" i="4"/>
  <c r="R31" i="4"/>
  <c r="J31" i="4"/>
  <c r="Z33" i="4"/>
  <c r="AB31" i="4"/>
  <c r="W33" i="4"/>
  <c r="O33" i="4"/>
  <c r="G33" i="4"/>
  <c r="X32" i="4"/>
  <c r="P32" i="4"/>
  <c r="H32" i="4"/>
  <c r="Y31" i="4"/>
  <c r="Q31" i="4"/>
  <c r="I31" i="4"/>
  <c r="D69" i="4"/>
  <c r="V33" i="4"/>
  <c r="N33" i="4"/>
  <c r="F33" i="4"/>
  <c r="W32" i="4"/>
  <c r="O32" i="4"/>
  <c r="G32" i="4"/>
  <c r="X31" i="4"/>
  <c r="P31" i="4"/>
  <c r="H31" i="4"/>
  <c r="AC33" i="4"/>
  <c r="U33" i="4"/>
  <c r="M33" i="4"/>
  <c r="E33" i="4"/>
  <c r="V32" i="4"/>
  <c r="N32" i="4"/>
  <c r="F32" i="4"/>
  <c r="W31" i="4"/>
  <c r="O31" i="4"/>
  <c r="G31" i="4"/>
  <c r="R33" i="4"/>
  <c r="AB33" i="4"/>
  <c r="T33" i="4"/>
  <c r="L33" i="4"/>
  <c r="AC32" i="4"/>
  <c r="U32" i="4"/>
  <c r="M32" i="4"/>
  <c r="E32" i="4"/>
  <c r="V31" i="4"/>
  <c r="N31" i="4"/>
  <c r="F31" i="4"/>
  <c r="AA32" i="4"/>
  <c r="K32" i="4"/>
  <c r="L31" i="4"/>
  <c r="AA33" i="4"/>
  <c r="S33" i="4"/>
  <c r="K33" i="4"/>
  <c r="AB32" i="4"/>
  <c r="T32" i="4"/>
  <c r="L32" i="4"/>
  <c r="AC31" i="4"/>
  <c r="U31" i="4"/>
  <c r="M31" i="4"/>
  <c r="E31" i="4"/>
  <c r="J33" i="4"/>
  <c r="S32" i="4"/>
  <c r="T31" i="4"/>
  <c r="Y48" i="4"/>
  <c r="Z42" i="4" s="1"/>
  <c r="L19" i="1"/>
  <c r="I47" i="4"/>
  <c r="J47" i="4" s="1"/>
  <c r="K47" i="4" s="1"/>
  <c r="L47" i="4" s="1"/>
  <c r="M47" i="4" s="1"/>
  <c r="N47" i="4" s="1"/>
  <c r="O47" i="4" s="1"/>
  <c r="P47" i="4" s="1"/>
  <c r="Q47" i="4" s="1"/>
  <c r="R47" i="4" s="1"/>
  <c r="S47" i="4" s="1"/>
  <c r="T47" i="4" s="1"/>
  <c r="U47" i="4" s="1"/>
  <c r="V47" i="4" s="1"/>
  <c r="W47" i="4" s="1"/>
  <c r="X47" i="4" s="1"/>
  <c r="Y47" i="4" s="1"/>
  <c r="Z47" i="4" s="1"/>
  <c r="AA47" i="4" s="1"/>
  <c r="AB47" i="4" s="1"/>
  <c r="AC47" i="4" s="1"/>
  <c r="D39" i="4"/>
  <c r="D44" i="4" s="1"/>
  <c r="H6" i="3"/>
  <c r="E37" i="4"/>
  <c r="H11" i="3"/>
  <c r="G11" i="3"/>
  <c r="L16" i="1"/>
  <c r="F6" i="3"/>
  <c r="G6" i="3"/>
  <c r="Z48" i="4" l="1"/>
  <c r="AA42" i="4" s="1"/>
  <c r="D45" i="4"/>
  <c r="D41" i="4"/>
  <c r="F37" i="4"/>
  <c r="E39" i="4"/>
  <c r="E44" i="4" s="1"/>
  <c r="AA48" i="4" l="1"/>
  <c r="AB42" i="4" s="1"/>
  <c r="D50" i="4"/>
  <c r="D49" i="4"/>
  <c r="D46" i="4"/>
  <c r="D53" i="4" s="1"/>
  <c r="G37" i="4"/>
  <c r="F39" i="4"/>
  <c r="F44" i="4" s="1"/>
  <c r="E41" i="4"/>
  <c r="AB48" i="4" l="1"/>
  <c r="AC42" i="4" s="1"/>
  <c r="E49" i="4"/>
  <c r="E45" i="4"/>
  <c r="E46" i="4" s="1"/>
  <c r="E53" i="4" s="1"/>
  <c r="G39" i="4"/>
  <c r="G44" i="4" s="1"/>
  <c r="H37" i="4"/>
  <c r="F41" i="4"/>
  <c r="H63" i="4"/>
  <c r="AC48" i="4" l="1"/>
  <c r="E50" i="4"/>
  <c r="F45" i="4"/>
  <c r="F46" i="4" s="1"/>
  <c r="F53" i="4" s="1"/>
  <c r="G41" i="4"/>
  <c r="I37" i="4"/>
  <c r="H39" i="4"/>
  <c r="H44" i="4" s="1"/>
  <c r="E68" i="4" l="1"/>
  <c r="F50" i="4"/>
  <c r="F68" i="4" s="1"/>
  <c r="G45" i="4"/>
  <c r="G46" i="4" s="1"/>
  <c r="H45" i="4"/>
  <c r="I39" i="4"/>
  <c r="I44" i="4" s="1"/>
  <c r="H41" i="4"/>
  <c r="J37" i="4"/>
  <c r="H50" i="4" l="1"/>
  <c r="H68" i="4" s="1"/>
  <c r="G50" i="4"/>
  <c r="G68" i="4" s="1"/>
  <c r="H46" i="4"/>
  <c r="I45" i="4"/>
  <c r="I41" i="4"/>
  <c r="K37" i="4"/>
  <c r="J39" i="4"/>
  <c r="J44" i="4" s="1"/>
  <c r="I50" i="4" l="1"/>
  <c r="I68" i="4" s="1"/>
  <c r="I46" i="4"/>
  <c r="J41" i="4"/>
  <c r="K39" i="4"/>
  <c r="K44" i="4" s="1"/>
  <c r="L37" i="4"/>
  <c r="J45" i="4" l="1"/>
  <c r="J46" i="4" s="1"/>
  <c r="K41" i="4"/>
  <c r="M37" i="4"/>
  <c r="L39" i="4"/>
  <c r="L44" i="4" s="1"/>
  <c r="J50" i="4" l="1"/>
  <c r="K45" i="4"/>
  <c r="K46" i="4" s="1"/>
  <c r="N37" i="4"/>
  <c r="L41" i="4"/>
  <c r="M39" i="4"/>
  <c r="M44" i="4" s="1"/>
  <c r="J68" i="4" l="1"/>
  <c r="K50" i="4"/>
  <c r="K68" i="4" s="1"/>
  <c r="L45" i="4"/>
  <c r="L46" i="4" s="1"/>
  <c r="O37" i="4"/>
  <c r="N39" i="4"/>
  <c r="N44" i="4" s="1"/>
  <c r="M41" i="4"/>
  <c r="L50" i="4" l="1"/>
  <c r="L68" i="4" s="1"/>
  <c r="M45" i="4"/>
  <c r="M46" i="4" s="1"/>
  <c r="O39" i="4"/>
  <c r="O44" i="4" s="1"/>
  <c r="P37" i="4"/>
  <c r="N41" i="4"/>
  <c r="M50" i="4" l="1"/>
  <c r="M68" i="4" s="1"/>
  <c r="N45" i="4"/>
  <c r="N46" i="4" s="1"/>
  <c r="O41" i="4"/>
  <c r="Q37" i="4"/>
  <c r="P39" i="4"/>
  <c r="P44" i="4" s="1"/>
  <c r="N50" i="4" l="1"/>
  <c r="N68" i="4" s="1"/>
  <c r="O45" i="4"/>
  <c r="O46" i="4" s="1"/>
  <c r="P41" i="4"/>
  <c r="Q39" i="4"/>
  <c r="Q44" i="4" s="1"/>
  <c r="R37" i="4"/>
  <c r="O50" i="4" l="1"/>
  <c r="O68" i="4" s="1"/>
  <c r="P45" i="4"/>
  <c r="P46" i="4" s="1"/>
  <c r="Q41" i="4"/>
  <c r="Q45" i="4"/>
  <c r="S37" i="4"/>
  <c r="R39" i="4"/>
  <c r="R44" i="4" s="1"/>
  <c r="Q50" i="4" l="1"/>
  <c r="Q68" i="4" s="1"/>
  <c r="P50" i="4"/>
  <c r="P68" i="4" s="1"/>
  <c r="R41" i="4"/>
  <c r="Q46" i="4"/>
  <c r="S39" i="4"/>
  <c r="S44" i="4" s="1"/>
  <c r="T37" i="4"/>
  <c r="R45" i="4" l="1"/>
  <c r="R46" i="4" s="1"/>
  <c r="S41" i="4"/>
  <c r="S45" i="4"/>
  <c r="U37" i="4"/>
  <c r="T39" i="4"/>
  <c r="T44" i="4" s="1"/>
  <c r="S50" i="4" l="1"/>
  <c r="S68" i="4" s="1"/>
  <c r="R50" i="4"/>
  <c r="R68" i="4" s="1"/>
  <c r="T45" i="4"/>
  <c r="T41" i="4"/>
  <c r="V37" i="4"/>
  <c r="U39" i="4"/>
  <c r="U44" i="4" s="1"/>
  <c r="S46" i="4"/>
  <c r="T50" i="4" l="1"/>
  <c r="T68" i="4" s="1"/>
  <c r="T46" i="4"/>
  <c r="U41" i="4"/>
  <c r="U45" i="4"/>
  <c r="W37" i="4"/>
  <c r="V39" i="4"/>
  <c r="V44" i="4" s="1"/>
  <c r="U50" i="4" l="1"/>
  <c r="U68" i="4" s="1"/>
  <c r="X37" i="4"/>
  <c r="W39" i="4"/>
  <c r="W44" i="4" s="1"/>
  <c r="U46" i="4"/>
  <c r="V41" i="4"/>
  <c r="V45" i="4" l="1"/>
  <c r="V46" i="4" s="1"/>
  <c r="W45" i="4"/>
  <c r="W41" i="4"/>
  <c r="X39" i="4"/>
  <c r="X44" i="4" s="1"/>
  <c r="Y37" i="4"/>
  <c r="W50" i="4" l="1"/>
  <c r="W68" i="4" s="1"/>
  <c r="V50" i="4"/>
  <c r="V68" i="4" s="1"/>
  <c r="W46" i="4"/>
  <c r="X41" i="4"/>
  <c r="X45" i="4"/>
  <c r="Y39" i="4"/>
  <c r="Y44" i="4" s="1"/>
  <c r="Z37" i="4"/>
  <c r="X50" i="4" l="1"/>
  <c r="X68" i="4" s="1"/>
  <c r="Y41" i="4"/>
  <c r="AA37" i="4"/>
  <c r="X46" i="4"/>
  <c r="Z39" i="4"/>
  <c r="Z44" i="4" s="1"/>
  <c r="Y45" i="4" l="1"/>
  <c r="Y46" i="4" s="1"/>
  <c r="Z41" i="4"/>
  <c r="Z45" i="4"/>
  <c r="AA39" i="4"/>
  <c r="AA44" i="4" s="1"/>
  <c r="AB37" i="4"/>
  <c r="Z50" i="4" l="1"/>
  <c r="Z68" i="4" s="1"/>
  <c r="Y50" i="4"/>
  <c r="Y68" i="4" s="1"/>
  <c r="AA41" i="4"/>
  <c r="AB39" i="4"/>
  <c r="AB44" i="4" s="1"/>
  <c r="AC37" i="4"/>
  <c r="Z46" i="4"/>
  <c r="AA45" i="4" l="1"/>
  <c r="AA46" i="4" s="1"/>
  <c r="AB45" i="4"/>
  <c r="AB41" i="4"/>
  <c r="AC39" i="4"/>
  <c r="AC44" i="4" s="1"/>
  <c r="AB50" i="4" l="1"/>
  <c r="AA50" i="4"/>
  <c r="AA68" i="4" s="1"/>
  <c r="AB46" i="4"/>
  <c r="AC45" i="4"/>
  <c r="AC41" i="4"/>
  <c r="AB68" i="4" l="1"/>
  <c r="D68" i="4" s="1"/>
  <c r="E62" i="4"/>
  <c r="D62" i="4"/>
  <c r="AC50" i="4"/>
  <c r="AC46" i="4"/>
  <c r="AC68" i="4" l="1"/>
  <c r="D63" i="4"/>
  <c r="E63" i="4"/>
  <c r="E64" i="4" s="1"/>
  <c r="D64" i="4"/>
  <c r="AC52" i="4"/>
  <c r="C63" i="4" s="1"/>
  <c r="D51" i="4" l="1"/>
  <c r="E51" i="4" s="1"/>
  <c r="F51" i="4" s="1"/>
  <c r="G51" i="4" s="1"/>
  <c r="H51" i="4" s="1"/>
  <c r="I51" i="4" s="1"/>
  <c r="J51" i="4" s="1"/>
  <c r="K51" i="4" s="1"/>
  <c r="L51" i="4" s="1"/>
  <c r="M51" i="4" s="1"/>
  <c r="N51" i="4" s="1"/>
  <c r="O51" i="4" s="1"/>
  <c r="P51" i="4" s="1"/>
  <c r="Q51" i="4" s="1"/>
  <c r="R51" i="4" s="1"/>
  <c r="S51" i="4" s="1"/>
  <c r="T51" i="4" s="1"/>
  <c r="U51" i="4" s="1"/>
  <c r="V51" i="4" s="1"/>
  <c r="W51" i="4" s="1"/>
  <c r="X51" i="4" s="1"/>
  <c r="Y51" i="4" s="1"/>
  <c r="Z51" i="4" s="1"/>
  <c r="AA51" i="4" s="1"/>
  <c r="AB51" i="4" s="1"/>
  <c r="AC51" i="4" l="1"/>
  <c r="AB52" i="4"/>
  <c r="C62" i="4" s="1"/>
  <c r="B61" i="4" l="1"/>
  <c r="B62" i="4" s="1"/>
  <c r="B63" i="4" l="1"/>
  <c r="B67" i="4" s="1"/>
  <c r="F56" i="4"/>
  <c r="D55" i="4"/>
  <c r="F55" i="4"/>
  <c r="B64" i="4"/>
  <c r="D56" i="4"/>
  <c r="E56" i="4"/>
  <c r="E55" i="4"/>
  <c r="B65" i="4" l="1"/>
  <c r="D65" i="4"/>
  <c r="E65" i="4"/>
  <c r="B69" i="4"/>
  <c r="B68" i="4"/>
  <c r="E33" i="17"/>
  <c r="E35" i="17" s="1"/>
  <c r="E22" i="16" l="1"/>
  <c r="I35" i="1"/>
  <c r="E36" i="17"/>
  <c r="E79" i="16" l="1"/>
  <c r="E81" i="16" s="1"/>
  <c r="I81" i="16" s="1"/>
  <c r="D57" i="16" s="1"/>
  <c r="I9" i="16"/>
  <c r="E24" i="16"/>
  <c r="L41" i="1"/>
  <c r="L42" i="1" s="1"/>
  <c r="K41" i="1"/>
  <c r="K42" i="1" s="1"/>
  <c r="C47" i="4"/>
  <c r="S35" i="1"/>
  <c r="E32" i="16" l="1"/>
  <c r="E34" i="16" s="1"/>
  <c r="E76" i="16"/>
  <c r="E77" i="16" s="1"/>
  <c r="O22" i="16"/>
  <c r="O24" i="16" s="1"/>
  <c r="M22" i="16"/>
  <c r="M24" i="16" s="1"/>
  <c r="L22" i="16"/>
  <c r="L24" i="16" s="1"/>
  <c r="J22" i="16"/>
  <c r="J24" i="16" s="1"/>
  <c r="K22" i="16"/>
  <c r="K24" i="16" s="1"/>
  <c r="I22" i="16"/>
  <c r="I24" i="16" s="1"/>
  <c r="P22" i="16"/>
  <c r="P24" i="16" s="1"/>
  <c r="E57" i="16"/>
  <c r="N22" i="16"/>
  <c r="N24" i="16" s="1"/>
  <c r="I11" i="16"/>
  <c r="H64" i="4"/>
  <c r="H65" i="4"/>
  <c r="J9" i="16" l="1"/>
  <c r="K9" i="16" s="1"/>
  <c r="L9" i="16" s="1"/>
  <c r="M9" i="16" s="1"/>
  <c r="N9" i="16" s="1"/>
  <c r="O9" i="16" s="1"/>
  <c r="P9" i="16" s="1"/>
  <c r="Q9" i="16" s="1"/>
  <c r="J11" i="16"/>
  <c r="K11" i="16" l="1"/>
  <c r="Q6" i="16"/>
  <c r="Q8" i="16" l="1"/>
  <c r="Q22" i="16"/>
  <c r="L11" i="16"/>
  <c r="R9" i="16"/>
  <c r="Q20" i="16"/>
  <c r="Q10" i="16"/>
  <c r="Q19" i="16" s="1"/>
  <c r="M11" i="16" l="1"/>
  <c r="Q24" i="16"/>
  <c r="N11" i="16" l="1"/>
  <c r="R6" i="16"/>
  <c r="R8" i="16" l="1"/>
  <c r="R22" i="16"/>
  <c r="O11" i="16"/>
  <c r="S9" i="16"/>
  <c r="R10" i="16"/>
  <c r="R19" i="16" s="1"/>
  <c r="R20" i="16"/>
  <c r="P11" i="16" l="1"/>
  <c r="R24" i="16"/>
  <c r="Q11" i="16" l="1"/>
  <c r="S6" i="16"/>
  <c r="S20" i="16" l="1"/>
  <c r="S22" i="16"/>
  <c r="R11" i="16"/>
  <c r="S10" i="16"/>
  <c r="S19" i="16" s="1"/>
  <c r="T9" i="16"/>
  <c r="S8" i="16"/>
  <c r="S24" i="16" l="1"/>
  <c r="S11" i="16"/>
  <c r="T6" i="16" l="1"/>
  <c r="T22" i="16" l="1"/>
  <c r="U9" i="16" s="1"/>
  <c r="T8" i="16"/>
  <c r="T24" i="16"/>
  <c r="T20" i="16"/>
  <c r="T10" i="16"/>
  <c r="T19" i="16" s="1"/>
  <c r="T11" i="16" l="1"/>
  <c r="U6" i="16" l="1"/>
  <c r="V6" i="16" l="1"/>
  <c r="V22" i="16" s="1"/>
  <c r="U22" i="16"/>
  <c r="V9" i="16"/>
  <c r="W9" i="16" s="1"/>
  <c r="W6" i="16"/>
  <c r="W22" i="16" s="1"/>
  <c r="V10" i="16"/>
  <c r="V19" i="16" s="1"/>
  <c r="V20" i="16"/>
  <c r="V24" i="16"/>
  <c r="V8" i="16"/>
  <c r="U10" i="16"/>
  <c r="U19" i="16" s="1"/>
  <c r="U8" i="16"/>
  <c r="U20" i="16"/>
  <c r="U24" i="16" l="1"/>
  <c r="V11" i="16"/>
  <c r="U11" i="16"/>
  <c r="W20" i="16"/>
  <c r="X6" i="16"/>
  <c r="X22" i="16" s="1"/>
  <c r="W10" i="16"/>
  <c r="W19" i="16" s="1"/>
  <c r="X9" i="16"/>
  <c r="W8" i="16"/>
  <c r="W24" i="16" l="1"/>
  <c r="X8" i="16"/>
  <c r="Y6" i="16"/>
  <c r="Y22" i="16" s="1"/>
  <c r="X10" i="16"/>
  <c r="X19" i="16" s="1"/>
  <c r="X24" i="16"/>
  <c r="X20" i="16"/>
  <c r="W11" i="16"/>
  <c r="Y9" i="16" l="1"/>
  <c r="Y20" i="16"/>
  <c r="Z6" i="16"/>
  <c r="Z22" i="16" s="1"/>
  <c r="Y8" i="16"/>
  <c r="Y10" i="16"/>
  <c r="Y19" i="16" s="1"/>
  <c r="X11" i="16"/>
  <c r="Z9" i="16" l="1"/>
  <c r="Y24" i="16"/>
  <c r="Z24" i="16"/>
  <c r="AA6" i="16"/>
  <c r="AA22" i="16" s="1"/>
  <c r="Z10" i="16"/>
  <c r="Z19" i="16" s="1"/>
  <c r="Z20" i="16"/>
  <c r="Z8" i="16"/>
  <c r="Y11" i="16"/>
  <c r="AA9" i="16" l="1"/>
  <c r="Z11" i="16"/>
  <c r="AA10" i="16"/>
  <c r="AA19" i="16" s="1"/>
  <c r="AA8" i="16"/>
  <c r="AB6" i="16"/>
  <c r="AB22" i="16" s="1"/>
  <c r="AA20" i="16"/>
  <c r="AB9" i="16" l="1"/>
  <c r="AA11" i="16"/>
  <c r="AA24" i="16"/>
  <c r="AB24" i="16"/>
  <c r="AB10" i="16"/>
  <c r="AB19" i="16" s="1"/>
  <c r="AB20" i="16"/>
  <c r="AB8" i="16"/>
  <c r="AC6" i="16"/>
  <c r="AC22" i="16" s="1"/>
  <c r="AC9" i="16" l="1"/>
  <c r="AC20" i="16"/>
  <c r="AC10" i="16"/>
  <c r="AC19" i="16" s="1"/>
  <c r="AC8" i="16"/>
  <c r="AD6" i="16"/>
  <c r="AB11" i="16"/>
  <c r="AE6" i="16" l="1"/>
  <c r="AE22" i="16" s="1"/>
  <c r="AD22" i="16"/>
  <c r="AD9" i="16"/>
  <c r="AF6" i="16"/>
  <c r="AF22" i="16" s="1"/>
  <c r="AE8" i="16"/>
  <c r="AE24" i="16"/>
  <c r="AE10" i="16"/>
  <c r="AE19" i="16" s="1"/>
  <c r="AC11" i="16"/>
  <c r="AC24" i="16"/>
  <c r="AE20" i="16"/>
  <c r="AD10" i="16"/>
  <c r="AD19" i="16" s="1"/>
  <c r="AD20" i="16"/>
  <c r="AD24" i="16"/>
  <c r="AD8" i="16"/>
  <c r="AE9" i="16" l="1"/>
  <c r="AF9" i="16" s="1"/>
  <c r="AF24" i="16"/>
  <c r="AF20" i="16"/>
  <c r="AF8" i="16"/>
  <c r="AF10" i="16"/>
  <c r="AF19" i="16" s="1"/>
  <c r="AD11" i="16"/>
  <c r="AF11" i="16" l="1"/>
  <c r="AE11" i="16"/>
  <c r="G50" i="16" l="1"/>
  <c r="H11" i="16"/>
  <c r="H16" i="16" l="1"/>
  <c r="H42" i="16" l="1"/>
  <c r="H18" i="16"/>
  <c r="H21" i="16" s="1"/>
  <c r="H33" i="16"/>
  <c r="H30" i="16"/>
  <c r="D21" i="16"/>
  <c r="D76" i="16" s="1"/>
  <c r="D77" i="16" s="1"/>
  <c r="D10" i="16"/>
  <c r="G51" i="16" s="1"/>
  <c r="D3" i="16"/>
  <c r="D32" i="16" l="1"/>
  <c r="D34" i="16" s="1"/>
  <c r="D36" i="16" s="1"/>
  <c r="E36" i="16" s="1"/>
  <c r="F36" i="16" s="1"/>
  <c r="G36" i="16" s="1"/>
  <c r="H76" i="16"/>
  <c r="H77" i="16" s="1"/>
  <c r="D55" i="16" s="1"/>
  <c r="E55" i="16" s="1"/>
  <c r="H32" i="16"/>
  <c r="H34" i="16" s="1"/>
  <c r="H36" i="16" s="1"/>
  <c r="I12" i="16" s="1"/>
  <c r="I14" i="16" l="1"/>
  <c r="I15" i="16" s="1"/>
  <c r="I18" i="16" l="1"/>
  <c r="I21" i="16" s="1"/>
  <c r="I27" i="16" s="1"/>
  <c r="E52" i="16"/>
  <c r="I16" i="16"/>
  <c r="I42" i="16" s="1"/>
  <c r="I32" i="16" l="1"/>
  <c r="I33" i="16"/>
  <c r="I30" i="16"/>
  <c r="I34" i="16" l="1"/>
  <c r="I36" i="16" s="1"/>
  <c r="J12" i="16" l="1"/>
  <c r="J14" i="16" l="1"/>
  <c r="J15" i="16" s="1"/>
  <c r="J18" i="16" l="1"/>
  <c r="J21" i="16" s="1"/>
  <c r="J27" i="16" s="1"/>
  <c r="J16" i="16" l="1"/>
  <c r="J42" i="16" s="1"/>
  <c r="J32" i="16"/>
  <c r="J30" i="16" l="1"/>
  <c r="J33" i="16"/>
  <c r="J34" i="16" l="1"/>
  <c r="J36" i="16" s="1"/>
  <c r="K12" i="16" l="1"/>
  <c r="K14" i="16" l="1"/>
  <c r="K15" i="16" s="1"/>
  <c r="K18" i="16" l="1"/>
  <c r="K21" i="16" s="1"/>
  <c r="K27" i="16" s="1"/>
  <c r="K32" i="16" l="1"/>
  <c r="K16" i="16"/>
  <c r="K33" i="16" l="1"/>
  <c r="K34" i="16" s="1"/>
  <c r="K36" i="16" s="1"/>
  <c r="K30" i="16"/>
  <c r="L12" i="16" l="1"/>
  <c r="L14" i="16" l="1"/>
  <c r="L15" i="16" s="1"/>
  <c r="L18" i="16" l="1"/>
  <c r="L21" i="16" s="1"/>
  <c r="L27" i="16" s="1"/>
  <c r="L16" i="16" l="1"/>
  <c r="L32" i="16"/>
  <c r="L33" i="16" l="1"/>
  <c r="L34" i="16" s="1"/>
  <c r="L36" i="16" s="1"/>
  <c r="L30" i="16"/>
  <c r="M12" i="16" l="1"/>
  <c r="M14" i="16" l="1"/>
  <c r="M15" i="16" s="1"/>
  <c r="M18" i="16" l="1"/>
  <c r="M21" i="16" s="1"/>
  <c r="M27" i="16" s="1"/>
  <c r="M32" i="16" l="1"/>
  <c r="M16" i="16"/>
  <c r="M30" i="16" l="1"/>
  <c r="M33" i="16"/>
  <c r="M34" i="16" s="1"/>
  <c r="M36" i="16" s="1"/>
  <c r="N12" i="16" l="1"/>
  <c r="N14" i="16" l="1"/>
  <c r="N15" i="16" s="1"/>
  <c r="N18" i="16" l="1"/>
  <c r="N21" i="16" s="1"/>
  <c r="N27" i="16" s="1"/>
  <c r="N16" i="16" l="1"/>
  <c r="N32" i="16"/>
  <c r="N33" i="16" l="1"/>
  <c r="N34" i="16" s="1"/>
  <c r="N36" i="16" s="1"/>
  <c r="N30" i="16"/>
  <c r="O12" i="16" l="1"/>
  <c r="O14" i="16" l="1"/>
  <c r="O15" i="16" s="1"/>
  <c r="O18" i="16" l="1"/>
  <c r="O21" i="16" s="1"/>
  <c r="O27" i="16" s="1"/>
  <c r="O32" i="16" l="1"/>
  <c r="O16" i="16"/>
  <c r="O30" i="16" l="1"/>
  <c r="O33" i="16"/>
  <c r="O34" i="16" s="1"/>
  <c r="O36" i="16" s="1"/>
  <c r="P12" i="16" l="1"/>
  <c r="P14" i="16" l="1"/>
  <c r="P15" i="16" s="1"/>
  <c r="P18" i="16" l="1"/>
  <c r="P21" i="16" s="1"/>
  <c r="P27" i="16" s="1"/>
  <c r="P16" i="16" l="1"/>
  <c r="P32" i="16"/>
  <c r="P33" i="16" l="1"/>
  <c r="P34" i="16" s="1"/>
  <c r="P36" i="16" s="1"/>
  <c r="P30" i="16"/>
  <c r="Q12" i="16" l="1"/>
  <c r="Q14" i="16" l="1"/>
  <c r="Q15" i="16" s="1"/>
  <c r="Q18" i="16" l="1"/>
  <c r="Q21" i="16" s="1"/>
  <c r="Q28" i="16" s="1"/>
  <c r="Q27" i="16" l="1"/>
  <c r="Q32" i="16"/>
  <c r="Q16" i="16"/>
  <c r="Q30" i="16" l="1"/>
  <c r="Q33" i="16"/>
  <c r="Q34" i="16" s="1"/>
  <c r="Q36" i="16" s="1"/>
  <c r="R12" i="16" l="1"/>
  <c r="R14" i="16" l="1"/>
  <c r="R15" i="16" s="1"/>
  <c r="R18" i="16" l="1"/>
  <c r="R21" i="16" s="1"/>
  <c r="R28" i="16" s="1"/>
  <c r="R27" i="16" l="1"/>
  <c r="R16" i="16"/>
  <c r="R32" i="16"/>
  <c r="R30" i="16" l="1"/>
  <c r="R33" i="16"/>
  <c r="R34" i="16" s="1"/>
  <c r="R36" i="16" s="1"/>
  <c r="S12" i="16" l="1"/>
  <c r="S14" i="16" l="1"/>
  <c r="S15" i="16" s="1"/>
  <c r="S18" i="16" l="1"/>
  <c r="S21" i="16" s="1"/>
  <c r="S28" i="16" s="1"/>
  <c r="S27" i="16" l="1"/>
  <c r="S32" i="16"/>
  <c r="S16" i="16"/>
  <c r="S33" i="16" l="1"/>
  <c r="S34" i="16" s="1"/>
  <c r="S36" i="16" s="1"/>
  <c r="S30" i="16"/>
  <c r="T12" i="16" l="1"/>
  <c r="T14" i="16" l="1"/>
  <c r="T15" i="16" s="1"/>
  <c r="T18" i="16" l="1"/>
  <c r="T21" i="16" s="1"/>
  <c r="T28" i="16" s="1"/>
  <c r="T27" i="16" l="1"/>
  <c r="T16" i="16"/>
  <c r="T32" i="16"/>
  <c r="T33" i="16" l="1"/>
  <c r="T34" i="16" s="1"/>
  <c r="T36" i="16" s="1"/>
  <c r="T30" i="16"/>
  <c r="U12" i="16" l="1"/>
  <c r="U14" i="16" l="1"/>
  <c r="U15" i="16" s="1"/>
  <c r="U18" i="16" l="1"/>
  <c r="U21" i="16" s="1"/>
  <c r="U28" i="16" s="1"/>
  <c r="U27" i="16" l="1"/>
  <c r="U32" i="16"/>
  <c r="U16" i="16"/>
  <c r="U33" i="16" l="1"/>
  <c r="U34" i="16" s="1"/>
  <c r="U36" i="16" s="1"/>
  <c r="U30" i="16"/>
  <c r="V12" i="16" l="1"/>
  <c r="V14" i="16" l="1"/>
  <c r="V15" i="16" s="1"/>
  <c r="V18" i="16" l="1"/>
  <c r="V21" i="16" s="1"/>
  <c r="V28" i="16" s="1"/>
  <c r="V27" i="16" l="1"/>
  <c r="V16" i="16"/>
  <c r="V32" i="16"/>
  <c r="V30" i="16" l="1"/>
  <c r="V33" i="16"/>
  <c r="V34" i="16" s="1"/>
  <c r="V36" i="16" s="1"/>
  <c r="W12" i="16" l="1"/>
  <c r="W14" i="16" l="1"/>
  <c r="W15" i="16" s="1"/>
  <c r="W18" i="16" l="1"/>
  <c r="W21" i="16" s="1"/>
  <c r="W28" i="16" s="1"/>
  <c r="W27" i="16" l="1"/>
  <c r="W32" i="16"/>
  <c r="W16" i="16"/>
  <c r="W33" i="16" l="1"/>
  <c r="W34" i="16" s="1"/>
  <c r="W36" i="16" s="1"/>
  <c r="W30" i="16"/>
  <c r="X12" i="16" l="1"/>
  <c r="X14" i="16" l="1"/>
  <c r="X15" i="16" s="1"/>
  <c r="X18" i="16" l="1"/>
  <c r="X21" i="16" s="1"/>
  <c r="X28" i="16" s="1"/>
  <c r="X27" i="16" l="1"/>
  <c r="X16" i="16"/>
  <c r="X32" i="16"/>
  <c r="X33" i="16" l="1"/>
  <c r="X34" i="16" s="1"/>
  <c r="X36" i="16" s="1"/>
  <c r="X30" i="16"/>
  <c r="Y12" i="16" l="1"/>
  <c r="Y14" i="16" l="1"/>
  <c r="Y15" i="16" s="1"/>
  <c r="Y18" i="16" l="1"/>
  <c r="Y21" i="16" s="1"/>
  <c r="Y28" i="16" s="1"/>
  <c r="Y27" i="16" l="1"/>
  <c r="Y32" i="16"/>
  <c r="Y16" i="16"/>
  <c r="Y30" i="16" l="1"/>
  <c r="Y33" i="16"/>
  <c r="Y34" i="16" s="1"/>
  <c r="Y36" i="16" s="1"/>
  <c r="Z12" i="16" l="1"/>
  <c r="Z14" i="16" l="1"/>
  <c r="Z15" i="16" s="1"/>
  <c r="Z18" i="16" l="1"/>
  <c r="Z21" i="16" s="1"/>
  <c r="Z28" i="16" s="1"/>
  <c r="Z27" i="16" l="1"/>
  <c r="Z16" i="16"/>
  <c r="Z32" i="16"/>
  <c r="Z33" i="16" l="1"/>
  <c r="Z34" i="16" s="1"/>
  <c r="Z36" i="16" s="1"/>
  <c r="Z30" i="16"/>
  <c r="AA12" i="16" l="1"/>
  <c r="AA14" i="16" l="1"/>
  <c r="AA15" i="16" s="1"/>
  <c r="AA18" i="16" l="1"/>
  <c r="AA21" i="16" s="1"/>
  <c r="AA28" i="16" s="1"/>
  <c r="AA27" i="16" l="1"/>
  <c r="AA32" i="16"/>
  <c r="AA16" i="16"/>
  <c r="AA30" i="16" l="1"/>
  <c r="AA33" i="16"/>
  <c r="AA34" i="16" s="1"/>
  <c r="AA36" i="16" s="1"/>
  <c r="AB12" i="16" l="1"/>
  <c r="AB14" i="16" l="1"/>
  <c r="AB15" i="16" s="1"/>
  <c r="AB18" i="16" l="1"/>
  <c r="AB21" i="16" s="1"/>
  <c r="AB28" i="16" s="1"/>
  <c r="AB27" i="16" l="1"/>
  <c r="AB16" i="16"/>
  <c r="AB32" i="16"/>
  <c r="AB30" i="16" l="1"/>
  <c r="AB33" i="16"/>
  <c r="AB34" i="16" s="1"/>
  <c r="AB36" i="16" s="1"/>
  <c r="AC12" i="16" l="1"/>
  <c r="AC14" i="16" l="1"/>
  <c r="AC15" i="16" s="1"/>
  <c r="AC18" i="16" l="1"/>
  <c r="AC21" i="16" s="1"/>
  <c r="AC28" i="16" s="1"/>
  <c r="AC27" i="16" l="1"/>
  <c r="AC32" i="16"/>
  <c r="AC16" i="16"/>
  <c r="AC30" i="16" l="1"/>
  <c r="AC33" i="16"/>
  <c r="AC34" i="16" s="1"/>
  <c r="AC36" i="16" s="1"/>
  <c r="AD12" i="16" l="1"/>
  <c r="AD14" i="16" l="1"/>
  <c r="AD15" i="16" s="1"/>
  <c r="AD18" i="16" l="1"/>
  <c r="AD21" i="16" s="1"/>
  <c r="AD28" i="16" s="1"/>
  <c r="AD27" i="16" l="1"/>
  <c r="AD16" i="16"/>
  <c r="AD32" i="16"/>
  <c r="AD30" i="16" l="1"/>
  <c r="AD33" i="16"/>
  <c r="AD34" i="16" s="1"/>
  <c r="AD36" i="16" s="1"/>
  <c r="AE12" i="16" l="1"/>
  <c r="AE14" i="16" l="1"/>
  <c r="AE15" i="16" s="1"/>
  <c r="AE18" i="16" l="1"/>
  <c r="AE21" i="16" s="1"/>
  <c r="AE28" i="16" s="1"/>
  <c r="AE27" i="16" l="1"/>
  <c r="AE32" i="16"/>
  <c r="AE16" i="16"/>
  <c r="AE33" i="16" l="1"/>
  <c r="AE30" i="16"/>
  <c r="AE34" i="16" l="1"/>
  <c r="AE36" i="16" s="1"/>
  <c r="AE61" i="16" s="1"/>
  <c r="AE62" i="16" s="1"/>
  <c r="AF12" i="16" l="1"/>
  <c r="AF14" i="16" s="1"/>
  <c r="AF15" i="16" s="1"/>
  <c r="AF18" i="16" l="1"/>
  <c r="AF21" i="16" s="1"/>
  <c r="AF28" i="16" s="1"/>
  <c r="AF27" i="16" l="1"/>
  <c r="AF32" i="16"/>
  <c r="AF16" i="16"/>
  <c r="AF33" i="16" l="1"/>
  <c r="AF30" i="16"/>
  <c r="AF34" i="16" l="1"/>
  <c r="AF36" i="16" s="1"/>
  <c r="D62" i="16" s="1"/>
  <c r="D64" i="16" s="1"/>
  <c r="D66" i="16" s="1"/>
  <c r="H24" i="1" s="1"/>
  <c r="E63" i="16" l="1"/>
  <c r="E62" i="16"/>
  <c r="I44" i="16"/>
  <c r="H44" i="16"/>
  <c r="D65" i="16" l="1"/>
  <c r="L23" i="1" s="1"/>
  <c r="L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bloomberg-alunos</author>
    <author>林伊婧</author>
    <author>User</author>
    <author>Lalo Rodriguez</author>
  </authors>
  <commentList>
    <comment ref="B2" authorId="0" shapeId="0" xr:uid="{00000000-0006-0000-0100-000001000000}">
      <text>
        <r>
          <rPr>
            <b/>
            <sz val="9"/>
            <color indexed="81"/>
            <rFont val="Tahoma"/>
            <family val="2"/>
          </rPr>
          <t>(date of last modification)</t>
        </r>
      </text>
    </comment>
    <comment ref="D2" authorId="0" shapeId="0" xr:uid="{00000000-0006-0000-0100-000002000000}">
      <text>
        <r>
          <rPr>
            <b/>
            <sz val="9"/>
            <color indexed="81"/>
            <rFont val="Tahoma"/>
            <family val="2"/>
          </rPr>
          <t>Date of last report/release</t>
        </r>
      </text>
    </comment>
    <comment ref="K2" authorId="0" shapeId="0" xr:uid="{00000000-0006-0000-0100-000003000000}">
      <text>
        <r>
          <rPr>
            <b/>
            <sz val="9"/>
            <color indexed="81"/>
            <rFont val="Tahoma"/>
            <family val="2"/>
          </rPr>
          <t>Stock market</t>
        </r>
      </text>
    </comment>
    <comment ref="B7" authorId="1" shapeId="0" xr:uid="{00000000-0006-0000-0100-000004000000}">
      <text>
        <r>
          <rPr>
            <b/>
            <sz val="10"/>
            <color rgb="FF000000"/>
            <rFont val="Tahoma"/>
            <family val="2"/>
          </rPr>
          <t>Last price</t>
        </r>
        <r>
          <rPr>
            <sz val="10"/>
            <color rgb="FF000000"/>
            <rFont val="Tahoma"/>
            <family val="2"/>
          </rPr>
          <t xml:space="preserve">
</t>
        </r>
      </text>
    </comment>
    <comment ref="D7" authorId="1" shapeId="0" xr:uid="{00000000-0006-0000-0100-000005000000}">
      <text>
        <r>
          <rPr>
            <b/>
            <sz val="10"/>
            <color rgb="FF000000"/>
            <rFont val="Tahoma"/>
            <family val="2"/>
          </rPr>
          <t>Total Assets</t>
        </r>
        <r>
          <rPr>
            <sz val="10"/>
            <color rgb="FF000000"/>
            <rFont val="Tahoma"/>
            <family val="2"/>
          </rPr>
          <t xml:space="preserve">
</t>
        </r>
      </text>
    </comment>
    <comment ref="I7" authorId="0" shapeId="0" xr:uid="{00000000-0006-0000-0100-000006000000}">
      <text>
        <r>
          <rPr>
            <b/>
            <sz val="9"/>
            <color indexed="81"/>
            <rFont val="Tahoma"/>
            <family val="2"/>
          </rPr>
          <t>End of financial year</t>
        </r>
      </text>
    </comment>
    <comment ref="D8" authorId="1" shapeId="0" xr:uid="{00000000-0006-0000-0100-000007000000}">
      <text>
        <r>
          <rPr>
            <b/>
            <sz val="10"/>
            <color rgb="FF000000"/>
            <rFont val="Tahoma"/>
            <family val="2"/>
          </rPr>
          <t>Total liabilities</t>
        </r>
        <r>
          <rPr>
            <sz val="10"/>
            <color rgb="FF000000"/>
            <rFont val="Tahoma"/>
            <family val="2"/>
          </rPr>
          <t xml:space="preserve">
</t>
        </r>
      </text>
    </comment>
    <comment ref="B10" authorId="1" shapeId="0" xr:uid="{00000000-0006-0000-0100-000008000000}">
      <text>
        <r>
          <rPr>
            <b/>
            <sz val="10"/>
            <color rgb="FF000000"/>
            <rFont val="Tahoma"/>
            <family val="2"/>
          </rPr>
          <t>Debt</t>
        </r>
        <r>
          <rPr>
            <sz val="10"/>
            <color rgb="FF000000"/>
            <rFont val="Tahoma"/>
            <family val="2"/>
          </rPr>
          <t xml:space="preserve">
</t>
        </r>
      </text>
    </comment>
    <comment ref="D10" authorId="1" shapeId="0" xr:uid="{00000000-0006-0000-0100-000009000000}">
      <text>
        <r>
          <rPr>
            <b/>
            <sz val="10"/>
            <color rgb="FF000000"/>
            <rFont val="Tahoma"/>
            <family val="2"/>
          </rPr>
          <t>EBITDA/Net financial cost</t>
        </r>
        <r>
          <rPr>
            <sz val="10"/>
            <color rgb="FF000000"/>
            <rFont val="Tahoma"/>
            <family val="2"/>
          </rPr>
          <t xml:space="preserve">
</t>
        </r>
      </text>
    </comment>
    <comment ref="D11" authorId="1" shapeId="0" xr:uid="{00000000-0006-0000-0100-00000A000000}">
      <text>
        <r>
          <rPr>
            <b/>
            <sz val="10"/>
            <color rgb="FF000000"/>
            <rFont val="Tahoma"/>
            <family val="2"/>
          </rPr>
          <t>Debt/EBITDA</t>
        </r>
        <r>
          <rPr>
            <sz val="10"/>
            <color rgb="FF000000"/>
            <rFont val="Tahoma"/>
            <family val="2"/>
          </rPr>
          <t xml:space="preserve">
</t>
        </r>
      </text>
    </comment>
    <comment ref="E11" authorId="2" shapeId="0" xr:uid="{00000000-0006-0000-0100-00000B000000}">
      <text>
        <r>
          <rPr>
            <sz val="9"/>
            <color indexed="81"/>
            <rFont val="Tahoma"/>
            <family val="2"/>
          </rPr>
          <t>While not excessively high, it implies that the company is using debt strategically to finance growth.</t>
        </r>
      </text>
    </comment>
    <comment ref="D12" authorId="1" shapeId="0" xr:uid="{00000000-0006-0000-0100-00000C000000}">
      <text>
        <r>
          <rPr>
            <b/>
            <sz val="10"/>
            <color rgb="FF000000"/>
            <rFont val="Tahoma"/>
            <family val="2"/>
          </rPr>
          <t>Other assets</t>
        </r>
        <r>
          <rPr>
            <sz val="10"/>
            <color rgb="FF000000"/>
            <rFont val="Tahoma"/>
            <family val="2"/>
          </rPr>
          <t xml:space="preserve">
</t>
        </r>
      </text>
    </comment>
    <comment ref="B13" authorId="1" shapeId="0" xr:uid="{00000000-0006-0000-0100-00000D000000}">
      <text>
        <r>
          <rPr>
            <sz val="10"/>
            <color rgb="FF000000"/>
            <rFont val="Arial"/>
            <family val="2"/>
          </rPr>
          <t>'Holdings (nac/int'l)</t>
        </r>
      </text>
    </comment>
    <comment ref="D13" authorId="1" shapeId="0" xr:uid="{00000000-0006-0000-0100-00000E000000}">
      <text>
        <r>
          <rPr>
            <b/>
            <sz val="10"/>
            <color rgb="FF000000"/>
            <rFont val="Tahoma"/>
            <family val="2"/>
          </rPr>
          <t>Debt/asset</t>
        </r>
      </text>
    </comment>
    <comment ref="B14" authorId="1" shapeId="0" xr:uid="{00000000-0006-0000-0100-00000F000000}">
      <text>
        <r>
          <rPr>
            <sz val="10"/>
            <color rgb="FF000000"/>
            <rFont val="Arial"/>
            <family val="2"/>
          </rPr>
          <t>t liq. (Holdings/Vol.)</t>
        </r>
      </text>
    </comment>
    <comment ref="D14" authorId="1" shapeId="0" xr:uid="{00000000-0006-0000-0100-000010000000}">
      <text>
        <r>
          <rPr>
            <b/>
            <sz val="10"/>
            <color rgb="FF000000"/>
            <rFont val="Tahoma"/>
            <family val="2"/>
          </rPr>
          <t>Operating margin</t>
        </r>
      </text>
    </comment>
    <comment ref="E14" authorId="2" shapeId="0" xr:uid="{00000000-0006-0000-0100-000011000000}">
      <text>
        <r>
          <rPr>
            <b/>
            <sz val="9"/>
            <color indexed="81"/>
            <rFont val="Tahoma"/>
            <family val="2"/>
          </rPr>
          <t>User:</t>
        </r>
        <r>
          <rPr>
            <sz val="9"/>
            <color indexed="81"/>
            <rFont val="Tahoma"/>
            <family val="2"/>
          </rPr>
          <t xml:space="preserve">
Industry average margin is 17.02%</t>
        </r>
      </text>
    </comment>
    <comment ref="J14" authorId="2" shapeId="0" xr:uid="{00000000-0006-0000-0100-000012000000}">
      <text>
        <r>
          <rPr>
            <b/>
            <sz val="9"/>
            <color indexed="81"/>
            <rFont val="Tahoma"/>
            <family val="2"/>
          </rPr>
          <t>Industry average is 7,28% (Stern SB)</t>
        </r>
      </text>
    </comment>
    <comment ref="D15" authorId="1" shapeId="0" xr:uid="{00000000-0006-0000-0100-000013000000}">
      <text>
        <r>
          <rPr>
            <b/>
            <sz val="10"/>
            <color rgb="FF000000"/>
            <rFont val="Tahoma"/>
            <family val="2"/>
          </rPr>
          <t>Net income margin</t>
        </r>
        <r>
          <rPr>
            <sz val="10"/>
            <color rgb="FF000000"/>
            <rFont val="Tahoma"/>
            <family val="2"/>
          </rPr>
          <t xml:space="preserve">
</t>
        </r>
      </text>
    </comment>
    <comment ref="J15" authorId="2" shapeId="0" xr:uid="{00000000-0006-0000-0100-000014000000}">
      <text>
        <r>
          <rPr>
            <b/>
            <sz val="9"/>
            <color indexed="81"/>
            <rFont val="Tahoma"/>
            <family val="2"/>
          </rPr>
          <t>Industry average is 14.53% (Stern SB)</t>
        </r>
      </text>
    </comment>
    <comment ref="D16" authorId="1" shapeId="0" xr:uid="{00000000-0006-0000-0100-000015000000}">
      <text>
        <r>
          <rPr>
            <b/>
            <sz val="10"/>
            <color rgb="FF000000"/>
            <rFont val="Tahoma"/>
            <family val="2"/>
          </rPr>
          <t>EBITDA/Revenue</t>
        </r>
        <r>
          <rPr>
            <sz val="10"/>
            <color rgb="FF000000"/>
            <rFont val="Tahoma"/>
            <family val="2"/>
          </rPr>
          <t xml:space="preserve">
</t>
        </r>
      </text>
    </comment>
    <comment ref="C17" authorId="3" shapeId="0" xr:uid="{00000000-0006-0000-0100-000016000000}">
      <text>
        <r>
          <rPr>
            <b/>
            <sz val="9"/>
            <color rgb="FF000000"/>
            <rFont val="Tahoma"/>
            <family val="2"/>
          </rPr>
          <t>Energy consumption and waste manageent are problems of the company</t>
        </r>
      </text>
    </comment>
    <comment ref="D17" authorId="1" shapeId="0" xr:uid="{00000000-0006-0000-0100-000017000000}">
      <text>
        <r>
          <rPr>
            <b/>
            <sz val="10"/>
            <color rgb="FF000000"/>
            <rFont val="Tahoma"/>
            <family val="2"/>
          </rPr>
          <t>林伊婧</t>
        </r>
        <r>
          <rPr>
            <b/>
            <sz val="10"/>
            <color rgb="FF000000"/>
            <rFont val="Tahoma"/>
            <family val="2"/>
          </rPr>
          <t>:</t>
        </r>
        <r>
          <rPr>
            <sz val="10"/>
            <color rgb="FF000000"/>
            <rFont val="Tahoma"/>
            <family val="2"/>
          </rPr>
          <t xml:space="preserve">
</t>
        </r>
      </text>
    </comment>
    <comment ref="B23" authorId="2" shapeId="0" xr:uid="{00000000-0006-0000-0100-000018000000}">
      <text>
        <r>
          <rPr>
            <b/>
            <sz val="9"/>
            <color indexed="81"/>
            <rFont val="Tahoma"/>
            <family val="2"/>
          </rPr>
          <t>Key Success Factors</t>
        </r>
      </text>
    </comment>
    <comment ref="I24" authorId="1" shapeId="0" xr:uid="{00000000-0006-0000-0100-000019000000}">
      <text>
        <r>
          <rPr>
            <b/>
            <sz val="10"/>
            <color rgb="FF000000"/>
            <rFont val="Tahoma"/>
            <family val="2"/>
          </rPr>
          <t>Discount rate</t>
        </r>
        <r>
          <rPr>
            <sz val="10"/>
            <color rgb="FF000000"/>
            <rFont val="Tahoma"/>
            <family val="2"/>
          </rPr>
          <t xml:space="preserve">
</t>
        </r>
      </text>
    </comment>
    <comment ref="C25" authorId="2" shapeId="0" xr:uid="{00000000-0006-0000-0100-00001A000000}">
      <text>
        <r>
          <rPr>
            <b/>
            <sz val="9"/>
            <color indexed="81"/>
            <rFont val="Tahoma"/>
            <family val="2"/>
          </rPr>
          <t>Revenue</t>
        </r>
      </text>
    </comment>
    <comment ref="F25" authorId="2" shapeId="0" xr:uid="{00000000-0006-0000-0100-00001B000000}">
      <text>
        <r>
          <rPr>
            <b/>
            <sz val="9"/>
            <color indexed="81"/>
            <rFont val="Tahoma"/>
            <family val="2"/>
          </rPr>
          <t>Net Liabilities Flow</t>
        </r>
      </text>
    </comment>
    <comment ref="G31" authorId="2" shapeId="0" xr:uid="{00000000-0006-0000-0100-00001C000000}">
      <text>
        <r>
          <rPr>
            <sz val="9"/>
            <color indexed="81"/>
            <rFont val="Tahoma"/>
            <family val="2"/>
          </rPr>
          <t>Dexcom started issuing debt to fund operations and facility expansion.</t>
        </r>
      </text>
    </comment>
    <comment ref="E32" authorId="2" shapeId="0" xr:uid="{00000000-0006-0000-0100-00001D000000}">
      <text>
        <r>
          <rPr>
            <sz val="9"/>
            <color indexed="81"/>
            <rFont val="Tahoma"/>
            <family val="2"/>
          </rPr>
          <t>$100M were put into a share repurchase program to return value to shareholders.</t>
        </r>
      </text>
    </comment>
    <comment ref="I33" authorId="2" shapeId="0" xr:uid="{00000000-0006-0000-0100-00001E000000}">
      <text>
        <r>
          <rPr>
            <sz val="9"/>
            <color indexed="81"/>
            <rFont val="Tahoma"/>
            <family val="2"/>
          </rPr>
          <t>Dexcom invested significantly in expanding its manufactoring capabilities to meet demand for the G6 and G6 Pro, desstined for professional healthcare users.</t>
        </r>
      </text>
    </comment>
    <comment ref="F34" authorId="2" shapeId="0" xr:uid="{00000000-0006-0000-0100-00001F000000}">
      <text>
        <r>
          <rPr>
            <sz val="9"/>
            <color indexed="81"/>
            <rFont val="Tahoma"/>
            <family val="2"/>
          </rPr>
          <t xml:space="preserve">Dexcom issued debt to finance operations and expansion.
</t>
        </r>
      </text>
    </comment>
    <comment ref="E36" authorId="2" shapeId="0" xr:uid="{00000000-0006-0000-0100-000020000000}">
      <text>
        <r>
          <rPr>
            <sz val="9"/>
            <color indexed="81"/>
            <rFont val="Tahoma"/>
            <family val="2"/>
          </rPr>
          <t>$557.7M were alocated to a new share repurchase program, with the goal of reducing outstanding shares and enhancing EPS</t>
        </r>
      </text>
    </comment>
    <comment ref="F36" authorId="2" shapeId="0" xr:uid="{00000000-0006-0000-0100-000021000000}">
      <text>
        <r>
          <rPr>
            <sz val="9"/>
            <color indexed="81"/>
            <rFont val="Tahoma"/>
            <family val="2"/>
          </rPr>
          <t>Dexcom started paying debt acquired in previous years, aswell as starting a new share buyback program.</t>
        </r>
      </text>
    </comment>
    <comment ref="E37" authorId="2" shapeId="0" xr:uid="{00000000-0006-0000-0100-000022000000}">
      <text>
        <r>
          <rPr>
            <sz val="9"/>
            <color indexed="81"/>
            <rFont val="Tahoma"/>
            <family val="2"/>
          </rPr>
          <t>$688,7M were alocated to a new share repurchase program, with the goal of reducing outstanding shares and enhancing EPS</t>
        </r>
      </text>
    </comment>
    <comment ref="B51" authorId="0" shapeId="0" xr:uid="{00000000-0006-0000-0100-000023000000}">
      <text>
        <r>
          <rPr>
            <b/>
            <sz val="9"/>
            <color indexed="81"/>
            <rFont val="Tahoma"/>
            <family val="2"/>
          </rPr>
          <t>average of last 3 years</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林伊婧</author>
  </authors>
  <commentList>
    <comment ref="L2" authorId="0" shapeId="0" xr:uid="{00000000-0006-0000-0300-000001000000}">
      <text>
        <r>
          <rPr>
            <b/>
            <sz val="10"/>
            <color rgb="FF000000"/>
            <rFont val="Tahoma"/>
            <family val="2"/>
          </rPr>
          <t>Projections</t>
        </r>
      </text>
    </comment>
    <comment ref="L3" authorId="0" shapeId="0" xr:uid="{00000000-0006-0000-0300-000002000000}">
      <text>
        <r>
          <rPr>
            <b/>
            <sz val="10"/>
            <color rgb="FF000000"/>
            <rFont val="Tahoma"/>
            <family val="2"/>
          </rPr>
          <t>Revenue growth</t>
        </r>
        <r>
          <rPr>
            <sz val="10"/>
            <color rgb="FF000000"/>
            <rFont val="Tahoma"/>
            <family val="2"/>
          </rPr>
          <t xml:space="preserve">
</t>
        </r>
      </text>
    </comment>
    <comment ref="V3" authorId="0" shapeId="0" xr:uid="{00000000-0006-0000-0300-000003000000}">
      <text>
        <r>
          <rPr>
            <b/>
            <sz val="10"/>
            <color rgb="FF000000"/>
            <rFont val="Tahoma"/>
            <family val="2"/>
          </rPr>
          <t>Margins (regional)</t>
        </r>
        <r>
          <rPr>
            <sz val="10"/>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林伊婧</author>
    <author>User</author>
  </authors>
  <commentList>
    <comment ref="C3" authorId="0" shapeId="0" xr:uid="{00000000-0006-0000-0500-000001000000}">
      <text>
        <r>
          <rPr>
            <b/>
            <sz val="10"/>
            <color rgb="FF000000"/>
            <rFont val="Tahoma"/>
            <family val="2"/>
          </rPr>
          <t>Impact, scale from: none,low,medium and high</t>
        </r>
      </text>
    </comment>
    <comment ref="D3" authorId="0" shapeId="0" xr:uid="{00000000-0006-0000-0500-000002000000}">
      <text>
        <r>
          <rPr>
            <b/>
            <sz val="10"/>
            <color rgb="FF000000"/>
            <rFont val="Tahoma"/>
            <family val="2"/>
          </rPr>
          <t>Does the company report? Yes/No</t>
        </r>
        <r>
          <rPr>
            <sz val="10"/>
            <color rgb="FF000000"/>
            <rFont val="Tahoma"/>
            <family val="2"/>
          </rPr>
          <t xml:space="preserve">
</t>
        </r>
      </text>
    </comment>
    <comment ref="F3" authorId="0" shapeId="0" xr:uid="{00000000-0006-0000-0500-000003000000}">
      <text>
        <r>
          <rPr>
            <b/>
            <sz val="10"/>
            <color rgb="FF000000"/>
            <rFont val="Tahoma"/>
            <family val="2"/>
          </rPr>
          <t>Mitigation plan
yes/no</t>
        </r>
      </text>
    </comment>
    <comment ref="G3" authorId="0" shapeId="0" xr:uid="{00000000-0006-0000-0500-000004000000}">
      <text>
        <r>
          <rPr>
            <b/>
            <sz val="10"/>
            <color rgb="FF000000"/>
            <rFont val="Tahoma"/>
            <family val="2"/>
          </rPr>
          <t>Traffic lights</t>
        </r>
      </text>
    </comment>
    <comment ref="H3" authorId="0" shapeId="0" xr:uid="{00000000-0006-0000-0500-000005000000}">
      <text>
        <r>
          <rPr>
            <b/>
            <sz val="10"/>
            <color rgb="FF000000"/>
            <rFont val="Tahoma"/>
            <family val="2"/>
          </rPr>
          <t>Comments</t>
        </r>
      </text>
    </comment>
    <comment ref="F5" authorId="1" shapeId="0" xr:uid="{00000000-0006-0000-0500-000006000000}">
      <text>
        <r>
          <rPr>
            <b/>
            <sz val="9"/>
            <color indexed="81"/>
            <rFont val="Tahoma"/>
            <family val="2"/>
          </rPr>
          <t>User:</t>
        </r>
        <r>
          <rPr>
            <sz val="9"/>
            <color indexed="81"/>
            <rFont val="Tahoma"/>
            <family val="2"/>
          </rPr>
          <t xml:space="preserve">
Net Zero path by 2050</t>
        </r>
      </text>
    </comment>
    <comment ref="H7" authorId="1" shapeId="0" xr:uid="{F3350956-F249-4A7C-9056-D43534AE0B53}">
      <text>
        <r>
          <rPr>
            <b/>
            <sz val="9"/>
            <color indexed="81"/>
            <rFont val="Tahoma"/>
            <family val="2"/>
          </rPr>
          <t>User:</t>
        </r>
        <r>
          <rPr>
            <sz val="9"/>
            <color indexed="81"/>
            <rFont val="Tahoma"/>
            <family val="2"/>
          </rPr>
          <t xml:space="preserve">
pag 45, 2024 annual sustainability report</t>
        </r>
      </text>
    </comment>
    <comment ref="H8" authorId="1" shapeId="0" xr:uid="{2D89C46B-8631-4053-82CE-9097E5F9D22F}">
      <text>
        <r>
          <rPr>
            <b/>
            <sz val="9"/>
            <color indexed="81"/>
            <rFont val="Tahoma"/>
            <family val="2"/>
          </rPr>
          <t>User:</t>
        </r>
        <r>
          <rPr>
            <sz val="9"/>
            <color indexed="81"/>
            <rFont val="Tahoma"/>
            <family val="2"/>
          </rPr>
          <t xml:space="preserve">
pag 47 2024 annual sustainability report</t>
        </r>
      </text>
    </comment>
    <comment ref="H12" authorId="1" shapeId="0" xr:uid="{CB72583B-A009-4494-A2DF-31E86C972949}">
      <text>
        <r>
          <rPr>
            <b/>
            <sz val="9"/>
            <color indexed="81"/>
            <rFont val="Tahoma"/>
            <family val="2"/>
          </rPr>
          <t>User:</t>
        </r>
        <r>
          <rPr>
            <sz val="9"/>
            <color indexed="81"/>
            <rFont val="Tahoma"/>
            <family val="2"/>
          </rPr>
          <t xml:space="preserve">
pag 16 sustainability report </t>
        </r>
      </text>
    </comment>
    <comment ref="H18" authorId="1" shapeId="0" xr:uid="{6C17C624-CC40-4780-8180-BA925A4D19A1}">
      <text>
        <r>
          <rPr>
            <b/>
            <sz val="9"/>
            <color indexed="81"/>
            <rFont val="Tahoma"/>
            <family val="2"/>
          </rPr>
          <t>User:</t>
        </r>
        <r>
          <rPr>
            <sz val="9"/>
            <color indexed="81"/>
            <rFont val="Tahoma"/>
            <family val="2"/>
          </rPr>
          <t xml:space="preserve">
pag 3 of the sustainability report</t>
        </r>
      </text>
    </comment>
    <comment ref="H25" authorId="1" shapeId="0" xr:uid="{00303BCF-C9D3-4C74-A830-6010D69A2273}">
      <text>
        <r>
          <rPr>
            <b/>
            <sz val="9"/>
            <color indexed="81"/>
            <rFont val="Tahoma"/>
            <family val="2"/>
          </rPr>
          <t>User:</t>
        </r>
        <r>
          <rPr>
            <sz val="9"/>
            <color indexed="81"/>
            <rFont val="Tahoma"/>
            <family val="2"/>
          </rPr>
          <t xml:space="preserve">
​Dexcom announced in their Third Quarter 2024 Financial Results, released on October 24, 2024</t>
        </r>
      </text>
    </comment>
    <comment ref="E26" authorId="1" shapeId="0" xr:uid="{00000000-0006-0000-0500-00000D000000}">
      <text>
        <r>
          <rPr>
            <b/>
            <sz val="9"/>
            <color indexed="81"/>
            <rFont val="Tahoma"/>
            <family val="2"/>
          </rPr>
          <t xml:space="preserve">User:
</t>
        </r>
      </text>
    </comment>
    <comment ref="H30" authorId="1" shapeId="0" xr:uid="{629979E1-A778-4DCB-97AB-A897D980DDB6}">
      <text>
        <r>
          <rPr>
            <b/>
            <sz val="9"/>
            <color indexed="81"/>
            <rFont val="Tahoma"/>
            <family val="2"/>
          </rPr>
          <t>User:</t>
        </r>
        <r>
          <rPr>
            <sz val="9"/>
            <color indexed="81"/>
            <rFont val="Tahoma"/>
            <family val="2"/>
          </rPr>
          <t xml:space="preserve">
pag 62 sustainability report </t>
        </r>
      </text>
    </comment>
    <comment ref="B31" authorId="1" shapeId="0" xr:uid="{00000000-0006-0000-0500-00000E000000}">
      <text>
        <r>
          <rPr>
            <b/>
            <sz val="9"/>
            <color indexed="81"/>
            <rFont val="Tahoma"/>
            <family val="2"/>
          </rPr>
          <t>User:</t>
        </r>
        <r>
          <rPr>
            <sz val="9"/>
            <color indexed="81"/>
            <rFont val="Tahoma"/>
            <family val="2"/>
          </rPr>
          <t xml:space="preserve">
</t>
        </r>
      </text>
    </comment>
    <comment ref="H31" authorId="1" shapeId="0" xr:uid="{453B8CBF-9400-492E-9C56-C7B4BCAA905D}">
      <text>
        <r>
          <rPr>
            <b/>
            <sz val="9"/>
            <color indexed="81"/>
            <rFont val="Tahoma"/>
            <family val="2"/>
          </rPr>
          <t>User:</t>
        </r>
        <r>
          <rPr>
            <sz val="9"/>
            <color indexed="81"/>
            <rFont val="Tahoma"/>
            <family val="2"/>
          </rPr>
          <t xml:space="preserve">
Proxy Statement Executive Compensation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Fernanda Salas</author>
    <author>sistemas</author>
  </authors>
  <commentList>
    <comment ref="D36" authorId="0" shapeId="0" xr:uid="{00000000-0006-0000-0600-000001000000}">
      <text>
        <r>
          <rPr>
            <sz val="9"/>
            <color indexed="81"/>
            <rFont val="Tahoma"/>
            <family val="2"/>
          </rPr>
          <t>Real al 3Q 2021</t>
        </r>
      </text>
    </comment>
    <comment ref="D38" authorId="0" shapeId="0" xr:uid="{00000000-0006-0000-0600-000002000000}">
      <text>
        <r>
          <rPr>
            <sz val="9"/>
            <color indexed="81"/>
            <rFont val="Tahoma"/>
            <family val="2"/>
          </rPr>
          <t>Tienen 30.2% al 3Q 2021</t>
        </r>
      </text>
    </comment>
    <comment ref="D42" authorId="0" shapeId="0" xr:uid="{00000000-0006-0000-0600-000003000000}">
      <text>
        <r>
          <rPr>
            <sz val="9"/>
            <color indexed="81"/>
            <rFont val="Tahoma"/>
            <family val="2"/>
          </rPr>
          <t xml:space="preserve">siempre han traído productos financieros… </t>
        </r>
      </text>
    </comment>
    <comment ref="D43" authorId="1" shapeId="0" xr:uid="{00000000-0006-0000-0600-000004000000}">
      <text>
        <r>
          <rPr>
            <b/>
            <sz val="9"/>
            <color indexed="81"/>
            <rFont val="Tahoma"/>
            <family val="2"/>
          </rPr>
          <t>sistemas:</t>
        </r>
        <r>
          <rPr>
            <sz val="9"/>
            <color indexed="81"/>
            <rFont val="Tahoma"/>
            <family val="2"/>
          </rPr>
          <t xml:space="preserve">
Agregamos a otros gastos el pago por la retención de impuestos de las acciones que otorga a los empleados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bloomberg-alunos</author>
    <author>Raul</author>
  </authors>
  <commentList>
    <comment ref="I5" authorId="0" shapeId="0" xr:uid="{00000000-0006-0000-0700-000001000000}">
      <text>
        <r>
          <rPr>
            <sz val="9"/>
            <color indexed="81"/>
            <rFont val="Tahoma"/>
            <family val="2"/>
          </rPr>
          <t>Analysts estimates
from 2025 to 2027</t>
        </r>
      </text>
    </comment>
    <comment ref="E18" authorId="1" shapeId="0" xr:uid="{00000000-0006-0000-0700-000002000000}">
      <text>
        <r>
          <rPr>
            <sz val="9"/>
            <color indexed="81"/>
            <rFont val="Tahoma"/>
            <family val="2"/>
          </rPr>
          <t xml:space="preserve">Sale of Investments and Asset Writedown
</t>
        </r>
      </text>
    </comment>
    <comment ref="S27" authorId="0" shapeId="0" xr:uid="{00000000-0006-0000-0700-000003000000}">
      <text>
        <r>
          <rPr>
            <sz val="9"/>
            <color indexed="81"/>
            <rFont val="Tahoma"/>
            <family val="2"/>
          </rPr>
          <t>lower repurchase of stock for debt repayment</t>
        </r>
      </text>
    </comment>
    <comment ref="I37" authorId="0" shapeId="0" xr:uid="{00000000-0006-0000-0700-000004000000}">
      <text>
        <r>
          <rPr>
            <sz val="9"/>
            <color indexed="81"/>
            <rFont val="Tahoma"/>
            <family val="2"/>
          </rPr>
          <t xml:space="preserve">In accordance with debt schedule, assuming complete refinancing
</t>
        </r>
      </text>
    </comment>
    <comment ref="L37" authorId="0" shapeId="0" xr:uid="{00000000-0006-0000-0700-000005000000}">
      <text>
        <r>
          <rPr>
            <sz val="9"/>
            <color indexed="81"/>
            <rFont val="Tahoma"/>
            <family val="2"/>
          </rPr>
          <t xml:space="preserve">In accordance with debt schedule, assuming complete refinancing
</t>
        </r>
      </text>
    </comment>
    <comment ref="Q37" authorId="0" shapeId="0" xr:uid="{00000000-0006-0000-0700-000006000000}">
      <text>
        <r>
          <rPr>
            <sz val="9"/>
            <color indexed="81"/>
            <rFont val="Tahoma"/>
            <family val="2"/>
          </rPr>
          <t>partial repayments by reducing repurchase of stocks in the following years</t>
        </r>
      </text>
    </comment>
    <comment ref="E63" authorId="1" shapeId="0" xr:uid="{321033C7-4C4A-45B2-8100-F3B0CAEB5BFB}">
      <text>
        <r>
          <rPr>
            <sz val="9"/>
            <color indexed="81"/>
            <rFont val="Tahoma"/>
            <family val="2"/>
          </rPr>
          <t>El alto porcentaje del valor concentrado en la perpetuidad se explica por el hecho de que la empresa aún se encuentra en sus etapas "iniciales" y tiene una gran deuda pendiente de pago. Suponiendo que esta deuda se pague en los próximos 10 a 20 años, las recompras y los dividendos serán menores.
Dada la alta rentabilidad para los accionistas del último año (recompras + dividendos), incluso con un modesto crecimiento del 2%, el valor de la perpetuidad sigue siendo muy elevado.</t>
        </r>
      </text>
    </comment>
    <comment ref="D65" authorId="1" shapeId="0" xr:uid="{AB3F1B81-EED6-4E96-AFA8-C6DBD48C5D7F}">
      <text>
        <r>
          <rPr>
            <sz val="9"/>
            <color indexed="81"/>
            <rFont val="Tahoma"/>
            <family val="2"/>
          </rPr>
          <t>A pesar del optimista crecimiento esperado para la compañía, un Dividend Discount Model no reflejará un Price Target acorde con el precio de mercado, ya que Dexcom es una empresa en crecimiento que no pagará dividendos o hará recompras elevados por ahora.
No obstante, el downside se corresponde con los múltiplos de la comparación con sus Peers, lo que indica que la compañía está sobrevalorada.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林伊婧</author>
    <author>User</author>
  </authors>
  <commentList>
    <comment ref="A6" authorId="0" shapeId="0" xr:uid="{00000000-0006-0000-0900-000001000000}">
      <text>
        <r>
          <rPr>
            <b/>
            <sz val="10"/>
            <color rgb="FF000000"/>
            <rFont val="Tahoma"/>
            <family val="2"/>
          </rPr>
          <t>Net Sales</t>
        </r>
      </text>
    </comment>
    <comment ref="A7" authorId="0" shapeId="0" xr:uid="{00000000-0006-0000-0900-000002000000}">
      <text>
        <r>
          <rPr>
            <b/>
            <sz val="10"/>
            <color rgb="FF000000"/>
            <rFont val="Tahoma"/>
            <family val="2"/>
          </rPr>
          <t>Gross Profit</t>
        </r>
      </text>
    </comment>
    <comment ref="A8" authorId="0" shapeId="0" xr:uid="{00000000-0006-0000-0900-000003000000}">
      <text>
        <r>
          <rPr>
            <b/>
            <sz val="10"/>
            <color rgb="FF000000"/>
            <rFont val="Tahoma"/>
            <family val="2"/>
          </rPr>
          <t>Operating income</t>
        </r>
      </text>
    </comment>
    <comment ref="A9" authorId="0" shapeId="0" xr:uid="{00000000-0006-0000-0900-000004000000}">
      <text>
        <r>
          <rPr>
            <b/>
            <sz val="10"/>
            <color rgb="FF000000"/>
            <rFont val="Tahoma"/>
            <family val="2"/>
          </rPr>
          <t>Net financial cost</t>
        </r>
      </text>
    </comment>
    <comment ref="A10" authorId="0" shapeId="0" xr:uid="{00000000-0006-0000-0900-000005000000}">
      <text>
        <r>
          <rPr>
            <b/>
            <sz val="10"/>
            <color rgb="FF000000"/>
            <rFont val="Tahoma"/>
            <family val="2"/>
          </rPr>
          <t>Other expenses (income)</t>
        </r>
      </text>
    </comment>
    <comment ref="A11" authorId="0" shapeId="0" xr:uid="{00000000-0006-0000-0900-000006000000}">
      <text>
        <r>
          <rPr>
            <b/>
            <sz val="10"/>
            <color rgb="FF000000"/>
            <rFont val="Tahoma"/>
            <family val="2"/>
          </rPr>
          <t>Depreciation and amortization</t>
        </r>
      </text>
    </comment>
    <comment ref="A12" authorId="0" shapeId="0" xr:uid="{00000000-0006-0000-0900-000007000000}">
      <text>
        <r>
          <rPr>
            <b/>
            <sz val="10"/>
            <color rgb="FF000000"/>
            <rFont val="Tahoma"/>
            <family val="2"/>
          </rPr>
          <t>Working Capital</t>
        </r>
      </text>
    </comment>
    <comment ref="Q12" authorId="1" shapeId="0" xr:uid="{00000000-0006-0000-0900-000008000000}">
      <text>
        <r>
          <rPr>
            <b/>
            <sz val="9"/>
            <color indexed="81"/>
            <rFont val="Tahoma"/>
            <family val="2"/>
          </rPr>
          <t>User:</t>
        </r>
        <r>
          <rPr>
            <sz val="9"/>
            <color indexed="81"/>
            <rFont val="Tahoma"/>
            <family val="2"/>
          </rPr>
          <t xml:space="preserve">
Accounts payable</t>
        </r>
      </text>
    </comment>
    <comment ref="A14" authorId="0" shapeId="0" xr:uid="{00000000-0006-0000-0900-000009000000}">
      <text>
        <r>
          <rPr>
            <b/>
            <sz val="10"/>
            <color rgb="FF000000"/>
            <rFont val="Tahoma"/>
            <family val="2"/>
          </rPr>
          <t>Investments</t>
        </r>
      </text>
    </comment>
    <comment ref="A15" authorId="1" shapeId="0" xr:uid="{00000000-0006-0000-0900-00000A000000}">
      <text>
        <r>
          <rPr>
            <b/>
            <sz val="9"/>
            <color indexed="81"/>
            <rFont val="Tahoma"/>
            <family val="2"/>
          </rPr>
          <t>User: Income Tax</t>
        </r>
        <r>
          <rPr>
            <sz val="9"/>
            <color indexed="81"/>
            <rFont val="Tahoma"/>
            <family val="2"/>
          </rPr>
          <t xml:space="preserve">
</t>
        </r>
      </text>
    </comment>
    <comment ref="A16" authorId="0" shapeId="0" xr:uid="{00000000-0006-0000-0900-00000B000000}">
      <text>
        <r>
          <rPr>
            <b/>
            <sz val="10"/>
            <color rgb="FF000000"/>
            <rFont val="Tahoma"/>
            <family val="2"/>
          </rPr>
          <t>Net income</t>
        </r>
      </text>
    </comment>
    <comment ref="A17" authorId="0" shapeId="0" xr:uid="{00000000-0006-0000-0900-00000C000000}">
      <text>
        <r>
          <rPr>
            <b/>
            <sz val="10"/>
            <color rgb="FF000000"/>
            <rFont val="Tahoma"/>
            <family val="2"/>
          </rPr>
          <t>Dividens</t>
        </r>
      </text>
    </comment>
    <comment ref="A18" authorId="0" shapeId="0" xr:uid="{00000000-0006-0000-0900-00000D000000}">
      <text>
        <r>
          <rPr>
            <b/>
            <sz val="10"/>
            <color rgb="FF000000"/>
            <rFont val="Tahoma"/>
            <family val="2"/>
          </rPr>
          <t>Purchase of shares</t>
        </r>
      </text>
    </comment>
    <comment ref="A22" authorId="0" shapeId="0" xr:uid="{00000000-0006-0000-0900-00000E000000}">
      <text>
        <r>
          <rPr>
            <b/>
            <sz val="10"/>
            <color rgb="FF000000"/>
            <rFont val="Tahoma"/>
            <family val="2"/>
          </rPr>
          <t>Cash &amp; equivalents</t>
        </r>
      </text>
    </comment>
    <comment ref="A23" authorId="0" shapeId="0" xr:uid="{00000000-0006-0000-0900-00000F000000}">
      <text>
        <r>
          <rPr>
            <b/>
            <sz val="10"/>
            <color rgb="FF000000"/>
            <rFont val="Tahoma"/>
            <family val="2"/>
          </rPr>
          <t>Accounts receivables</t>
        </r>
      </text>
    </comment>
    <comment ref="A24" authorId="0" shapeId="0" xr:uid="{00000000-0006-0000-0900-000010000000}">
      <text>
        <r>
          <rPr>
            <b/>
            <sz val="10"/>
            <color rgb="FF000000"/>
            <rFont val="Tahoma"/>
            <family val="2"/>
          </rPr>
          <t>Inventories</t>
        </r>
      </text>
    </comment>
    <comment ref="A25" authorId="0" shapeId="0" xr:uid="{00000000-0006-0000-0900-000011000000}">
      <text>
        <r>
          <rPr>
            <b/>
            <sz val="10"/>
            <color rgb="FF000000"/>
            <rFont val="Tahoma"/>
            <family val="2"/>
          </rPr>
          <t>PP&amp;E (net)</t>
        </r>
      </text>
    </comment>
    <comment ref="A26" authorId="0" shapeId="0" xr:uid="{00000000-0006-0000-0900-000012000000}">
      <text>
        <r>
          <rPr>
            <b/>
            <sz val="10"/>
            <color rgb="FF000000"/>
            <rFont val="Tahoma"/>
            <family val="2"/>
          </rPr>
          <t>Other assets</t>
        </r>
      </text>
    </comment>
    <comment ref="A27" authorId="0" shapeId="0" xr:uid="{00000000-0006-0000-0900-000013000000}">
      <text>
        <r>
          <rPr>
            <b/>
            <sz val="10"/>
            <color rgb="FF000000"/>
            <rFont val="Tahoma"/>
            <family val="2"/>
          </rPr>
          <t>Total assets</t>
        </r>
      </text>
    </comment>
    <comment ref="A31" authorId="1" shapeId="0" xr:uid="{00000000-0006-0000-0900-000014000000}">
      <text>
        <r>
          <rPr>
            <b/>
            <sz val="9"/>
            <color indexed="81"/>
            <rFont val="Tahoma"/>
            <family val="2"/>
          </rPr>
          <t xml:space="preserve">Current liabilities
</t>
        </r>
      </text>
    </comment>
    <comment ref="A32" authorId="0" shapeId="0" xr:uid="{00000000-0006-0000-0900-000015000000}">
      <text>
        <r>
          <rPr>
            <b/>
            <sz val="10"/>
            <color rgb="FF000000"/>
            <rFont val="Tahoma"/>
            <family val="2"/>
          </rPr>
          <t>short-term debt</t>
        </r>
      </text>
    </comment>
    <comment ref="A34" authorId="0" shapeId="0" xr:uid="{00000000-0006-0000-0900-000016000000}">
      <text>
        <r>
          <rPr>
            <b/>
            <sz val="10"/>
            <color rgb="FF000000"/>
            <rFont val="Tahoma"/>
            <family val="2"/>
          </rPr>
          <t>Other current liabilities</t>
        </r>
      </text>
    </comment>
    <comment ref="A35" authorId="0" shapeId="0" xr:uid="{00000000-0006-0000-0900-000017000000}">
      <text>
        <r>
          <rPr>
            <b/>
            <sz val="10"/>
            <color rgb="FF000000"/>
            <rFont val="Tahoma"/>
            <family val="2"/>
          </rPr>
          <t>Non-current liabilities</t>
        </r>
      </text>
    </comment>
    <comment ref="A36" authorId="0" shapeId="0" xr:uid="{00000000-0006-0000-0900-000018000000}">
      <text>
        <r>
          <rPr>
            <b/>
            <sz val="10"/>
            <color rgb="FF000000"/>
            <rFont val="Tahoma"/>
            <family val="2"/>
          </rPr>
          <t>Long-term debt</t>
        </r>
      </text>
    </comment>
    <comment ref="A38" authorId="0" shapeId="0" xr:uid="{00000000-0006-0000-0900-000019000000}">
      <text>
        <r>
          <rPr>
            <b/>
            <sz val="10"/>
            <color rgb="FF000000"/>
            <rFont val="Tahoma"/>
            <family val="2"/>
          </rPr>
          <t>Other non-current liabilities</t>
        </r>
      </text>
    </comment>
    <comment ref="A39" authorId="0" shapeId="0" xr:uid="{00000000-0006-0000-0900-00001A000000}">
      <text>
        <r>
          <rPr>
            <b/>
            <sz val="10"/>
            <color rgb="FF000000"/>
            <rFont val="Tahoma"/>
            <family val="2"/>
          </rPr>
          <t>Total liabilities</t>
        </r>
      </text>
    </comment>
    <comment ref="A42" authorId="0" shapeId="0" xr:uid="{00000000-0006-0000-0900-00001B000000}">
      <text>
        <r>
          <rPr>
            <b/>
            <sz val="10"/>
            <color rgb="FF000000"/>
            <rFont val="Tahoma"/>
            <family val="2"/>
          </rPr>
          <t>Minority Interest</t>
        </r>
      </text>
    </comment>
    <comment ref="A44" authorId="0" shapeId="0" xr:uid="{00000000-0006-0000-0900-00001C000000}">
      <text>
        <r>
          <rPr>
            <b/>
            <sz val="10"/>
            <color rgb="FF000000"/>
            <rFont val="Tahoma"/>
            <family val="2"/>
          </rPr>
          <t>Shareholder's equity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<sst xmlns="http://schemas.openxmlformats.org/spreadsheetml/2006/main" count="723" uniqueCount="531">
  <si>
    <t>Ingresos</t>
  </si>
  <si>
    <t>Margen Operativo</t>
  </si>
  <si>
    <t>Insiders Own:</t>
  </si>
  <si>
    <t>EBIT</t>
  </si>
  <si>
    <t>+Dep&amp;Amort</t>
  </si>
  <si>
    <t>=EBIDTA</t>
  </si>
  <si>
    <t>Deuda/Activo</t>
  </si>
  <si>
    <t>Precio/Valor en libros</t>
  </si>
  <si>
    <t>AAG</t>
  </si>
  <si>
    <t>Ventas</t>
  </si>
  <si>
    <t>Crecimiento</t>
  </si>
  <si>
    <t>ISR &amp; PTU</t>
  </si>
  <si>
    <t>FNP</t>
  </si>
  <si>
    <t>F(t)</t>
  </si>
  <si>
    <t>VPN/Acción</t>
  </si>
  <si>
    <t>VPN*@i%</t>
  </si>
  <si>
    <t>Calificación (S&amp;P)</t>
  </si>
  <si>
    <t>Deuda</t>
  </si>
  <si>
    <t>Utilidad antes de Impuestos</t>
  </si>
  <si>
    <t>Inversiones</t>
  </si>
  <si>
    <t>CVAR</t>
  </si>
  <si>
    <t>Dep&amp;Amort</t>
  </si>
  <si>
    <t>EBIDTA</t>
  </si>
  <si>
    <t>Otros Gastos</t>
  </si>
  <si>
    <t>Precio/Utilidad(p)</t>
  </si>
  <si>
    <t>Precio/FNP (p)</t>
  </si>
  <si>
    <t>Float:</t>
  </si>
  <si>
    <t>Último Año</t>
  </si>
  <si>
    <t>Outstanding Shares</t>
  </si>
  <si>
    <t>Market Cap.</t>
  </si>
  <si>
    <t>Cash Flow</t>
  </si>
  <si>
    <t>Investing Activities</t>
  </si>
  <si>
    <r>
      <t>D</t>
    </r>
    <r>
      <rPr>
        <b/>
        <sz val="10"/>
        <rFont val="Arial"/>
        <family val="2"/>
      </rPr>
      <t xml:space="preserve"> Cash and Equivalents</t>
    </r>
  </si>
  <si>
    <r>
      <t>Inv/</t>
    </r>
    <r>
      <rPr>
        <sz val="10"/>
        <rFont val="Symbol"/>
        <family val="1"/>
        <charset val="2"/>
      </rPr>
      <t>D</t>
    </r>
    <r>
      <rPr>
        <sz val="10"/>
        <rFont val="Arial"/>
        <family val="2"/>
      </rPr>
      <t xml:space="preserve"> Vts</t>
    </r>
  </si>
  <si>
    <t>Año</t>
  </si>
  <si>
    <t>Último Precio</t>
  </si>
  <si>
    <t>+Deuda Total</t>
  </si>
  <si>
    <t>Cash/Precio</t>
  </si>
  <si>
    <t>Margen neto (p)</t>
  </si>
  <si>
    <t>Ebidta/Ingresos(p)</t>
  </si>
  <si>
    <t>Utilidad Neta (p)</t>
  </si>
  <si>
    <t>Utilidad Neta</t>
  </si>
  <si>
    <t>UPA</t>
  </si>
  <si>
    <t>Riesgos</t>
  </si>
  <si>
    <t>Oportunidades</t>
  </si>
  <si>
    <t>Tesis de inversión</t>
  </si>
  <si>
    <t>FNP(p)/Activos</t>
  </si>
  <si>
    <t>=Enterprise Value</t>
  </si>
  <si>
    <t>-Cash</t>
  </si>
  <si>
    <t>EV/Activos</t>
  </si>
  <si>
    <t>"Otros activos"/Activo</t>
  </si>
  <si>
    <t>EV/Ebidta (p)</t>
  </si>
  <si>
    <t>TDY(p)/Precio</t>
  </si>
  <si>
    <t xml:space="preserve">   Perpetuidad</t>
  </si>
  <si>
    <t>"TELP"</t>
  </si>
  <si>
    <t>Margen de Operación (p)</t>
  </si>
  <si>
    <t>ROA</t>
  </si>
  <si>
    <t>Crec</t>
  </si>
  <si>
    <t>Ut. Op.</t>
  </si>
  <si>
    <t>Ebidta(p)</t>
  </si>
  <si>
    <t>CIF/Deuda Neta Promedio</t>
  </si>
  <si>
    <t>Supuestos de valuación</t>
  </si>
  <si>
    <t>DCF Value</t>
  </si>
  <si>
    <t>Ebidta/CIF</t>
  </si>
  <si>
    <t>Margen</t>
  </si>
  <si>
    <t>% Vts</t>
  </si>
  <si>
    <t>Div. Yield:</t>
  </si>
  <si>
    <t>Profit</t>
  </si>
  <si>
    <t>Deuda/Ebidta</t>
  </si>
  <si>
    <t xml:space="preserve">   DCF 25Y</t>
  </si>
  <si>
    <t>Impacto</t>
  </si>
  <si>
    <t>¿Reporta?</t>
  </si>
  <si>
    <t>Mitigación</t>
  </si>
  <si>
    <t>Semáforo</t>
  </si>
  <si>
    <t>Ambiental</t>
  </si>
  <si>
    <t>Emisiones directas CO2</t>
  </si>
  <si>
    <t>Uso total de agua</t>
  </si>
  <si>
    <t>"Best in class"</t>
  </si>
  <si>
    <t>Total Energy Consumption</t>
  </si>
  <si>
    <t>Waste Management</t>
  </si>
  <si>
    <t>Land Degradation/Deforestation/Biodiversity loss/Animal sufering/…</t>
  </si>
  <si>
    <t>Social</t>
  </si>
  <si>
    <t>% Rotación de empleados</t>
  </si>
  <si>
    <t>Sueldos y compensaciones</t>
  </si>
  <si>
    <t>Temas de reputación</t>
  </si>
  <si>
    <t>Seguridad laboral</t>
  </si>
  <si>
    <t>Daños a la salud</t>
  </si>
  <si>
    <t>PXP?</t>
  </si>
  <si>
    <t>Supply chain</t>
  </si>
  <si>
    <t>Community involvement</t>
  </si>
  <si>
    <t>Public Sector</t>
  </si>
  <si>
    <t>Litigios</t>
  </si>
  <si>
    <t>Gobierno</t>
  </si>
  <si>
    <t>Diversidad (Género, edad, industria, región)</t>
  </si>
  <si>
    <t>% independientes</t>
  </si>
  <si>
    <t>CEO/Chairman</t>
  </si>
  <si>
    <t>Auditoría/Consultoría</t>
  </si>
  <si>
    <t>Esquemas de compensación al management</t>
  </si>
  <si>
    <t>Comentarios</t>
  </si>
  <si>
    <t>MITIGACIÓN</t>
  </si>
  <si>
    <t>RANKING</t>
  </si>
  <si>
    <t>IMPACTO</t>
  </si>
  <si>
    <t>PARÁMETROS</t>
  </si>
  <si>
    <t>KSF</t>
  </si>
  <si>
    <t>Acción</t>
  </si>
  <si>
    <t>Div.+Recompra</t>
  </si>
  <si>
    <t>Tasa de descuento:</t>
  </si>
  <si>
    <t>(p) = Promedio de últimos 3 años</t>
  </si>
  <si>
    <t>Análisis ESG</t>
  </si>
  <si>
    <t>Ranking</t>
  </si>
  <si>
    <t>TOTAL</t>
  </si>
  <si>
    <t>Discounted Cash Flow</t>
  </si>
  <si>
    <r>
      <rPr>
        <b/>
        <sz val="10"/>
        <color indexed="9"/>
        <rFont val="Symbol"/>
        <family val="1"/>
        <charset val="2"/>
      </rPr>
      <t>D</t>
    </r>
    <r>
      <rPr>
        <b/>
        <sz val="10"/>
        <color indexed="9"/>
        <rFont val="Arial"/>
        <family val="2"/>
      </rPr>
      <t xml:space="preserve"> Analista</t>
    </r>
  </si>
  <si>
    <t>Múltiplos</t>
  </si>
  <si>
    <t>*Nota: Estos múltiplos no consideran el promedio de los últimos 3 años, únicamente valores del último año reportado</t>
  </si>
  <si>
    <t>Año termina:</t>
  </si>
  <si>
    <t>Ut. Operativa</t>
  </si>
  <si>
    <t>Capex</t>
  </si>
  <si>
    <t>Adquisiones</t>
  </si>
  <si>
    <t>Dividends</t>
  </si>
  <si>
    <t>Stock Repurchases</t>
  </si>
  <si>
    <t>FNP (p)</t>
  </si>
  <si>
    <t>FX</t>
  </si>
  <si>
    <t>NOTES:</t>
  </si>
  <si>
    <t>t inversiones; t adq. neto dep.</t>
  </si>
  <si>
    <t>E</t>
  </si>
  <si>
    <t>S</t>
  </si>
  <si>
    <t>G</t>
  </si>
  <si>
    <t>Semáforo ESG</t>
  </si>
  <si>
    <t>ROIC</t>
  </si>
  <si>
    <t>ESG</t>
  </si>
  <si>
    <t>Riesgos claros</t>
  </si>
  <si>
    <t>Deuda/Activos</t>
  </si>
  <si>
    <t>Activos</t>
  </si>
  <si>
    <t>EPS</t>
  </si>
  <si>
    <t>E$/UN</t>
  </si>
  <si>
    <t>EEV/EBIDA</t>
  </si>
  <si>
    <t>% Short</t>
  </si>
  <si>
    <t>Participación adicional del CEO en otros consejos o excesiva del Ch.</t>
  </si>
  <si>
    <t>Salidas recientes de consejeros/C-level executives?</t>
  </si>
  <si>
    <t>t liq. (Pos prom./Vol.)</t>
  </si>
  <si>
    <t>PO / Precio Stand By</t>
  </si>
  <si>
    <t>Transparencia (segmentos, fuente de riqueza, adquisiciones, otros)</t>
  </si>
  <si>
    <t xml:space="preserve">Factor D&amp;A </t>
  </si>
  <si>
    <t>CP</t>
  </si>
  <si>
    <t>LP</t>
  </si>
  <si>
    <t>CHECKLIST</t>
  </si>
  <si>
    <t>Peer Analysis</t>
  </si>
  <si>
    <t>Consenso</t>
  </si>
  <si>
    <t>PO/Stand By</t>
  </si>
  <si>
    <t>Activo:</t>
  </si>
  <si>
    <t>Pasivo:</t>
  </si>
  <si>
    <t>CER</t>
  </si>
  <si>
    <t>Consenso EPS</t>
  </si>
  <si>
    <t>Acuerdo</t>
  </si>
  <si>
    <t>Depreciación</t>
  </si>
  <si>
    <t>Capex + Adq</t>
  </si>
  <si>
    <t>Invertir</t>
  </si>
  <si>
    <t>NO invertir</t>
  </si>
  <si>
    <t>Mantener sin elevar posición</t>
  </si>
  <si>
    <t>Mantener (y seguir comprando)</t>
  </si>
  <si>
    <t>Liquidar</t>
  </si>
  <si>
    <t>PENDIENTE</t>
  </si>
  <si>
    <t>Tenencia % (nac/int'l)</t>
  </si>
  <si>
    <t>Factor CIF</t>
  </si>
  <si>
    <t>Factor ISR</t>
  </si>
  <si>
    <t>Factor inv</t>
  </si>
  <si>
    <t>Suma D&amp;A</t>
  </si>
  <si>
    <t>Suma Inv.</t>
  </si>
  <si>
    <t>Inv.+Goodwill</t>
  </si>
  <si>
    <t>Liquidez y Solvencia</t>
  </si>
  <si>
    <t>Float</t>
  </si>
  <si>
    <t>(Capex + Adq.)/Revenue</t>
  </si>
  <si>
    <t>VER DCF</t>
  </si>
  <si>
    <t>SIC: Sí</t>
  </si>
  <si>
    <t>**Cifras en USD</t>
  </si>
  <si>
    <t>Tax (p) últ. 5a</t>
  </si>
  <si>
    <t>2019 (Real)</t>
  </si>
  <si>
    <t>CIF</t>
  </si>
  <si>
    <t>CAGR</t>
  </si>
  <si>
    <t>Deuda/EBITDA</t>
  </si>
  <si>
    <t>Millones de USD</t>
  </si>
  <si>
    <t>Inversiones y Capex</t>
  </si>
  <si>
    <r>
      <t xml:space="preserve">%Vts; %Op.Mg.; </t>
    </r>
    <r>
      <rPr>
        <b/>
        <sz val="10"/>
        <rFont val="Symbol"/>
        <family val="1"/>
        <charset val="2"/>
      </rPr>
      <t>D</t>
    </r>
  </si>
  <si>
    <r>
      <t xml:space="preserve">%Vts; </t>
    </r>
    <r>
      <rPr>
        <b/>
        <sz val="10"/>
        <rFont val="Symbol"/>
        <family val="1"/>
        <charset val="2"/>
      </rPr>
      <t>D</t>
    </r>
  </si>
  <si>
    <t>tiempo promedio como consejeros independientes</t>
  </si>
  <si>
    <t>Tiempo que tardan en reportar luego del final del trimestre/año</t>
  </si>
  <si>
    <t>Pros y Cons</t>
  </si>
  <si>
    <t>https://www.apple.com/newsroom/2020/03/apples-covid-19-response/</t>
  </si>
  <si>
    <t>https://glg.it/articles/how-might-the-wuhan-coronavirus-impact-apples-supply-chain/</t>
  </si>
  <si>
    <t>https://www.cnbc.com/2020/02/18/the-significance-of-apples-coronavirus-warning.html</t>
  </si>
  <si>
    <t>March 13</t>
  </si>
  <si>
    <t>January 29</t>
  </si>
  <si>
    <t>Ferbuary 18</t>
  </si>
  <si>
    <t>Otros:</t>
  </si>
  <si>
    <t>https://www.macrumors.com/guide/covid-19-coronavirus/</t>
  </si>
  <si>
    <t>2020 (Real)</t>
  </si>
  <si>
    <t>ROA (p)</t>
  </si>
  <si>
    <t>ROIC (p)</t>
  </si>
  <si>
    <t>b</t>
  </si>
  <si>
    <t>Precio/Utilidad</t>
  </si>
  <si>
    <t>EV/Ebitda</t>
  </si>
  <si>
    <t>Resultados</t>
  </si>
  <si>
    <t>Ventas Netas</t>
  </si>
  <si>
    <r>
      <t xml:space="preserve">     </t>
    </r>
    <r>
      <rPr>
        <i/>
        <sz val="9"/>
        <rFont val="Arial"/>
        <family val="2"/>
      </rPr>
      <t>Crecimiento vs. Año pasado</t>
    </r>
  </si>
  <si>
    <t>Utilidad Bruta</t>
  </si>
  <si>
    <r>
      <t xml:space="preserve">     </t>
    </r>
    <r>
      <rPr>
        <i/>
        <sz val="9"/>
        <rFont val="Arial"/>
        <family val="2"/>
      </rPr>
      <t>porcentaje sobre ventas</t>
    </r>
  </si>
  <si>
    <t>Gastos de Operación</t>
  </si>
  <si>
    <t>Utilidad de Operación</t>
  </si>
  <si>
    <r>
      <t xml:space="preserve">     </t>
    </r>
    <r>
      <rPr>
        <i/>
        <sz val="9"/>
        <rFont val="Arial"/>
        <family val="2"/>
      </rPr>
      <t>Crecimiento vs año anterior</t>
    </r>
  </si>
  <si>
    <t>CIF (Productos Financieros)</t>
  </si>
  <si>
    <t>Otros Gastos (Productos)</t>
  </si>
  <si>
    <t>Utilidad antes de Impuestos y partidas extra.</t>
  </si>
  <si>
    <t>Depreciación y amortización del ejercicio</t>
  </si>
  <si>
    <t>Capital de Trabajo</t>
  </si>
  <si>
    <r>
      <t xml:space="preserve">EBITDA </t>
    </r>
    <r>
      <rPr>
        <i/>
        <sz val="9"/>
        <rFont val="Arial"/>
        <family val="2"/>
      </rPr>
      <t>(flujo operativo)</t>
    </r>
  </si>
  <si>
    <t>I.S.R Y P.T.U.</t>
  </si>
  <si>
    <t xml:space="preserve">     % Tax</t>
  </si>
  <si>
    <t xml:space="preserve">     Crecimiento vs año anterior</t>
  </si>
  <si>
    <t>Efectivo Generado</t>
  </si>
  <si>
    <t>Dividendos</t>
  </si>
  <si>
    <t>Recompra de Acciones</t>
  </si>
  <si>
    <t>FNP (ajustado por deuda)</t>
  </si>
  <si>
    <t>FNP (ajustado por inversiones)</t>
  </si>
  <si>
    <t>Capex + Inversiones</t>
  </si>
  <si>
    <t>Dividendos + Recompra de Acciones</t>
  </si>
  <si>
    <t xml:space="preserve">Activo   </t>
  </si>
  <si>
    <t>Caja</t>
  </si>
  <si>
    <t>Cuentas y documentos por cobrar</t>
  </si>
  <si>
    <t>Inventarios</t>
  </si>
  <si>
    <t xml:space="preserve"> Activos Fijos (Net Plant)</t>
  </si>
  <si>
    <t>Otros Activos</t>
  </si>
  <si>
    <t>Total Activo</t>
  </si>
  <si>
    <t>Pasivo</t>
  </si>
  <si>
    <t>Pasivo Corto Plazo</t>
  </si>
  <si>
    <t xml:space="preserve">   Deuda a corto plazo</t>
  </si>
  <si>
    <t xml:space="preserve">   Short-Term Leases</t>
  </si>
  <si>
    <t xml:space="preserve">   Otros Pasivos a Corto Plazo</t>
  </si>
  <si>
    <t>Pasivo Largo Plazo</t>
  </si>
  <si>
    <t xml:space="preserve">   Deuda a largo plazo</t>
  </si>
  <si>
    <t xml:space="preserve">   Long-Term Leases</t>
  </si>
  <si>
    <t xml:space="preserve">   Otros Pasivos a Largo Plazo</t>
  </si>
  <si>
    <t>Total pasivos</t>
  </si>
  <si>
    <t>Interés Minoritario</t>
  </si>
  <si>
    <t>Capital Contable</t>
  </si>
  <si>
    <t>OTROS DATOS AL FIN DE AÑO</t>
  </si>
  <si>
    <t>Numero deEmpleados</t>
  </si>
  <si>
    <t>Acciones en circulación (millones)</t>
  </si>
  <si>
    <t>Insiders Own</t>
  </si>
  <si>
    <t>S&amp;P</t>
  </si>
  <si>
    <t>Precio Medio</t>
  </si>
  <si>
    <t>Moody's</t>
  </si>
  <si>
    <t>YTM</t>
  </si>
  <si>
    <t>DIVISA</t>
  </si>
  <si>
    <t>RESULTADOS</t>
  </si>
  <si>
    <t>CIF (Poductos)</t>
  </si>
  <si>
    <t>Otros Gastos (Ingresos)</t>
  </si>
  <si>
    <t xml:space="preserve">Depreciación y amortización </t>
  </si>
  <si>
    <t>Compra de Acciones</t>
  </si>
  <si>
    <t>POSICIÓN FINANCIERA</t>
  </si>
  <si>
    <t>Activos Fijos (Net Plant)</t>
  </si>
  <si>
    <t>Analista: Research</t>
  </si>
  <si>
    <t>Deuda + Lease Liabilities</t>
  </si>
  <si>
    <t xml:space="preserve"> </t>
  </si>
  <si>
    <t>Normal</t>
  </si>
  <si>
    <t>Duración</t>
  </si>
  <si>
    <r>
      <t xml:space="preserve">b </t>
    </r>
    <r>
      <rPr>
        <sz val="10"/>
        <rFont val="Arial"/>
        <family val="2"/>
      </rPr>
      <t>(Bloomberg; Yahoo)</t>
    </r>
  </si>
  <si>
    <t>Cash Flow from Operations (BWC)</t>
  </si>
  <si>
    <t>Working Capital</t>
  </si>
  <si>
    <t>Endeudamiento Neto</t>
  </si>
  <si>
    <t>Otros Financiemientos</t>
  </si>
  <si>
    <t>VALUATION MODEL</t>
  </si>
  <si>
    <t>Section</t>
  </si>
  <si>
    <t>Line #</t>
  </si>
  <si>
    <t>ITEM</t>
  </si>
  <si>
    <t>2021 (Real)</t>
  </si>
  <si>
    <t>Notes</t>
  </si>
  <si>
    <t>INCOME STATEMENT</t>
  </si>
  <si>
    <t>Growth</t>
  </si>
  <si>
    <t>Revenues/Sales</t>
  </si>
  <si>
    <t>EBIT/Operating Margin</t>
  </si>
  <si>
    <t>5a</t>
  </si>
  <si>
    <t>(Dep&amp;Amort)</t>
  </si>
  <si>
    <t>5b</t>
  </si>
  <si>
    <t>(Stock based compensation)</t>
  </si>
  <si>
    <t>(Net financing cost)</t>
  </si>
  <si>
    <t>Other income/(cost)</t>
  </si>
  <si>
    <t>Earnings before taxes</t>
  </si>
  <si>
    <t>(Income tax)</t>
  </si>
  <si>
    <t>Net income</t>
  </si>
  <si>
    <t>CASH FLOW STATEMENT</t>
  </si>
  <si>
    <t>Operating cash flows before WK</t>
  </si>
  <si>
    <t>(Stock-based compensation)</t>
  </si>
  <si>
    <t>(Working Capital Flows)</t>
  </si>
  <si>
    <t>-Total Operating Cash Flow</t>
  </si>
  <si>
    <t>(CAPEX and Acquisitions)</t>
  </si>
  <si>
    <t>(Other investing flows)</t>
  </si>
  <si>
    <t>-Total Investing Flows</t>
  </si>
  <si>
    <t>(Flows related to leases)</t>
  </si>
  <si>
    <t>Flows related to debt</t>
  </si>
  <si>
    <t>(Dividends)</t>
  </si>
  <si>
    <t>Other financing flows</t>
  </si>
  <si>
    <t>-Total Financing flows</t>
  </si>
  <si>
    <t>SUMMARY</t>
  </si>
  <si>
    <t>Cash before shareholder returns</t>
  </si>
  <si>
    <t>Returns to shareholders</t>
  </si>
  <si>
    <t>Excess cash acumulation</t>
  </si>
  <si>
    <t>CASH &amp; DEBT &amp; DISCOUNTING</t>
  </si>
  <si>
    <t>Ending cash balance</t>
  </si>
  <si>
    <t>Total Debt</t>
  </si>
  <si>
    <t>Discount factor</t>
  </si>
  <si>
    <t>Discount rate</t>
  </si>
  <si>
    <t>Total</t>
  </si>
  <si>
    <t>Risk free rate</t>
  </si>
  <si>
    <t>Equity premium</t>
  </si>
  <si>
    <t>Firm premium</t>
  </si>
  <si>
    <t>Discount Rate</t>
  </si>
  <si>
    <t>Short Term</t>
  </si>
  <si>
    <t>Long Term</t>
  </si>
  <si>
    <t>Reference (line)</t>
  </si>
  <si>
    <t>Modelling factors</t>
  </si>
  <si>
    <t>Depreciation factor</t>
  </si>
  <si>
    <t>% Capex/Adq (l16)</t>
  </si>
  <si>
    <t>Stock-based comp</t>
  </si>
  <si>
    <t>% revenue (l2)</t>
  </si>
  <si>
    <t>Tax Rate</t>
  </si>
  <si>
    <t>% (line 9)</t>
  </si>
  <si>
    <t>Interest Rate on debt</t>
  </si>
  <si>
    <t>% debt (l29)</t>
  </si>
  <si>
    <t>Interest Rate on cash</t>
  </si>
  <si>
    <t>% of cash (l28)</t>
  </si>
  <si>
    <t>Working capital flows</t>
  </si>
  <si>
    <t>% of change revenues (l2)</t>
  </si>
  <si>
    <t>Capex / Adq</t>
  </si>
  <si>
    <t>Valuation</t>
  </si>
  <si>
    <t>$ millions</t>
  </si>
  <si>
    <t>%</t>
  </si>
  <si>
    <t>Value of flows</t>
  </si>
  <si>
    <t>Present value of flows (l27), plus cash minus debt</t>
  </si>
  <si>
    <t>Value of perpetuity</t>
  </si>
  <si>
    <t>Present value of perpetuity (column AF flow, dividend by growth minus discount rate)</t>
  </si>
  <si>
    <t>Total Value</t>
  </si>
  <si>
    <t>Final market value of firm's equity, compare to its mkt cap</t>
  </si>
  <si>
    <t>Total value vs Mkt Cap</t>
  </si>
  <si>
    <t>Gives degree of undervaluation (if positive, meaning it's worth more than what the market thinks) or overvaluation (negative, worth less than what the market thinks)</t>
  </si>
  <si>
    <t>Estimated NPV per share</t>
  </si>
  <si>
    <t>If we divide total value by # of shares, we get the estimated share value</t>
  </si>
  <si>
    <t>Actual share price</t>
  </si>
  <si>
    <t>USD</t>
  </si>
  <si>
    <t>Millones</t>
  </si>
  <si>
    <t>Inventories</t>
  </si>
  <si>
    <t>Por cobrar</t>
  </si>
  <si>
    <t>Por pagar</t>
  </si>
  <si>
    <t>Capital de trabajo</t>
  </si>
  <si>
    <t>Numero de Empleados</t>
  </si>
  <si>
    <t>Posicion en Corto (%)</t>
  </si>
  <si>
    <t>BONOS DE LA EMISORA A 3, 5 Y 10</t>
  </si>
  <si>
    <t>YTM (%)</t>
  </si>
  <si>
    <t>Deuda Neta</t>
  </si>
  <si>
    <t>2022 (Real)</t>
  </si>
  <si>
    <t>Rentabilidad (2022)</t>
  </si>
  <si>
    <t>4.0%; 4.4%; 5%</t>
  </si>
  <si>
    <t>Bonos 1;5;40a (USD)</t>
  </si>
  <si>
    <t>Multiplos (USD)</t>
  </si>
  <si>
    <t>Margen Operativo 2022</t>
  </si>
  <si>
    <t>Precio/Ventas</t>
  </si>
  <si>
    <t>3Q23</t>
  </si>
  <si>
    <t>2Q23</t>
  </si>
  <si>
    <t>1Q23</t>
  </si>
  <si>
    <t>1Q22</t>
  </si>
  <si>
    <t>2Q22</t>
  </si>
  <si>
    <t>3Q22</t>
  </si>
  <si>
    <t>4Q22</t>
  </si>
  <si>
    <t>1Q21</t>
  </si>
  <si>
    <t>2Q21</t>
  </si>
  <si>
    <t>3Q21</t>
  </si>
  <si>
    <t>4Q21</t>
  </si>
  <si>
    <t>Revenue</t>
  </si>
  <si>
    <t>-Products</t>
  </si>
  <si>
    <t>-Services</t>
  </si>
  <si>
    <t>COGS</t>
  </si>
  <si>
    <t>R&amp;D</t>
  </si>
  <si>
    <t>SGA</t>
  </si>
  <si>
    <t>Other</t>
  </si>
  <si>
    <t>efore tax</t>
  </si>
  <si>
    <t>Tax</t>
  </si>
  <si>
    <t>NI</t>
  </si>
  <si>
    <t>DA</t>
  </si>
  <si>
    <t>SBC</t>
  </si>
  <si>
    <t>Other SBC</t>
  </si>
  <si>
    <t>Divs</t>
  </si>
  <si>
    <t>Repurch</t>
  </si>
  <si>
    <t>1Q20</t>
  </si>
  <si>
    <t>2Q20</t>
  </si>
  <si>
    <t>3Q20</t>
  </si>
  <si>
    <t>4Q20</t>
  </si>
  <si>
    <t>4Q19</t>
  </si>
  <si>
    <t>3Q19</t>
  </si>
  <si>
    <t>2Q19</t>
  </si>
  <si>
    <t>1Q19</t>
  </si>
  <si>
    <t>Shares</t>
  </si>
  <si>
    <t>4Q18</t>
  </si>
  <si>
    <t>3Q18</t>
  </si>
  <si>
    <t>3Q17</t>
  </si>
  <si>
    <t>4Q23e</t>
  </si>
  <si>
    <t xml:space="preserve">Growth </t>
  </si>
  <si>
    <t>Prods</t>
  </si>
  <si>
    <t>Serv</t>
  </si>
  <si>
    <t>Utiilidad oP</t>
  </si>
  <si>
    <t>Ut OP</t>
  </si>
  <si>
    <t>Net SBC</t>
  </si>
  <si>
    <t>Net SBC Factor</t>
  </si>
  <si>
    <t>Crecimiento (1S23/1S22)</t>
  </si>
  <si>
    <t>Crecimiento (1S23/1S19)</t>
  </si>
  <si>
    <t>2024 Est.</t>
  </si>
  <si>
    <t>Regions (2023)</t>
  </si>
  <si>
    <t>Products (2023)</t>
  </si>
  <si>
    <t>2023 (Real)</t>
  </si>
  <si>
    <t>(You can make up a table with different indicators in order to link them to the multiples/ratios. At the end, put the table unvisible with white color)</t>
  </si>
  <si>
    <t>NONE</t>
  </si>
  <si>
    <t>LOW</t>
  </si>
  <si>
    <t>MEDIUM</t>
  </si>
  <si>
    <t>HIGH</t>
  </si>
  <si>
    <t>Medium high</t>
  </si>
  <si>
    <t>Medium</t>
  </si>
  <si>
    <t>"Villain"</t>
  </si>
  <si>
    <t>Is there evidence of progam/plan/etc…</t>
  </si>
  <si>
    <t>TRAFFIC LIGHTS</t>
  </si>
  <si>
    <t>low</t>
  </si>
  <si>
    <t>medium high</t>
  </si>
  <si>
    <t>none</t>
  </si>
  <si>
    <t>yes</t>
  </si>
  <si>
    <t>committed to TCFD( carbon emissions, extreme weather events, …)</t>
  </si>
  <si>
    <t xml:space="preserve"> disclose water usage but not committed to TNFD (biodiversity loss, deforestation, and water scarcity)</t>
  </si>
  <si>
    <t>no</t>
  </si>
  <si>
    <t>-</t>
  </si>
  <si>
    <t>villain</t>
  </si>
  <si>
    <t xml:space="preserve">medium </t>
  </si>
  <si>
    <t>U.S.</t>
  </si>
  <si>
    <t>International</t>
  </si>
  <si>
    <t>DexCom, Inc.</t>
  </si>
  <si>
    <t>DXCM</t>
  </si>
  <si>
    <t>medium</t>
  </si>
  <si>
    <t xml:space="preserve">yes </t>
  </si>
  <si>
    <t>high</t>
  </si>
  <si>
    <r>
      <t xml:space="preserve">Dexcom, Inc. (DXCM); </t>
    </r>
    <r>
      <rPr>
        <b/>
        <sz val="7.2"/>
        <color theme="4"/>
        <rFont val="Arial"/>
        <family val="2"/>
      </rPr>
      <t>Medtronic (MDT)</t>
    </r>
    <r>
      <rPr>
        <b/>
        <sz val="7.2"/>
        <color theme="0"/>
        <rFont val="Arial"/>
        <family val="2"/>
      </rPr>
      <t xml:space="preserve">; </t>
    </r>
    <r>
      <rPr>
        <b/>
        <sz val="7.2"/>
        <color theme="9" tint="-0.249977111117893"/>
        <rFont val="Arial"/>
        <family val="2"/>
      </rPr>
      <t>Abbott Laboratories (ABT)</t>
    </r>
    <r>
      <rPr>
        <b/>
        <sz val="7.2"/>
        <color theme="0"/>
        <rFont val="Arial"/>
        <family val="2"/>
      </rPr>
      <t xml:space="preserve">; </t>
    </r>
    <r>
      <rPr>
        <b/>
        <sz val="7.2"/>
        <color rgb="FF7030A0"/>
        <rFont val="Arial"/>
        <family val="2"/>
      </rPr>
      <t>Senseonics Holdings (SENS)</t>
    </r>
  </si>
  <si>
    <t>Año fiscal de Dexcom cierra en septiembre</t>
  </si>
  <si>
    <r>
      <rPr>
        <b/>
        <sz val="9.5"/>
        <rFont val="Arial"/>
        <family val="2"/>
      </rPr>
      <t>CEO &amp; BOARD: Kevin Sayer</t>
    </r>
    <r>
      <rPr>
        <sz val="9.5"/>
        <rFont val="Arial"/>
        <family val="2"/>
      </rPr>
      <t xml:space="preserve"> (67a; CEO d. 2011; Medical Device Innovation Consortium; ex Biosensors Intl. Grp., ex Specialty Laboratories, ex MiniMed); </t>
    </r>
    <r>
      <rPr>
        <b/>
        <sz val="9.5"/>
        <color rgb="FF00B050"/>
        <rFont val="Arial"/>
        <family val="2"/>
      </rPr>
      <t>Steven R. Altman</t>
    </r>
    <r>
      <rPr>
        <sz val="9.5"/>
        <rFont val="Arial"/>
        <family val="2"/>
      </rPr>
      <t xml:space="preserve"> (63a; d. 2013; University of California at San Diego, Brain Corp, AJL Investments LLC, Yembo Inc., Course Key Inc., Amionx Inc., ex DLA Piper, ex Qualcomm, ex QTL); </t>
    </r>
    <r>
      <rPr>
        <b/>
        <sz val="9.5"/>
        <color rgb="FF00B050"/>
        <rFont val="Arial"/>
        <family val="2"/>
      </rPr>
      <t>Nick Augustinos</t>
    </r>
    <r>
      <rPr>
        <sz val="9.5"/>
        <rFont val="Arial"/>
        <family val="2"/>
      </rPr>
      <t xml:space="preserve"> (65a, d. 2009; Aver Inc., ex Cardinal Health, ex Cisco Systems Inc., ex Audax Health); </t>
    </r>
    <r>
      <rPr>
        <b/>
        <sz val="9.5"/>
        <color rgb="FF00B050"/>
        <rFont val="Arial"/>
        <family val="2"/>
      </rPr>
      <t>Richard Collins</t>
    </r>
    <r>
      <rPr>
        <sz val="9.5"/>
        <rFont val="Arial"/>
        <family val="2"/>
      </rPr>
      <t xml:space="preserve"> (66a; d. 2017; ex Golden Rule Insurance Corp., ex Golden Rule Financial Co., ex United Healthcare); </t>
    </r>
    <r>
      <rPr>
        <b/>
        <sz val="9.5"/>
        <color rgb="FF00B050"/>
        <rFont val="Arial"/>
        <family val="2"/>
      </rPr>
      <t>Karen Dahut</t>
    </r>
    <r>
      <rPr>
        <sz val="9.5"/>
        <rFont val="Arial"/>
        <family val="2"/>
      </rPr>
      <t xml:space="preserve"> (61a; d. 2020; CEO Google Public Sector; ex Booz Allen Hamilton; ex Tech Data Corp.); </t>
    </r>
    <r>
      <rPr>
        <b/>
        <sz val="9.5"/>
        <color rgb="FF00B050"/>
        <rFont val="Arial"/>
        <family val="2"/>
      </rPr>
      <t>Rimma Driscoll</t>
    </r>
    <r>
      <rPr>
        <sz val="9.5"/>
        <rFont val="Arial"/>
        <family val="2"/>
      </rPr>
      <t xml:space="preserve"> (52a; d. 2023; Zoetis Inc., Pumpkin Insurance Services Inc.; ex P&amp;G Pharmaceuticals);</t>
    </r>
    <r>
      <rPr>
        <sz val="9.5"/>
        <color rgb="FF00B050"/>
        <rFont val="Arial"/>
        <family val="2"/>
      </rPr>
      <t xml:space="preserve"> </t>
    </r>
    <r>
      <rPr>
        <b/>
        <sz val="9.5"/>
        <color rgb="FF00B050"/>
        <rFont val="Arial"/>
        <family val="2"/>
      </rPr>
      <t>Mark Foletta</t>
    </r>
    <r>
      <rPr>
        <sz val="9.5"/>
        <rFont val="Arial"/>
        <family val="2"/>
      </rPr>
      <t xml:space="preserve"> (63a; d. 2015; AMN Healthcare Services Inc, Enanta Pharmaceuticals Inc.; ex Forte Biosciences, ex Regulus Therapeutics Inc., ex Biocept Inc.);</t>
    </r>
    <r>
      <rPr>
        <b/>
        <sz val="9.5"/>
        <color rgb="FF00B050"/>
        <rFont val="Arial"/>
        <family val="2"/>
      </rPr>
      <t xml:space="preserve"> Bridgette Heller </t>
    </r>
    <r>
      <rPr>
        <sz val="9.5"/>
        <rFont val="Arial"/>
        <family val="2"/>
      </rPr>
      <t xml:space="preserve">(64a; d. 2019; VNovartis AG, Aramark, Integral Ad Science Hold. Corp.; ex Wound Care, ex Danone, ex Kraft Foods); </t>
    </r>
    <r>
      <rPr>
        <b/>
        <sz val="9.5"/>
        <color rgb="FF00B050"/>
        <rFont val="Arial"/>
        <family val="2"/>
      </rPr>
      <t xml:space="preserve">Kyle Malady </t>
    </r>
    <r>
      <rPr>
        <sz val="9.5"/>
        <rFont val="Arial"/>
        <family val="2"/>
      </rPr>
      <t xml:space="preserve">(57a; d. 2020; Verizon Communications Inc.); </t>
    </r>
    <r>
      <rPr>
        <b/>
        <sz val="9.5"/>
        <color rgb="FF00B050"/>
        <rFont val="Arial"/>
        <family val="2"/>
      </rPr>
      <t xml:space="preserve">Eric J. Topol </t>
    </r>
    <r>
      <rPr>
        <sz val="9.5"/>
        <rFont val="Arial"/>
        <family val="2"/>
      </rPr>
      <t>(70a; d. 2009; National Institutes of Health, Gary &amp; Mary West Wireless Health Institute; ex Volcano Coporation, ex Myokardia Inc.)</t>
    </r>
  </si>
  <si>
    <t>The crash in the stock price after Q2 of 2024 was due to a reduction in the estimated revenue for the whole of 2024 after sales didn't meet expectations in that quarter. That made investor who were looking for short-term growth in the stock to leave for faster growing stocks</t>
  </si>
  <si>
    <r>
      <t xml:space="preserve">DESCRIPTION: </t>
    </r>
    <r>
      <rPr>
        <sz val="9.5"/>
        <rFont val="Arial"/>
        <family val="2"/>
      </rPr>
      <t xml:space="preserve">Continuous Glucose Monitoring (CGM), Dexcom G6, Dexcom G7, Dexcom Follow, Dexcom Share, Insulin Management, Diabetes Care, Mobile App Integration, Remote Monitoring… Leader in CGM technology, revolutionizing diabetes management worldwide, founded in 1999, launched their first CGM System in 2006. (Current Market Cap: $34,6 Bn)
</t>
    </r>
  </si>
  <si>
    <t>Report (quarter): 31/12/2024</t>
  </si>
  <si>
    <t>stocks in a ever-growing market in mid-2024.</t>
  </si>
  <si>
    <t>Competition from companies like Abbott Laboratories. Both are expanding into the metabolic health space, targeting non-insulin users. Market volatility and strategic missteps, such as salesforce restructuring, have previously impacted Dexcom's performance. Also the rise in GLP-1 drugs popularity (Ozempic) and is prescriptions could hurt Dexcom's sales if people don't feel the need to pair their medication with the glicose monitors; the company has, however, clarified that both products should be used simultaniously.</t>
  </si>
  <si>
    <t>The company is benefiting from increasing awareness and adoption of digital health solutions. Additionally, advancements in health monitoring accuracy and real-time data integration with their apps could strengthen Dexcom’s ecosystem. The company’s strong R&amp;D investments ensure continuous innovation, helping it maintain a competitive edge in the evolving healthcare landscape.</t>
  </si>
  <si>
    <t>Dexcom is in a growing market, with the overall cases of diabetes and the need for CGM equipments growing. The company has provided steady YoY growth in revenue, while being able more recently to expand their manufactoring capabilities and also lauching share buybacks programs that benefit the shareholders. After the stock's meltdown after Q2 last year with holders jumping ship for more short-term profit stocks, the price should be more stable this year if Dexcom is able to keep the steady growth of the last  decade.</t>
  </si>
  <si>
    <t>Dexcom shows a ROIC and ROA that are below the industry average, even though they aren't bad figures by themselves. Their operating margin is also a bit behind the market average over the last 3 years.</t>
  </si>
  <si>
    <t>MDT</t>
  </si>
  <si>
    <t>ABT</t>
  </si>
  <si>
    <t>SENS</t>
  </si>
  <si>
    <t>Dexcom (2023)</t>
  </si>
  <si>
    <t>Medtronic</t>
  </si>
  <si>
    <t xml:space="preserve">Abbott Laboratories </t>
  </si>
  <si>
    <t>Senseonics Holdings, Inc.</t>
  </si>
  <si>
    <t>21.7%</t>
  </si>
  <si>
    <t>4.33%</t>
  </si>
  <si>
    <t>7.61%</t>
  </si>
  <si>
    <t>-40.31%</t>
  </si>
  <si>
    <t>19.30%</t>
  </si>
  <si>
    <t>5.26%</t>
  </si>
  <si>
    <t>10.63%</t>
  </si>
  <si>
    <t>-272.41%. </t>
  </si>
  <si>
    <t>-345.45%</t>
  </si>
  <si>
    <t>-405.88%</t>
  </si>
  <si>
    <t>387.9 M</t>
  </si>
  <si>
    <t>1.28B</t>
  </si>
  <si>
    <t>1.72B</t>
  </si>
  <si>
    <t>562.95M</t>
  </si>
  <si>
    <t>21.09</t>
  </si>
  <si>
    <t>1.83</t>
  </si>
  <si>
    <t>5.09</t>
  </si>
  <si>
    <t>5.81</t>
  </si>
  <si>
    <t>15.60</t>
  </si>
  <si>
    <t>2.98</t>
  </si>
  <si>
    <t>4.82</t>
  </si>
  <si>
    <t>16.49</t>
  </si>
  <si>
    <t>3.52</t>
  </si>
  <si>
    <t>4.99</t>
  </si>
  <si>
    <t xml:space="preserve"> 11.19</t>
  </si>
  <si>
    <t>12.56</t>
  </si>
  <si>
    <t>19.84</t>
  </si>
  <si>
    <t>-15.03</t>
  </si>
  <si>
    <t>3.41%</t>
  </si>
  <si>
    <t>1.85%</t>
  </si>
  <si>
    <t>Buy</t>
  </si>
  <si>
    <r>
      <rPr>
        <b/>
        <sz val="10"/>
        <rFont val="Arial"/>
        <family val="2"/>
      </rPr>
      <t>Pros:</t>
    </r>
    <r>
      <rPr>
        <sz val="10"/>
        <rFont val="Arial"/>
        <family val="2"/>
      </rPr>
      <t xml:space="preserve"> Market leader in CGM tech in a expanding market due to increasing numbers of diabetes patients, as well as the company expanding into non-insulin type 2 diabetics and prediabetics fields. The company as also provided steady YoY growth in revenue, with a now consistent operating margin. Dexcom also has a large difference in product quality against low cost options that is highly valued by its users that depend on their products to live more safely.
</t>
    </r>
    <r>
      <rPr>
        <b/>
        <sz val="10"/>
        <rFont val="Arial"/>
        <family val="2"/>
      </rPr>
      <t>Cons:</t>
    </r>
    <r>
      <rPr>
        <sz val="10"/>
        <rFont val="Arial"/>
        <family val="2"/>
      </rPr>
      <t xml:space="preserve"> Increasing competition in the CGM industry from Abbott Laboratories and Medtronic. Dexcom also doesn't just depend on themselves to release their monitors, as they have to be approved by the FDA.</t>
    </r>
  </si>
  <si>
    <t>Dexcom G7</t>
  </si>
  <si>
    <t>Dexcom G6</t>
  </si>
  <si>
    <t>2024 (Real)</t>
  </si>
  <si>
    <t>(Repurchases)/Issuance of stock</t>
  </si>
  <si>
    <t>WK flows</t>
  </si>
  <si>
    <t>Change in Revenue</t>
  </si>
  <si>
    <t>Ratio</t>
  </si>
  <si>
    <t>Net Repurchase of Stock</t>
  </si>
  <si>
    <t>% of operating+investing CF</t>
  </si>
  <si>
    <t>Net repurchase of stock</t>
  </si>
  <si>
    <t>Operating + investing cf</t>
  </si>
  <si>
    <t>Capex+acq</t>
  </si>
  <si>
    <t xml:space="preserve">defined contribution 401(k) plan </t>
  </si>
  <si>
    <t>Dexcom and Abbott have been involved in patent disputes over continuous glucose monitoring technologies. In December 2024, they settled all litigation, agreeing to a 10-year cross-licensing deal without financial compensation.</t>
  </si>
  <si>
    <t>10 of 11 are independent (except the CEO)</t>
  </si>
  <si>
    <t>launched a dedicated regional program in EMEA</t>
  </si>
  <si>
    <t>Abbott and Medtronic also have the same CEO/Chairman</t>
  </si>
  <si>
    <t xml:space="preserve"> 4 members have served 0–5 years, 2 members have served 6–10 years, 5 members have served 11+ years</t>
  </si>
  <si>
    <t>In October 2024, Dexcom announced the retirement of Chief Commercial Officer Teri Lawver, effective at the end of the year</t>
  </si>
  <si>
    <t>6-7 weeks for the Form 10-K  and 12 weeks for Sustainability Report:</t>
  </si>
  <si>
    <t>Dexcom offers Retirement Savings,Life/Death and Disability Insurance, Mental Health Assistance, Employee Stock Purchase Plan</t>
  </si>
  <si>
    <t>mix of salary, stock incentives, and performance-based rewards:</t>
  </si>
  <si>
    <t>Sensor</t>
  </si>
  <si>
    <t>Hardware</t>
  </si>
  <si>
    <t>FDA sent a warning letter to Dexcom for making unathorized changes to its products and falling to  comply with quality during inspections</t>
  </si>
  <si>
    <t>N/A</t>
  </si>
  <si>
    <t>Production is nearly 50% more energy efficient in 2023 vs. 2022 although worst among peers</t>
  </si>
  <si>
    <t xml:space="preserve">Negative effect is nil </t>
  </si>
  <si>
    <t>Has waste reduction policy, however, 43% of waste still ended up in landfills, indicating ongoing environmental challenges.</t>
  </si>
  <si>
    <t>Dexcom's manufacturing facilities undergo third-party audit programs concentrating on manufacturing processes, quality management systems, and product quality.</t>
  </si>
  <si>
    <t>Do not publish segments, as well as its peers</t>
  </si>
  <si>
    <t>Dexcom works with the Centers for Medicare and Medicaid Services, which expanded coverage in 2023 to include people with type 2 diabetes using basal insulin and individuals at risk of hypoglycemia.</t>
  </si>
  <si>
    <t>The Dexcom Warrior program is a global community of over 25,000 Dexcom CGM users who share their personal diabetes journeys to inspire others, raise awareness, and advocate for broader access to diabetes care.</t>
  </si>
  <si>
    <t xml:space="preserve"> N/A</t>
  </si>
  <si>
    <t>Dexcom is expanding global manufacturing capacity, especially with new facilities in Malaysia and Ireland, to scale production and meet growing demand.</t>
  </si>
  <si>
    <t>Require ccupational Health and Safety training for employees, but  Total Recordable Incident Rate (TRIR) and Days Away, Restricted, or
Transferred (DART) rates increased in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</si>
</sst>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_-* #,##0.00\ &quot;€&quot;_-;\-* #,##0.00\ &quot;€&quot;_-;_-* &quot;-&quot;??\ &quot;€&quot;_-;_-@_-"/>
    <numFmt numFmtId="165" formatCode="&quot;$&quot;#,##0;[Red]\-&quot;$&quot;#,##0"/>
    <numFmt numFmtId="166" formatCode="&quot;$&quot;#,##0.00;[Red]\-&quot;$&quot;#,##0.00"/>
    <numFmt numFmtId="167" formatCode="_-&quot;$&quot;* #,##0.00_-;\-&quot;$&quot;* #,##0.00_-;_-&quot;$&quot;* &quot;-&quot;??_-;_-@_-"/>
    <numFmt numFmtId="168" formatCode="&quot;$&quot;#,##0.00"/>
    <numFmt numFmtId="169" formatCode="&quot;$&quot;#,##0.0"/>
    <numFmt numFmtId="170" formatCode="&quot;$&quot;#,##0"/>
    <numFmt numFmtId="171" formatCode="0.0%"/>
    <numFmt numFmtId="172" formatCode="0.0"/>
    <numFmt numFmtId="173" formatCode="#,##0.0"/>
    <numFmt numFmtId="174" formatCode="#,##0.000"/>
    <numFmt numFmtId="175" formatCode="0.000"/>
  </numFmts>
  <fonts count="8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7.9"/>
      <name val="Arial"/>
      <family val="2"/>
    </font>
    <font>
      <b/>
      <sz val="9"/>
      <color indexed="8"/>
      <name val="Arial"/>
      <family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b/>
      <sz val="9.3000000000000007"/>
      <name val="Arial"/>
      <family val="2"/>
    </font>
    <font>
      <sz val="8"/>
      <name val="Arial"/>
      <family val="2"/>
    </font>
    <font>
      <b/>
      <sz val="10"/>
      <color indexed="9"/>
      <name val="Symbol"/>
      <family val="1"/>
      <charset val="2"/>
    </font>
    <font>
      <sz val="10"/>
      <name val="Arial"/>
      <family val="2"/>
    </font>
    <font>
      <b/>
      <sz val="9.5"/>
      <name val="Arial"/>
      <family val="2"/>
    </font>
    <font>
      <sz val="9.5"/>
      <name val="Arial"/>
      <family val="2"/>
    </font>
    <font>
      <b/>
      <sz val="9"/>
      <name val="Arial"/>
      <family val="2"/>
    </font>
    <font>
      <sz val="10"/>
      <name val="Arial"/>
      <family val="2"/>
    </font>
    <font>
      <b/>
      <sz val="11"/>
      <name val="Arial"/>
      <family val="2"/>
    </font>
    <font>
      <sz val="12"/>
      <name val="Arial"/>
      <family val="2"/>
    </font>
    <font>
      <sz val="9"/>
      <color indexed="81"/>
      <name val="Tahoma"/>
      <family val="2"/>
    </font>
    <font>
      <sz val="11"/>
      <color theme="1"/>
      <name val="Calibri"/>
      <family val="2"/>
      <scheme val="minor"/>
    </font>
    <font>
      <sz val="10"/>
      <color rgb="FFFF0000"/>
      <name val="Arial"/>
      <family val="2"/>
    </font>
    <font>
      <sz val="10"/>
      <color theme="0"/>
      <name val="Arial"/>
      <family val="2"/>
    </font>
    <font>
      <sz val="10"/>
      <color rgb="FF00B0F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0"/>
      <color rgb="FF002060"/>
      <name val="Arial"/>
      <family val="2"/>
    </font>
    <font>
      <b/>
      <sz val="11"/>
      <color theme="0"/>
      <name val="Arial"/>
      <family val="2"/>
    </font>
    <font>
      <b/>
      <sz val="16"/>
      <color theme="0"/>
      <name val="Arial"/>
      <family val="2"/>
    </font>
    <font>
      <sz val="7.9"/>
      <color theme="0"/>
      <name val="Arial"/>
      <family val="2"/>
    </font>
    <font>
      <b/>
      <sz val="9"/>
      <color indexed="81"/>
      <name val="Tahoma"/>
      <family val="2"/>
    </font>
    <font>
      <sz val="10"/>
      <color rgb="FF0070C0"/>
      <name val="Arial"/>
      <family val="2"/>
    </font>
    <font>
      <sz val="10"/>
      <color rgb="FF00B050"/>
      <name val="Arial"/>
      <family val="2"/>
    </font>
    <font>
      <sz val="10"/>
      <color rgb="FF92D050"/>
      <name val="Arial"/>
      <family val="2"/>
    </font>
    <font>
      <u/>
      <sz val="10"/>
      <color theme="0"/>
      <name val="Arial"/>
      <family val="2"/>
    </font>
    <font>
      <b/>
      <sz val="10"/>
      <color rgb="FFFF0000"/>
      <name val="Arial"/>
      <family val="2"/>
    </font>
    <font>
      <b/>
      <sz val="10"/>
      <color rgb="FF0070C0"/>
      <name val="Arial"/>
      <family val="2"/>
    </font>
    <font>
      <sz val="10"/>
      <color rgb="FF002060"/>
      <name val="Arial"/>
      <family val="2"/>
    </font>
    <font>
      <sz val="11"/>
      <color theme="0"/>
      <name val="Calibri"/>
      <family val="2"/>
      <scheme val="minor"/>
    </font>
    <font>
      <b/>
      <sz val="7.2"/>
      <color theme="0"/>
      <name val="Arial"/>
      <family val="2"/>
    </font>
    <font>
      <i/>
      <sz val="10"/>
      <name val="Arial"/>
      <family val="2"/>
    </font>
    <font>
      <sz val="7.5"/>
      <name val="Arial"/>
      <family val="2"/>
    </font>
    <font>
      <sz val="9"/>
      <name val="Arial"/>
      <family val="2"/>
    </font>
    <font>
      <i/>
      <sz val="9"/>
      <name val="Arial"/>
      <family val="2"/>
    </font>
    <font>
      <b/>
      <sz val="7.5"/>
      <name val="Arial"/>
      <family val="2"/>
    </font>
    <font>
      <sz val="11"/>
      <name val="Arial"/>
      <family val="2"/>
    </font>
    <font>
      <b/>
      <sz val="11"/>
      <color theme="1"/>
      <name val="Calibri"/>
      <family val="2"/>
      <scheme val="minor"/>
    </font>
    <font>
      <b/>
      <sz val="11"/>
      <name val="Calibri"/>
      <family val="2"/>
      <scheme val="minor"/>
    </font>
    <font>
      <sz val="10"/>
      <color rgb="FFC00000"/>
      <name val="Arial"/>
      <family val="2"/>
    </font>
    <font>
      <sz val="11"/>
      <color rgb="FFC00000"/>
      <name val="Calibri"/>
      <family val="2"/>
      <scheme val="minor"/>
    </font>
    <font>
      <sz val="11"/>
      <name val="Calibri"/>
      <family val="2"/>
      <scheme val="minor"/>
    </font>
    <font>
      <sz val="10"/>
      <color rgb="FF000000"/>
      <name val="Arial"/>
      <family val="2"/>
    </font>
    <font>
      <sz val="10"/>
      <name val="Arial"/>
      <family val="2"/>
    </font>
    <font>
      <sz val="8"/>
      <name val="Arial"/>
      <family val="2"/>
    </font>
    <font>
      <sz val="10"/>
      <color theme="1"/>
      <name val="Arial"/>
      <family val="2"/>
    </font>
    <font>
      <b/>
      <sz val="10"/>
      <color rgb="FF000000"/>
      <name val="Tahoma"/>
      <family val="2"/>
    </font>
    <font>
      <sz val="10"/>
      <color rgb="FF000000"/>
      <name val="Tahoma"/>
      <family val="2"/>
    </font>
    <font>
      <b/>
      <sz val="9"/>
      <color rgb="FF000000"/>
      <name val="Tahoma"/>
      <family val="2"/>
    </font>
    <font>
      <sz val="12"/>
      <color theme="1"/>
      <name val="Calibri"/>
      <family val="2"/>
    </font>
    <font>
      <sz val="16"/>
      <color theme="1"/>
      <name val="Arial"/>
      <family val="2"/>
    </font>
    <font>
      <b/>
      <sz val="11"/>
      <color theme="1"/>
      <name val="Arial"/>
      <family val="2"/>
    </font>
    <font>
      <sz val="10"/>
      <color rgb="FF000000"/>
      <name val="Calibri"/>
      <family val="2"/>
      <scheme val="minor"/>
    </font>
    <font>
      <sz val="11"/>
      <name val="Aptos"/>
      <family val="2"/>
    </font>
    <font>
      <b/>
      <sz val="7.2"/>
      <color rgb="FF7030A0"/>
      <name val="Arial"/>
      <family val="2"/>
    </font>
    <font>
      <b/>
      <sz val="7.2"/>
      <color theme="9" tint="-0.249977111117893"/>
      <name val="Arial"/>
      <family val="2"/>
    </font>
    <font>
      <b/>
      <sz val="7.2"/>
      <color theme="4"/>
      <name val="Arial"/>
      <family val="2"/>
    </font>
    <font>
      <sz val="10"/>
      <name val="Arial"/>
      <family val="2"/>
    </font>
    <font>
      <b/>
      <sz val="11"/>
      <color theme="0"/>
      <name val="Calibri"/>
      <family val="2"/>
      <scheme val="minor"/>
    </font>
    <font>
      <b/>
      <sz val="9.5"/>
      <color rgb="FF00B050"/>
      <name val="Arial"/>
      <family val="2"/>
    </font>
    <font>
      <sz val="9.5"/>
      <color rgb="FF00B050"/>
      <name val="Arial"/>
      <family val="2"/>
    </font>
    <font>
      <sz val="11"/>
      <color rgb="FF000000"/>
      <name val="Calibri"/>
      <family val="2"/>
      <scheme val="minor"/>
    </font>
    <font>
      <b/>
      <sz val="24"/>
      <color rgb="FF212529"/>
      <name val="Arial"/>
      <family val="2"/>
    </font>
    <font>
      <sz val="20"/>
      <name val="Arial"/>
      <family val="2"/>
    </font>
    <font>
      <sz val="20"/>
      <color rgb="FF212529"/>
      <name val="Arial"/>
      <family val="2"/>
    </font>
  </fonts>
  <fills count="21">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theme="3"/>
        <bgColor indexed="64"/>
      </patternFill>
    </fill>
    <fill>
      <patternFill patternType="solid">
        <fgColor theme="0" tint="-0.499984740745262"/>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bgColor indexed="64"/>
      </patternFill>
    </fill>
    <fill>
      <patternFill patternType="solid">
        <fgColor rgb="FFFF0000"/>
        <bgColor indexed="64"/>
      </patternFill>
    </fill>
    <fill>
      <patternFill patternType="solid">
        <fgColor theme="1"/>
        <bgColor indexed="64"/>
      </patternFill>
    </fill>
    <fill>
      <patternFill patternType="solid">
        <fgColor theme="4" tint="-0.499984740745262"/>
        <bgColor indexed="64"/>
      </patternFill>
    </fill>
    <fill>
      <patternFill patternType="solid">
        <fgColor rgb="FFFFFF00"/>
        <bgColor indexed="64"/>
      </patternFill>
    </fill>
    <fill>
      <patternFill patternType="solid">
        <fgColor theme="9" tint="0.79998168889431442"/>
        <bgColor indexed="64"/>
      </patternFill>
    </fill>
    <fill>
      <patternFill patternType="solid">
        <fgColor indexed="57"/>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2"/>
        <bgColor indexed="64"/>
      </patternFill>
    </fill>
    <fill>
      <patternFill patternType="solid">
        <fgColor rgb="FF00B050"/>
        <bgColor indexed="64"/>
      </patternFill>
    </fill>
  </fills>
  <borders count="103">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medium">
        <color theme="3"/>
      </left>
      <right/>
      <top style="thin">
        <color theme="0" tint="-0.499984740745262"/>
      </top>
      <bottom style="thin">
        <color theme="0" tint="-0.499984740745262"/>
      </bottom>
      <diagonal/>
    </border>
    <border>
      <left style="thin">
        <color theme="0" tint="-0.499984740745262"/>
      </left>
      <right style="medium">
        <color theme="3"/>
      </right>
      <top style="thin">
        <color theme="0" tint="-0.499984740745262"/>
      </top>
      <bottom style="thin">
        <color theme="0" tint="-0.499984740745262"/>
      </bottom>
      <diagonal/>
    </border>
    <border>
      <left style="medium">
        <color theme="3"/>
      </left>
      <right/>
      <top style="thin">
        <color theme="0" tint="-0.499984740745262"/>
      </top>
      <bottom/>
      <diagonal/>
    </border>
    <border>
      <left style="thin">
        <color theme="0" tint="-0.499984740745262"/>
      </left>
      <right style="medium">
        <color theme="3"/>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medium">
        <color theme="3"/>
      </left>
      <right style="thin">
        <color theme="0" tint="-0.499984740745262"/>
      </right>
      <top style="thin">
        <color theme="0" tint="-0.499984740745262"/>
      </top>
      <bottom/>
      <diagonal/>
    </border>
    <border>
      <left/>
      <right style="medium">
        <color theme="3"/>
      </right>
      <top/>
      <bottom/>
      <diagonal/>
    </border>
    <border>
      <left style="medium">
        <color theme="3"/>
      </left>
      <right style="thin">
        <color theme="0" tint="-0.499984740745262"/>
      </right>
      <top/>
      <bottom/>
      <diagonal/>
    </border>
    <border>
      <left style="medium">
        <color theme="3"/>
      </left>
      <right/>
      <top style="thin">
        <color theme="0" tint="-0.499984740745262"/>
      </top>
      <bottom style="medium">
        <color theme="3"/>
      </bottom>
      <diagonal/>
    </border>
    <border>
      <left/>
      <right/>
      <top style="thin">
        <color theme="0" tint="-0.499984740745262"/>
      </top>
      <bottom style="medium">
        <color theme="3"/>
      </bottom>
      <diagonal/>
    </border>
    <border>
      <left/>
      <right style="medium">
        <color theme="3"/>
      </right>
      <top style="thin">
        <color theme="0" tint="-0.499984740745262"/>
      </top>
      <bottom style="medium">
        <color theme="3"/>
      </bottom>
      <diagonal/>
    </border>
    <border>
      <left style="medium">
        <color theme="3"/>
      </left>
      <right/>
      <top/>
      <bottom style="thin">
        <color theme="0" tint="-0.499984740745262"/>
      </bottom>
      <diagonal/>
    </border>
    <border>
      <left style="medium">
        <color theme="3"/>
      </left>
      <right/>
      <top/>
      <bottom style="medium">
        <color theme="3"/>
      </bottom>
      <diagonal/>
    </border>
    <border>
      <left/>
      <right style="thin">
        <color theme="0" tint="-0.499984740745262"/>
      </right>
      <top/>
      <bottom/>
      <diagonal/>
    </border>
    <border>
      <left style="thin">
        <color theme="0" tint="-0.499984740745262"/>
      </left>
      <right style="thin">
        <color theme="0" tint="-0.499984740745262"/>
      </right>
      <top/>
      <bottom/>
      <diagonal/>
    </border>
    <border>
      <left/>
      <right style="thin">
        <color theme="0" tint="-0.499984740745262"/>
      </right>
      <top/>
      <bottom style="medium">
        <color theme="3"/>
      </bottom>
      <diagonal/>
    </border>
    <border>
      <left style="thin">
        <color theme="0" tint="-0.499984740745262"/>
      </left>
      <right style="thin">
        <color theme="0" tint="-0.499984740745262"/>
      </right>
      <top/>
      <bottom style="medium">
        <color theme="3"/>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style="thin">
        <color theme="0" tint="-0.249977111117893"/>
      </left>
      <right style="medium">
        <color theme="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thin">
        <color theme="3"/>
      </left>
      <right/>
      <top style="thin">
        <color theme="3"/>
      </top>
      <bottom/>
      <diagonal/>
    </border>
    <border>
      <left/>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style="medium">
        <color theme="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medium">
        <color theme="3"/>
      </left>
      <right style="thin">
        <color theme="0" tint="-0.14999847407452621"/>
      </right>
      <top style="thin">
        <color theme="0" tint="-0.14999847407452621"/>
      </top>
      <bottom style="medium">
        <color theme="3"/>
      </bottom>
      <diagonal/>
    </border>
    <border>
      <left style="thin">
        <color theme="0" tint="-0.14999847407452621"/>
      </left>
      <right style="thin">
        <color theme="0" tint="-0.14999847407452621"/>
      </right>
      <top style="thin">
        <color theme="0" tint="-0.14999847407452621"/>
      </top>
      <bottom style="medium">
        <color theme="3"/>
      </bottom>
      <diagonal/>
    </border>
    <border>
      <left style="thin">
        <color theme="0" tint="-0.14999847407452621"/>
      </left>
      <right style="thin">
        <color theme="0" tint="-0.14999847407452621"/>
      </right>
      <top style="medium">
        <color theme="3"/>
      </top>
      <bottom style="thin">
        <color theme="0" tint="-0.14999847407452621"/>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top style="medium">
        <color theme="3"/>
      </top>
      <bottom style="thin">
        <color theme="0" tint="-0.249977111117893"/>
      </bottom>
      <diagonal/>
    </border>
    <border>
      <left/>
      <right/>
      <top style="medium">
        <color theme="3"/>
      </top>
      <bottom style="thin">
        <color theme="0" tint="-0.249977111117893"/>
      </bottom>
      <diagonal/>
    </border>
    <border>
      <left/>
      <right style="thin">
        <color theme="0" tint="-0.249977111117893"/>
      </right>
      <top style="medium">
        <color theme="3"/>
      </top>
      <bottom style="thin">
        <color theme="0" tint="-0.249977111117893"/>
      </bottom>
      <diagonal/>
    </border>
    <border>
      <left style="medium">
        <color theme="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medium">
        <color theme="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medium">
        <color theme="3"/>
      </bottom>
      <diagonal/>
    </border>
    <border>
      <left style="thin">
        <color theme="0" tint="-0.249977111117893"/>
      </left>
      <right style="medium">
        <color theme="3"/>
      </right>
      <top style="thin">
        <color theme="0" tint="-0.249977111117893"/>
      </top>
      <bottom style="medium">
        <color theme="3"/>
      </bottom>
      <diagonal/>
    </border>
    <border>
      <left style="medium">
        <color theme="3"/>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theme="3"/>
      </left>
      <right/>
      <top style="medium">
        <color theme="3"/>
      </top>
      <bottom style="thin">
        <color theme="0" tint="-0.499984740745262"/>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3"/>
      </right>
      <top/>
      <bottom style="medium">
        <color theme="3"/>
      </bottom>
      <diagonal/>
    </border>
    <border>
      <left style="thin">
        <color theme="0" tint="-0.499984740745262"/>
      </left>
      <right/>
      <top/>
      <bottom/>
      <diagonal/>
    </border>
    <border>
      <left style="thin">
        <color theme="0" tint="-0.249977111117893"/>
      </left>
      <right/>
      <top style="thin">
        <color theme="0" tint="-0.249977111117893"/>
      </top>
      <bottom/>
      <diagonal/>
    </border>
    <border>
      <left/>
      <right/>
      <top/>
      <bottom style="thin">
        <color indexed="64"/>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style="thin">
        <color theme="0" tint="-0.499984740745262"/>
      </left>
      <right style="medium">
        <color theme="3"/>
      </right>
      <top/>
      <bottom/>
      <diagonal/>
    </border>
    <border>
      <left style="thin">
        <color theme="0" tint="-0.499984740745262"/>
      </left>
      <right style="medium">
        <color theme="3"/>
      </right>
      <top/>
      <bottom style="thin">
        <color theme="0" tint="-0.499984740745262"/>
      </bottom>
      <diagonal/>
    </border>
    <border>
      <left style="thin">
        <color theme="0" tint="-0.499984740745262"/>
      </left>
      <right style="thin">
        <color theme="0" tint="-0.499984740745262"/>
      </right>
      <top/>
      <bottom style="thin">
        <color indexed="64"/>
      </bottom>
      <diagonal/>
    </border>
    <border>
      <left style="thin">
        <color theme="0" tint="-0.249977111117893"/>
      </left>
      <right style="thin">
        <color theme="0" tint="-0.249977111117893"/>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int="-0.499984740745262"/>
      </top>
      <bottom/>
      <diagonal/>
    </border>
    <border>
      <left style="medium">
        <color indexed="64"/>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medium">
        <color indexed="64"/>
      </left>
      <right/>
      <top style="thin">
        <color theme="0" tint="-0.499984740745262"/>
      </top>
      <bottom/>
      <diagonal/>
    </border>
    <border>
      <left/>
      <right style="medium">
        <color indexed="64"/>
      </right>
      <top style="thin">
        <color theme="0" tint="-0.499984740745262"/>
      </top>
      <bottom/>
      <diagonal/>
    </border>
    <border>
      <left style="thin">
        <color theme="0" tint="-0.249977111117893"/>
      </left>
      <right style="medium">
        <color rgb="FF002060"/>
      </right>
      <top style="thin">
        <color theme="0" tint="-0.249977111117893"/>
      </top>
      <bottom style="thin">
        <color theme="0" tint="-0.249977111117893"/>
      </bottom>
      <diagonal/>
    </border>
  </borders>
  <cellStyleXfs count="56">
    <xf numFmtId="0" fontId="0" fillId="0" borderId="0"/>
    <xf numFmtId="0" fontId="18" fillId="2" borderId="1" applyNumberFormat="0" applyProtection="0">
      <alignment horizontal="left" vertical="center" readingOrder="1"/>
    </xf>
    <xf numFmtId="0" fontId="19" fillId="2" borderId="2">
      <alignment horizontal="left"/>
    </xf>
    <xf numFmtId="0" fontId="19" fillId="2" borderId="3">
      <alignment horizontal="right"/>
    </xf>
    <xf numFmtId="0" fontId="19" fillId="2" borderId="3">
      <alignment horizontal="left"/>
    </xf>
    <xf numFmtId="3" fontId="20" fillId="3" borderId="4">
      <alignment horizontal="right"/>
    </xf>
    <xf numFmtId="173" fontId="11" fillId="3" borderId="4">
      <alignment horizontal="right"/>
    </xf>
    <xf numFmtId="4" fontId="11" fillId="3" borderId="4">
      <alignment horizontal="right"/>
    </xf>
    <xf numFmtId="0" fontId="20" fillId="3" borderId="5"/>
    <xf numFmtId="0" fontId="21" fillId="3" borderId="5"/>
    <xf numFmtId="0" fontId="10" fillId="0" borderId="0" applyNumberFormat="0" applyFill="0" applyBorder="0" applyAlignment="0" applyProtection="0">
      <alignment vertical="top"/>
      <protection locked="0"/>
    </xf>
    <xf numFmtId="167" fontId="29" fillId="0" borderId="0" applyFont="0" applyFill="0" applyBorder="0" applyAlignment="0" applyProtection="0"/>
    <xf numFmtId="167" fontId="12" fillId="0" borderId="0" applyFont="0" applyFill="0" applyBorder="0" applyAlignment="0" applyProtection="0"/>
    <xf numFmtId="0" fontId="33" fillId="0" borderId="0"/>
    <xf numFmtId="0" fontId="12" fillId="0" borderId="0"/>
    <xf numFmtId="9" fontId="8" fillId="0" borderId="0" applyFont="0" applyFill="0" applyBorder="0" applyAlignment="0" applyProtection="0"/>
    <xf numFmtId="9" fontId="29" fillId="0" borderId="0" applyFont="0" applyFill="0" applyBorder="0" applyAlignment="0" applyProtection="0"/>
    <xf numFmtId="9" fontId="12" fillId="0" borderId="0" applyFont="0" applyFill="0" applyBorder="0" applyAlignment="0" applyProtection="0"/>
    <xf numFmtId="9" fontId="33" fillId="0" borderId="0" applyFont="0" applyFill="0" applyBorder="0" applyAlignment="0" applyProtection="0"/>
    <xf numFmtId="0" fontId="7" fillId="0" borderId="0"/>
    <xf numFmtId="0" fontId="8" fillId="0" borderId="0"/>
    <xf numFmtId="167" fontId="8" fillId="0" borderId="0" applyFont="0" applyFill="0" applyBorder="0" applyAlignment="0" applyProtection="0"/>
    <xf numFmtId="167" fontId="8" fillId="0" borderId="0" applyFont="0" applyFill="0" applyBorder="0" applyAlignment="0" applyProtection="0"/>
    <xf numFmtId="0" fontId="6"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0" fontId="6" fillId="0" borderId="0"/>
    <xf numFmtId="43" fontId="8" fillId="0" borderId="0" applyFont="0" applyFill="0" applyBorder="0" applyAlignment="0" applyProtection="0"/>
    <xf numFmtId="164" fontId="8" fillId="0" borderId="0" applyFont="0" applyFill="0" applyBorder="0" applyAlignment="0" applyProtection="0"/>
    <xf numFmtId="0" fontId="5" fillId="0" borderId="0"/>
    <xf numFmtId="0" fontId="5"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43" fontId="67" fillId="0" borderId="0" applyFont="0" applyFill="0" applyBorder="0" applyAlignment="0" applyProtection="0"/>
    <xf numFmtId="0" fontId="3" fillId="0" borderId="0"/>
    <xf numFmtId="164" fontId="81"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2" fillId="0" borderId="0"/>
    <xf numFmtId="43" fontId="8" fillId="0" borderId="0" applyFont="0" applyFill="0" applyBorder="0" applyAlignment="0" applyProtection="0"/>
    <xf numFmtId="164" fontId="8"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43" fontId="8" fillId="0" borderId="0" applyFont="0" applyFill="0" applyBorder="0" applyAlignment="0" applyProtection="0"/>
    <xf numFmtId="0" fontId="2" fillId="0" borderId="0"/>
  </cellStyleXfs>
  <cellXfs count="612">
    <xf numFmtId="0" fontId="0" fillId="0" borderId="0" xfId="0"/>
    <xf numFmtId="170" fontId="0" fillId="0" borderId="0" xfId="0" applyNumberFormat="1" applyAlignment="1">
      <alignment horizontal="center"/>
    </xf>
    <xf numFmtId="168" fontId="0" fillId="0" borderId="0" xfId="0" applyNumberFormat="1" applyAlignment="1">
      <alignment horizontal="center"/>
    </xf>
    <xf numFmtId="9" fontId="0" fillId="0" borderId="0" xfId="15" applyFont="1" applyAlignment="1">
      <alignment horizontal="center"/>
    </xf>
    <xf numFmtId="0" fontId="0" fillId="0" borderId="0" xfId="0" applyAlignment="1">
      <alignment horizontal="center"/>
    </xf>
    <xf numFmtId="2" fontId="0" fillId="0" borderId="0" xfId="0" applyNumberFormat="1" applyAlignment="1">
      <alignment horizontal="center"/>
    </xf>
    <xf numFmtId="171" fontId="0" fillId="0" borderId="0" xfId="15" applyNumberFormat="1" applyFont="1" applyAlignment="1">
      <alignment horizontal="center"/>
    </xf>
    <xf numFmtId="170" fontId="0" fillId="0" borderId="0" xfId="0" applyNumberFormat="1"/>
    <xf numFmtId="9" fontId="0" fillId="0" borderId="0" xfId="0" applyNumberFormat="1" applyAlignment="1">
      <alignment horizontal="center"/>
    </xf>
    <xf numFmtId="10" fontId="0" fillId="0" borderId="0" xfId="0" applyNumberFormat="1" applyAlignment="1">
      <alignment horizontal="center"/>
    </xf>
    <xf numFmtId="171" fontId="0" fillId="0" borderId="0" xfId="0" applyNumberFormat="1" applyAlignment="1">
      <alignment horizontal="center"/>
    </xf>
    <xf numFmtId="0" fontId="12" fillId="0" borderId="0" xfId="0" applyFont="1"/>
    <xf numFmtId="9" fontId="0" fillId="0" borderId="0" xfId="15" applyFont="1"/>
    <xf numFmtId="0" fontId="13" fillId="0" borderId="0" xfId="0" applyFont="1" applyAlignment="1">
      <alignment horizontal="center"/>
    </xf>
    <xf numFmtId="170" fontId="12" fillId="0" borderId="0" xfId="0" applyNumberFormat="1" applyFont="1"/>
    <xf numFmtId="171" fontId="0" fillId="0" borderId="0" xfId="15" applyNumberFormat="1" applyFont="1"/>
    <xf numFmtId="3" fontId="0" fillId="0" borderId="0" xfId="0" applyNumberFormat="1"/>
    <xf numFmtId="0" fontId="34" fillId="0" borderId="0" xfId="0" applyFont="1"/>
    <xf numFmtId="0" fontId="15" fillId="0" borderId="0" xfId="0" applyFont="1" applyAlignment="1">
      <alignment vertical="top" wrapText="1"/>
    </xf>
    <xf numFmtId="0" fontId="35" fillId="0" borderId="0" xfId="0" applyFont="1"/>
    <xf numFmtId="0" fontId="36" fillId="0" borderId="0" xfId="0" applyFont="1"/>
    <xf numFmtId="170" fontId="12" fillId="0" borderId="0" xfId="0" applyNumberFormat="1" applyFont="1" applyAlignment="1">
      <alignment horizontal="center"/>
    </xf>
    <xf numFmtId="0" fontId="23" fillId="0" borderId="0" xfId="0" applyFont="1"/>
    <xf numFmtId="0" fontId="19" fillId="4" borderId="6" xfId="3" applyFill="1" applyBorder="1" applyAlignment="1">
      <alignment horizontal="center" vertical="center"/>
    </xf>
    <xf numFmtId="0" fontId="37" fillId="4" borderId="6" xfId="0" applyFont="1" applyFill="1" applyBorder="1" applyAlignment="1">
      <alignment horizontal="center"/>
    </xf>
    <xf numFmtId="0" fontId="19" fillId="4" borderId="8" xfId="4" applyFill="1" applyBorder="1">
      <alignment horizontal="left"/>
    </xf>
    <xf numFmtId="0" fontId="19" fillId="4" borderId="9" xfId="3" applyFill="1" applyBorder="1" applyAlignment="1">
      <alignment horizontal="center" vertical="center"/>
    </xf>
    <xf numFmtId="0" fontId="38" fillId="0" borderId="10" xfId="8" applyFont="1" applyFill="1" applyBorder="1" applyAlignment="1">
      <alignment horizontal="center"/>
    </xf>
    <xf numFmtId="0" fontId="38" fillId="0" borderId="12" xfId="8" applyFont="1" applyFill="1" applyBorder="1" applyAlignment="1">
      <alignment horizontal="center"/>
    </xf>
    <xf numFmtId="0" fontId="37" fillId="4" borderId="13" xfId="0" applyFont="1" applyFill="1" applyBorder="1" applyAlignment="1">
      <alignment horizontal="center"/>
    </xf>
    <xf numFmtId="0" fontId="13" fillId="0" borderId="14" xfId="0" applyFont="1" applyBorder="1" applyAlignment="1">
      <alignment horizontal="center"/>
    </xf>
    <xf numFmtId="9" fontId="13" fillId="0" borderId="14" xfId="15" applyFont="1" applyBorder="1"/>
    <xf numFmtId="0" fontId="13" fillId="0" borderId="13" xfId="0" applyFont="1" applyBorder="1" applyAlignment="1">
      <alignment horizontal="center"/>
    </xf>
    <xf numFmtId="9" fontId="25" fillId="0" borderId="16" xfId="15" applyFont="1" applyBorder="1"/>
    <xf numFmtId="0" fontId="13" fillId="0" borderId="8" xfId="0" applyFont="1" applyBorder="1"/>
    <xf numFmtId="9" fontId="13" fillId="0" borderId="13" xfId="15" applyFont="1" applyBorder="1"/>
    <xf numFmtId="0" fontId="13" fillId="0" borderId="18" xfId="0" applyFont="1" applyBorder="1"/>
    <xf numFmtId="9" fontId="13" fillId="0" borderId="19" xfId="15" applyFont="1" applyBorder="1"/>
    <xf numFmtId="9" fontId="13" fillId="0" borderId="20" xfId="15" applyFont="1" applyBorder="1"/>
    <xf numFmtId="0" fontId="35" fillId="4" borderId="0" xfId="0" applyFont="1" applyFill="1"/>
    <xf numFmtId="170" fontId="35" fillId="4" borderId="0" xfId="0" applyNumberFormat="1" applyFont="1" applyFill="1"/>
    <xf numFmtId="170" fontId="35" fillId="4" borderId="0" xfId="0" applyNumberFormat="1" applyFont="1" applyFill="1" applyAlignment="1">
      <alignment horizontal="center"/>
    </xf>
    <xf numFmtId="171" fontId="13" fillId="0" borderId="0" xfId="0" applyNumberFormat="1" applyFont="1" applyAlignment="1">
      <alignment horizontal="center"/>
    </xf>
    <xf numFmtId="10" fontId="13" fillId="0" borderId="0" xfId="0" applyNumberFormat="1" applyFont="1" applyAlignment="1">
      <alignment horizontal="center"/>
    </xf>
    <xf numFmtId="170" fontId="37" fillId="4" borderId="0" xfId="0" applyNumberFormat="1" applyFont="1" applyFill="1" applyAlignment="1">
      <alignment horizontal="center"/>
    </xf>
    <xf numFmtId="170" fontId="12" fillId="0" borderId="0" xfId="10" applyNumberFormat="1" applyFont="1" applyAlignment="1" applyProtection="1">
      <alignment horizontal="left"/>
    </xf>
    <xf numFmtId="170" fontId="13" fillId="0" borderId="0" xfId="0" applyNumberFormat="1" applyFont="1" applyAlignment="1">
      <alignment horizontal="left"/>
    </xf>
    <xf numFmtId="168" fontId="13" fillId="0" borderId="0" xfId="0" applyNumberFormat="1" applyFont="1" applyAlignment="1">
      <alignment horizontal="center"/>
    </xf>
    <xf numFmtId="9" fontId="13" fillId="0" borderId="0" xfId="15" applyFont="1" applyAlignment="1">
      <alignment horizontal="center"/>
    </xf>
    <xf numFmtId="170" fontId="13" fillId="0" borderId="14" xfId="0" applyNumberFormat="1" applyFont="1" applyBorder="1"/>
    <xf numFmtId="170" fontId="13" fillId="0" borderId="19" xfId="0" applyNumberFormat="1" applyFont="1" applyBorder="1"/>
    <xf numFmtId="0" fontId="39" fillId="3" borderId="12" xfId="9" applyFont="1" applyBorder="1"/>
    <xf numFmtId="0" fontId="39" fillId="3" borderId="21" xfId="9" applyFont="1" applyBorder="1"/>
    <xf numFmtId="0" fontId="39" fillId="0" borderId="12" xfId="9" applyFont="1" applyFill="1" applyBorder="1"/>
    <xf numFmtId="0" fontId="39" fillId="3" borderId="22" xfId="9" applyFont="1" applyBorder="1"/>
    <xf numFmtId="0" fontId="39" fillId="0" borderId="12" xfId="0" applyFont="1" applyBorder="1"/>
    <xf numFmtId="0" fontId="39" fillId="0" borderId="23" xfId="0" applyFont="1" applyBorder="1" applyAlignment="1">
      <alignment horizontal="center"/>
    </xf>
    <xf numFmtId="0" fontId="39" fillId="0" borderId="24" xfId="0" applyFont="1" applyBorder="1"/>
    <xf numFmtId="0" fontId="39" fillId="0" borderId="22" xfId="0" applyFont="1" applyBorder="1"/>
    <xf numFmtId="0" fontId="39" fillId="0" borderId="25" xfId="0" applyFont="1" applyBorder="1" applyAlignment="1">
      <alignment horizontal="center"/>
    </xf>
    <xf numFmtId="0" fontId="39" fillId="0" borderId="26" xfId="0" applyFont="1" applyBorder="1"/>
    <xf numFmtId="171" fontId="35" fillId="4" borderId="0" xfId="0" applyNumberFormat="1" applyFont="1" applyFill="1" applyAlignment="1">
      <alignment horizontal="center"/>
    </xf>
    <xf numFmtId="0" fontId="39" fillId="3" borderId="12" xfId="9" applyFont="1" applyBorder="1" applyAlignment="1">
      <alignment vertical="center"/>
    </xf>
    <xf numFmtId="0" fontId="12" fillId="0" borderId="0" xfId="0" applyFont="1" applyAlignment="1">
      <alignment vertical="center"/>
    </xf>
    <xf numFmtId="0" fontId="39" fillId="0" borderId="12" xfId="0" applyFont="1" applyBorder="1" applyAlignment="1">
      <alignment vertical="center"/>
    </xf>
    <xf numFmtId="0" fontId="39" fillId="0" borderId="23" xfId="0" applyFont="1" applyBorder="1" applyAlignment="1">
      <alignment horizontal="center" vertical="center"/>
    </xf>
    <xf numFmtId="0" fontId="39" fillId="0" borderId="24" xfId="0" applyFont="1" applyBorder="1" applyAlignment="1">
      <alignment vertical="center"/>
    </xf>
    <xf numFmtId="0" fontId="40" fillId="0" borderId="0" xfId="10" applyFont="1" applyAlignment="1" applyProtection="1"/>
    <xf numFmtId="0" fontId="41" fillId="0" borderId="0" xfId="0" applyFont="1"/>
    <xf numFmtId="171" fontId="12" fillId="0" borderId="0" xfId="15" applyNumberFormat="1" applyFont="1" applyAlignment="1">
      <alignment horizontal="center"/>
    </xf>
    <xf numFmtId="173" fontId="0" fillId="0" borderId="0" xfId="0" applyNumberFormat="1" applyAlignment="1">
      <alignment horizontal="center"/>
    </xf>
    <xf numFmtId="168" fontId="12" fillId="0" borderId="0" xfId="0" applyNumberFormat="1" applyFont="1"/>
    <xf numFmtId="170" fontId="13" fillId="0" borderId="14" xfId="0" applyNumberFormat="1" applyFont="1" applyBorder="1" applyAlignment="1">
      <alignment horizontal="center"/>
    </xf>
    <xf numFmtId="170" fontId="13" fillId="0" borderId="19" xfId="0" applyNumberFormat="1" applyFont="1" applyBorder="1" applyAlignment="1">
      <alignment horizontal="center"/>
    </xf>
    <xf numFmtId="0" fontId="13" fillId="0" borderId="0" xfId="0" applyFont="1" applyAlignment="1">
      <alignment horizontal="left"/>
    </xf>
    <xf numFmtId="0" fontId="17" fillId="0" borderId="30" xfId="0" applyFont="1" applyBorder="1"/>
    <xf numFmtId="0" fontId="37" fillId="4" borderId="30" xfId="0" applyFont="1" applyFill="1" applyBorder="1"/>
    <xf numFmtId="0" fontId="14" fillId="0" borderId="30" xfId="0" applyFont="1" applyBorder="1"/>
    <xf numFmtId="0" fontId="37" fillId="4" borderId="30" xfId="0" applyFont="1" applyFill="1" applyBorder="1" applyAlignment="1">
      <alignment horizontal="center"/>
    </xf>
    <xf numFmtId="0" fontId="13" fillId="0" borderId="30" xfId="0" applyFont="1" applyBorder="1" applyAlignment="1">
      <alignment horizontal="center"/>
    </xf>
    <xf numFmtId="0" fontId="13" fillId="0" borderId="34" xfId="0" applyFont="1" applyBorder="1" applyAlignment="1">
      <alignment horizontal="center"/>
    </xf>
    <xf numFmtId="0" fontId="42" fillId="4" borderId="35" xfId="0" applyFont="1" applyFill="1" applyBorder="1" applyAlignment="1">
      <alignment horizontal="center"/>
    </xf>
    <xf numFmtId="0" fontId="37" fillId="4" borderId="34" xfId="0" applyFont="1" applyFill="1" applyBorder="1" applyAlignment="1">
      <alignment horizontal="center"/>
    </xf>
    <xf numFmtId="0" fontId="13" fillId="0" borderId="35" xfId="0" applyFont="1" applyBorder="1" applyAlignment="1">
      <alignment horizontal="center"/>
    </xf>
    <xf numFmtId="0" fontId="0" fillId="0" borderId="34" xfId="0" applyBorder="1" applyAlignment="1">
      <alignment horizontal="center"/>
    </xf>
    <xf numFmtId="170" fontId="0" fillId="7" borderId="0" xfId="0" applyNumberFormat="1" applyFill="1" applyAlignment="1">
      <alignment horizontal="center"/>
    </xf>
    <xf numFmtId="170" fontId="12" fillId="7" borderId="0" xfId="0" applyNumberFormat="1" applyFont="1" applyFill="1" applyAlignment="1">
      <alignment horizontal="center"/>
    </xf>
    <xf numFmtId="170" fontId="12" fillId="0" borderId="36" xfId="0" applyNumberFormat="1" applyFont="1" applyBorder="1"/>
    <xf numFmtId="170" fontId="12" fillId="0" borderId="37" xfId="0" applyNumberFormat="1" applyFont="1" applyBorder="1" applyAlignment="1">
      <alignment horizontal="center"/>
    </xf>
    <xf numFmtId="170" fontId="12" fillId="0" borderId="38" xfId="0" applyNumberFormat="1" applyFont="1" applyBorder="1"/>
    <xf numFmtId="173" fontId="0" fillId="0" borderId="39" xfId="0" applyNumberFormat="1" applyBorder="1" applyAlignment="1">
      <alignment horizontal="center"/>
    </xf>
    <xf numFmtId="170" fontId="12" fillId="0" borderId="40" xfId="0" applyNumberFormat="1" applyFont="1" applyBorder="1"/>
    <xf numFmtId="170" fontId="0" fillId="0" borderId="41" xfId="0" applyNumberFormat="1" applyBorder="1" applyAlignment="1">
      <alignment horizontal="center"/>
    </xf>
    <xf numFmtId="173" fontId="0" fillId="0" borderId="41" xfId="0" applyNumberFormat="1" applyBorder="1" applyAlignment="1">
      <alignment horizontal="center"/>
    </xf>
    <xf numFmtId="173" fontId="0" fillId="0" borderId="42" xfId="0" applyNumberFormat="1" applyBorder="1" applyAlignment="1">
      <alignment horizontal="center"/>
    </xf>
    <xf numFmtId="168" fontId="0" fillId="0" borderId="37" xfId="0" applyNumberFormat="1" applyBorder="1" applyAlignment="1">
      <alignment horizontal="center"/>
    </xf>
    <xf numFmtId="0" fontId="42" fillId="4" borderId="43" xfId="0" applyFont="1" applyFill="1" applyBorder="1"/>
    <xf numFmtId="0" fontId="42" fillId="4" borderId="44" xfId="0" applyFont="1" applyFill="1" applyBorder="1"/>
    <xf numFmtId="0" fontId="42" fillId="4" borderId="45" xfId="0" applyFont="1" applyFill="1" applyBorder="1" applyAlignment="1">
      <alignment horizontal="center"/>
    </xf>
    <xf numFmtId="171" fontId="35" fillId="4" borderId="0" xfId="15" applyNumberFormat="1" applyFont="1" applyFill="1" applyAlignment="1">
      <alignment horizontal="center"/>
    </xf>
    <xf numFmtId="0" fontId="12" fillId="0" borderId="30" xfId="0" applyFont="1" applyBorder="1" applyAlignment="1">
      <alignment horizontal="left" vertical="center"/>
    </xf>
    <xf numFmtId="171" fontId="13" fillId="0" borderId="30" xfId="15" applyNumberFormat="1" applyFont="1" applyBorder="1" applyAlignment="1">
      <alignment horizontal="center" vertical="center"/>
    </xf>
    <xf numFmtId="168" fontId="35" fillId="4" borderId="0" xfId="0" applyNumberFormat="1" applyFont="1" applyFill="1" applyAlignment="1">
      <alignment horizontal="center"/>
    </xf>
    <xf numFmtId="171" fontId="13" fillId="0" borderId="23" xfId="17" applyNumberFormat="1" applyFont="1" applyFill="1" applyBorder="1" applyAlignment="1">
      <alignment horizontal="center"/>
    </xf>
    <xf numFmtId="0" fontId="12" fillId="0" borderId="0" xfId="0" applyFont="1" applyAlignment="1">
      <alignment horizontal="left"/>
    </xf>
    <xf numFmtId="0" fontId="8" fillId="0" borderId="32" xfId="0" applyFont="1" applyBorder="1" applyAlignment="1">
      <alignment horizontal="center" vertical="center"/>
    </xf>
    <xf numFmtId="0" fontId="8" fillId="0" borderId="48" xfId="0" applyFont="1" applyBorder="1" applyAlignment="1">
      <alignment horizontal="center" vertical="center"/>
    </xf>
    <xf numFmtId="170" fontId="8" fillId="0" borderId="30" xfId="0" applyNumberFormat="1" applyFont="1" applyBorder="1" applyAlignment="1">
      <alignment horizontal="center"/>
    </xf>
    <xf numFmtId="171" fontId="8" fillId="0" borderId="30" xfId="15" applyNumberFormat="1" applyFont="1" applyBorder="1" applyAlignment="1">
      <alignment horizontal="center"/>
    </xf>
    <xf numFmtId="14" fontId="8" fillId="0" borderId="32" xfId="0" applyNumberFormat="1" applyFont="1" applyBorder="1" applyAlignment="1">
      <alignment horizontal="center" vertical="center"/>
    </xf>
    <xf numFmtId="0" fontId="8" fillId="0" borderId="0" xfId="0" applyFont="1"/>
    <xf numFmtId="169" fontId="0" fillId="0" borderId="0" xfId="0" applyNumberFormat="1"/>
    <xf numFmtId="171" fontId="13" fillId="9" borderId="14" xfId="15" applyNumberFormat="1" applyFont="1" applyFill="1" applyBorder="1"/>
    <xf numFmtId="0" fontId="8" fillId="0" borderId="30" xfId="0" applyFont="1" applyBorder="1"/>
    <xf numFmtId="9" fontId="8" fillId="0" borderId="30" xfId="15" applyFont="1" applyBorder="1" applyAlignment="1">
      <alignment horizontal="center"/>
    </xf>
    <xf numFmtId="168" fontId="8" fillId="0" borderId="30" xfId="0" applyNumberFormat="1" applyFont="1" applyBorder="1" applyAlignment="1">
      <alignment horizontal="center"/>
    </xf>
    <xf numFmtId="170" fontId="8" fillId="0" borderId="30" xfId="15" applyNumberFormat="1" applyFont="1" applyFill="1" applyBorder="1" applyAlignment="1">
      <alignment horizontal="center"/>
    </xf>
    <xf numFmtId="0" fontId="8" fillId="0" borderId="34" xfId="0" applyFont="1" applyBorder="1"/>
    <xf numFmtId="0" fontId="8" fillId="0" borderId="30" xfId="0" applyFont="1" applyBorder="1" applyAlignment="1">
      <alignment horizontal="left"/>
    </xf>
    <xf numFmtId="0" fontId="8" fillId="0" borderId="34" xfId="0" quotePrefix="1" applyFont="1" applyBorder="1"/>
    <xf numFmtId="0" fontId="8" fillId="0" borderId="30" xfId="0" quotePrefix="1" applyFont="1" applyBorder="1"/>
    <xf numFmtId="170" fontId="8" fillId="0" borderId="30" xfId="15" applyNumberFormat="1" applyFont="1" applyBorder="1" applyAlignment="1">
      <alignment horizontal="center"/>
    </xf>
    <xf numFmtId="171" fontId="8" fillId="0" borderId="0" xfId="0" applyNumberFormat="1" applyFont="1" applyAlignment="1">
      <alignment horizontal="center"/>
    </xf>
    <xf numFmtId="0" fontId="8" fillId="0" borderId="0" xfId="0" applyFont="1" applyAlignment="1">
      <alignment horizontal="center"/>
    </xf>
    <xf numFmtId="171" fontId="8" fillId="0" borderId="30" xfId="15" applyNumberFormat="1" applyFont="1" applyFill="1" applyBorder="1" applyAlignment="1">
      <alignment horizontal="center"/>
    </xf>
    <xf numFmtId="168" fontId="35" fillId="0" borderId="0" xfId="0" applyNumberFormat="1" applyFont="1"/>
    <xf numFmtId="3" fontId="35" fillId="0" borderId="0" xfId="0" applyNumberFormat="1" applyFont="1"/>
    <xf numFmtId="0" fontId="44" fillId="0" borderId="0" xfId="0" applyFont="1" applyAlignment="1">
      <alignment vertical="top" wrapText="1"/>
    </xf>
    <xf numFmtId="171" fontId="35" fillId="0" borderId="0" xfId="15" applyNumberFormat="1" applyFont="1" applyFill="1"/>
    <xf numFmtId="9" fontId="35" fillId="0" borderId="0" xfId="15" applyFont="1" applyFill="1"/>
    <xf numFmtId="9" fontId="0" fillId="0" borderId="0" xfId="0" applyNumberFormat="1"/>
    <xf numFmtId="0" fontId="8" fillId="0" borderId="33" xfId="0" applyFont="1" applyBorder="1" applyAlignment="1">
      <alignment horizontal="center" vertical="center"/>
    </xf>
    <xf numFmtId="0" fontId="8" fillId="0" borderId="30" xfId="0" applyFont="1" applyBorder="1" applyAlignment="1">
      <alignment horizontal="left" indent="1"/>
    </xf>
    <xf numFmtId="0" fontId="8" fillId="0" borderId="34" xfId="0" applyFont="1" applyBorder="1" applyAlignment="1">
      <alignment horizontal="center"/>
    </xf>
    <xf numFmtId="171" fontId="13" fillId="0" borderId="19" xfId="15" applyNumberFormat="1" applyFont="1" applyBorder="1"/>
    <xf numFmtId="0" fontId="9" fillId="0" borderId="0" xfId="0" applyFont="1"/>
    <xf numFmtId="10" fontId="8" fillId="0" borderId="0" xfId="0" applyNumberFormat="1" applyFont="1" applyAlignment="1">
      <alignment horizontal="center"/>
    </xf>
    <xf numFmtId="169" fontId="0" fillId="0" borderId="0" xfId="0" applyNumberFormat="1" applyAlignment="1">
      <alignment horizontal="center"/>
    </xf>
    <xf numFmtId="4" fontId="8" fillId="0" borderId="30" xfId="0" applyNumberFormat="1" applyFont="1" applyBorder="1" applyAlignment="1">
      <alignment horizontal="center"/>
    </xf>
    <xf numFmtId="14" fontId="8" fillId="0" borderId="30" xfId="0" applyNumberFormat="1" applyFont="1" applyBorder="1" applyAlignment="1">
      <alignment horizontal="center"/>
    </xf>
    <xf numFmtId="172" fontId="8" fillId="0" borderId="30" xfId="15" applyNumberFormat="1" applyFont="1" applyBorder="1" applyAlignment="1">
      <alignment horizontal="center"/>
    </xf>
    <xf numFmtId="171" fontId="8" fillId="0" borderId="35" xfId="15" applyNumberFormat="1" applyFont="1" applyFill="1" applyBorder="1" applyAlignment="1">
      <alignment horizontal="center"/>
    </xf>
    <xf numFmtId="9" fontId="8" fillId="0" borderId="35" xfId="0" applyNumberFormat="1" applyFont="1" applyBorder="1" applyAlignment="1">
      <alignment horizontal="center"/>
    </xf>
    <xf numFmtId="170" fontId="8" fillId="0" borderId="0" xfId="0" applyNumberFormat="1" applyFont="1"/>
    <xf numFmtId="0" fontId="49" fillId="0" borderId="0" xfId="10" applyFont="1" applyFill="1" applyAlignment="1" applyProtection="1"/>
    <xf numFmtId="170" fontId="35" fillId="0" borderId="0" xfId="0" applyNumberFormat="1" applyFont="1"/>
    <xf numFmtId="0" fontId="0" fillId="0" borderId="72" xfId="0" applyBorder="1" applyAlignment="1">
      <alignment horizontal="left"/>
    </xf>
    <xf numFmtId="2" fontId="8" fillId="0" borderId="30" xfId="15" applyNumberFormat="1" applyFont="1" applyBorder="1" applyAlignment="1">
      <alignment horizontal="center"/>
    </xf>
    <xf numFmtId="2" fontId="12" fillId="7" borderId="0" xfId="0" applyNumberFormat="1" applyFont="1" applyFill="1" applyAlignment="1">
      <alignment horizontal="center"/>
    </xf>
    <xf numFmtId="2" fontId="12" fillId="0" borderId="0" xfId="0" applyNumberFormat="1" applyFont="1" applyAlignment="1">
      <alignment horizontal="center"/>
    </xf>
    <xf numFmtId="171" fontId="8" fillId="0" borderId="35" xfId="15" quotePrefix="1" applyNumberFormat="1" applyFont="1" applyFill="1" applyBorder="1" applyAlignment="1">
      <alignment horizontal="center"/>
    </xf>
    <xf numFmtId="0" fontId="8" fillId="0" borderId="49" xfId="0" applyFont="1" applyBorder="1" applyAlignment="1">
      <alignment horizontal="left" vertical="center"/>
    </xf>
    <xf numFmtId="0" fontId="8" fillId="0" borderId="45" xfId="0" applyFont="1" applyBorder="1" applyAlignment="1">
      <alignment horizontal="left" vertical="center"/>
    </xf>
    <xf numFmtId="9" fontId="35" fillId="0" borderId="0" xfId="15" applyFont="1"/>
    <xf numFmtId="9" fontId="44" fillId="0" borderId="0" xfId="15" applyFont="1" applyAlignment="1">
      <alignment vertical="top" wrapText="1"/>
    </xf>
    <xf numFmtId="171" fontId="46" fillId="0" borderId="30" xfId="15" applyNumberFormat="1" applyFont="1" applyFill="1" applyBorder="1" applyAlignment="1">
      <alignment horizontal="center"/>
    </xf>
    <xf numFmtId="0" fontId="8" fillId="0" borderId="8" xfId="0" applyFont="1" applyBorder="1"/>
    <xf numFmtId="0" fontId="8" fillId="0" borderId="17" xfId="0" applyFont="1" applyBorder="1"/>
    <xf numFmtId="0" fontId="8" fillId="0" borderId="15" xfId="0" applyFont="1" applyBorder="1"/>
    <xf numFmtId="0" fontId="8" fillId="0" borderId="45" xfId="0" applyFont="1" applyBorder="1" applyAlignment="1">
      <alignment vertical="center"/>
    </xf>
    <xf numFmtId="2" fontId="46" fillId="0" borderId="35" xfId="15" applyNumberFormat="1" applyFont="1" applyBorder="1" applyAlignment="1">
      <alignment horizontal="center"/>
    </xf>
    <xf numFmtId="172" fontId="46" fillId="0" borderId="35" xfId="15" applyNumberFormat="1" applyFont="1" applyBorder="1" applyAlignment="1">
      <alignment horizontal="center"/>
    </xf>
    <xf numFmtId="172" fontId="46" fillId="0" borderId="35" xfId="0" applyNumberFormat="1" applyFont="1" applyBorder="1" applyAlignment="1">
      <alignment horizontal="center"/>
    </xf>
    <xf numFmtId="172" fontId="47" fillId="0" borderId="35" xfId="0" applyNumberFormat="1" applyFont="1" applyBorder="1" applyAlignment="1">
      <alignment horizontal="center"/>
    </xf>
    <xf numFmtId="171" fontId="47" fillId="0" borderId="35" xfId="15" applyNumberFormat="1" applyFont="1" applyBorder="1" applyAlignment="1">
      <alignment horizontal="center"/>
    </xf>
    <xf numFmtId="9" fontId="46" fillId="0" borderId="30" xfId="15" applyFont="1" applyBorder="1" applyAlignment="1">
      <alignment horizontal="center"/>
    </xf>
    <xf numFmtId="9" fontId="46" fillId="0" borderId="30" xfId="15" applyFont="1" applyFill="1" applyBorder="1" applyAlignment="1">
      <alignment horizontal="center"/>
    </xf>
    <xf numFmtId="171" fontId="50" fillId="0" borderId="30" xfId="15" applyNumberFormat="1" applyFont="1" applyBorder="1" applyAlignment="1">
      <alignment horizontal="center"/>
    </xf>
    <xf numFmtId="0" fontId="51" fillId="0" borderId="72" xfId="0" applyFont="1" applyBorder="1" applyAlignment="1">
      <alignment horizontal="left"/>
    </xf>
    <xf numFmtId="3" fontId="20" fillId="3" borderId="7" xfId="5" applyBorder="1">
      <alignment horizontal="right"/>
    </xf>
    <xf numFmtId="3" fontId="20" fillId="0" borderId="7" xfId="5" applyFill="1" applyBorder="1">
      <alignment horizontal="right"/>
    </xf>
    <xf numFmtId="3" fontId="20" fillId="3" borderId="11" xfId="5" applyBorder="1">
      <alignment horizontal="right"/>
    </xf>
    <xf numFmtId="0" fontId="8" fillId="3" borderId="24" xfId="9" applyFont="1" applyBorder="1" applyAlignment="1">
      <alignment horizontal="right"/>
    </xf>
    <xf numFmtId="173" fontId="8" fillId="3" borderId="24" xfId="6" applyFont="1" applyBorder="1">
      <alignment horizontal="right"/>
    </xf>
    <xf numFmtId="0" fontId="8" fillId="3" borderId="7" xfId="9" applyFont="1" applyBorder="1" applyAlignment="1">
      <alignment horizontal="right"/>
    </xf>
    <xf numFmtId="3" fontId="13" fillId="3" borderId="7" xfId="5" applyFont="1" applyBorder="1">
      <alignment horizontal="right"/>
    </xf>
    <xf numFmtId="4" fontId="8" fillId="0" borderId="24" xfId="7" applyFont="1" applyFill="1" applyBorder="1">
      <alignment horizontal="right"/>
    </xf>
    <xf numFmtId="3" fontId="13" fillId="3" borderId="11" xfId="5" applyFont="1" applyBorder="1" applyAlignment="1">
      <alignment horizontal="right" wrapText="1"/>
    </xf>
    <xf numFmtId="4" fontId="8" fillId="3" borderId="24" xfId="7" applyFont="1" applyBorder="1">
      <alignment horizontal="right"/>
    </xf>
    <xf numFmtId="0" fontId="8" fillId="0" borderId="24" xfId="9" applyFont="1" applyFill="1" applyBorder="1" applyAlignment="1">
      <alignment horizontal="right"/>
    </xf>
    <xf numFmtId="4" fontId="8" fillId="5" borderId="24" xfId="7" applyFont="1" applyFill="1" applyBorder="1">
      <alignment horizontal="right"/>
    </xf>
    <xf numFmtId="0" fontId="8" fillId="3" borderId="78" xfId="9" applyFont="1" applyBorder="1" applyAlignment="1">
      <alignment horizontal="right"/>
    </xf>
    <xf numFmtId="173" fontId="8" fillId="3" borderId="78" xfId="6" applyFont="1" applyBorder="1">
      <alignment horizontal="right"/>
    </xf>
    <xf numFmtId="3" fontId="13" fillId="3" borderId="76" xfId="5" applyFont="1" applyBorder="1" applyAlignment="1">
      <alignment horizontal="right" wrapText="1"/>
    </xf>
    <xf numFmtId="4" fontId="8" fillId="5" borderId="26" xfId="7" applyFont="1" applyFill="1" applyBorder="1">
      <alignment horizontal="right"/>
    </xf>
    <xf numFmtId="4" fontId="8" fillId="0" borderId="26" xfId="7" applyFont="1" applyFill="1" applyBorder="1">
      <alignment horizontal="right"/>
    </xf>
    <xf numFmtId="4" fontId="8" fillId="3" borderId="26" xfId="7" applyFont="1" applyBorder="1">
      <alignment horizontal="right"/>
    </xf>
    <xf numFmtId="171" fontId="46" fillId="0" borderId="35" xfId="17" applyNumberFormat="1" applyFont="1" applyBorder="1" applyAlignment="1">
      <alignment horizontal="center"/>
    </xf>
    <xf numFmtId="0" fontId="10" fillId="0" borderId="0" xfId="10" applyAlignment="1" applyProtection="1"/>
    <xf numFmtId="0" fontId="51" fillId="0" borderId="1" xfId="0" applyFont="1" applyBorder="1"/>
    <xf numFmtId="0" fontId="0" fillId="0" borderId="1" xfId="0" applyBorder="1"/>
    <xf numFmtId="0" fontId="10" fillId="0" borderId="1" xfId="10" applyBorder="1" applyAlignment="1" applyProtection="1"/>
    <xf numFmtId="0" fontId="0" fillId="0" borderId="72" xfId="0" applyBorder="1"/>
    <xf numFmtId="0" fontId="34" fillId="0" borderId="0" xfId="0" applyFont="1" applyAlignment="1">
      <alignment horizontal="center"/>
    </xf>
    <xf numFmtId="0" fontId="13" fillId="0" borderId="0" xfId="0" applyFont="1"/>
    <xf numFmtId="171" fontId="37" fillId="5" borderId="0" xfId="0" applyNumberFormat="1" applyFont="1" applyFill="1" applyAlignment="1">
      <alignment horizontal="center"/>
    </xf>
    <xf numFmtId="0" fontId="8" fillId="0" borderId="0" xfId="24" applyAlignment="1">
      <alignment horizontal="center"/>
    </xf>
    <xf numFmtId="0" fontId="8" fillId="0" borderId="0" xfId="24"/>
    <xf numFmtId="0" fontId="13" fillId="0" borderId="0" xfId="24" applyFont="1" applyAlignment="1">
      <alignment horizontal="center"/>
    </xf>
    <xf numFmtId="0" fontId="9" fillId="0" borderId="0" xfId="24" applyFont="1"/>
    <xf numFmtId="0" fontId="56" fillId="0" borderId="0" xfId="24" applyFont="1"/>
    <xf numFmtId="0" fontId="57" fillId="0" borderId="0" xfId="24" applyFont="1"/>
    <xf numFmtId="3" fontId="57" fillId="0" borderId="0" xfId="24" applyNumberFormat="1" applyFont="1"/>
    <xf numFmtId="0" fontId="28" fillId="0" borderId="0" xfId="24" applyFont="1" applyAlignment="1">
      <alignment horizontal="left"/>
    </xf>
    <xf numFmtId="0" fontId="28" fillId="0" borderId="0" xfId="24" applyFont="1" applyAlignment="1">
      <alignment horizontal="center"/>
    </xf>
    <xf numFmtId="3" fontId="8" fillId="0" borderId="0" xfId="24" applyNumberFormat="1" applyAlignment="1">
      <alignment horizontal="center"/>
    </xf>
    <xf numFmtId="171" fontId="8" fillId="0" borderId="0" xfId="15" applyNumberFormat="1" applyFont="1" applyAlignment="1">
      <alignment horizontal="center"/>
    </xf>
    <xf numFmtId="9" fontId="8" fillId="0" borderId="0" xfId="15" applyFont="1" applyAlignment="1">
      <alignment horizontal="center"/>
    </xf>
    <xf numFmtId="9" fontId="8" fillId="0" borderId="0" xfId="15" applyFont="1" applyBorder="1" applyAlignment="1">
      <alignment horizontal="center"/>
    </xf>
    <xf numFmtId="0" fontId="58" fillId="0" borderId="0" xfId="24" applyFont="1"/>
    <xf numFmtId="9" fontId="55" fillId="0" borderId="0" xfId="15" applyFont="1" applyAlignment="1">
      <alignment horizontal="center"/>
    </xf>
    <xf numFmtId="0" fontId="57" fillId="0" borderId="87" xfId="24" applyFont="1" applyBorder="1"/>
    <xf numFmtId="3" fontId="8" fillId="0" borderId="88" xfId="24" applyNumberFormat="1" applyBorder="1" applyAlignment="1">
      <alignment horizontal="center"/>
    </xf>
    <xf numFmtId="0" fontId="57" fillId="0" borderId="89" xfId="24" applyFont="1" applyBorder="1"/>
    <xf numFmtId="3" fontId="8" fillId="0" borderId="72" xfId="24" applyNumberFormat="1" applyBorder="1" applyAlignment="1">
      <alignment horizontal="center"/>
    </xf>
    <xf numFmtId="0" fontId="57" fillId="13" borderId="0" xfId="24" applyFont="1" applyFill="1"/>
    <xf numFmtId="3" fontId="8" fillId="13" borderId="0" xfId="24" applyNumberFormat="1" applyFill="1" applyAlignment="1">
      <alignment horizontal="center"/>
    </xf>
    <xf numFmtId="0" fontId="57" fillId="14" borderId="0" xfId="24" applyFont="1" applyFill="1"/>
    <xf numFmtId="3" fontId="8" fillId="14" borderId="0" xfId="24" applyNumberFormat="1" applyFill="1" applyAlignment="1">
      <alignment horizontal="center"/>
    </xf>
    <xf numFmtId="0" fontId="57" fillId="0" borderId="0" xfId="24" applyFont="1" applyAlignment="1">
      <alignment horizontal="left"/>
    </xf>
    <xf numFmtId="0" fontId="28" fillId="0" borderId="0" xfId="24" applyFont="1"/>
    <xf numFmtId="0" fontId="13" fillId="0" borderId="0" xfId="24" applyFont="1"/>
    <xf numFmtId="3" fontId="13" fillId="0" borderId="0" xfId="24" applyNumberFormat="1" applyFont="1" applyAlignment="1">
      <alignment horizontal="center"/>
    </xf>
    <xf numFmtId="0" fontId="59" fillId="0" borderId="0" xfId="24" applyFont="1"/>
    <xf numFmtId="172" fontId="57" fillId="0" borderId="0" xfId="24" applyNumberFormat="1" applyFont="1" applyAlignment="1">
      <alignment horizontal="center"/>
    </xf>
    <xf numFmtId="172" fontId="8" fillId="0" borderId="0" xfId="24" applyNumberFormat="1" applyAlignment="1">
      <alignment horizontal="center"/>
    </xf>
    <xf numFmtId="2" fontId="8" fillId="0" borderId="0" xfId="15" applyNumberFormat="1" applyFont="1" applyAlignment="1">
      <alignment horizontal="center"/>
    </xf>
    <xf numFmtId="0" fontId="60" fillId="0" borderId="0" xfId="24" applyFont="1"/>
    <xf numFmtId="3" fontId="60" fillId="0" borderId="0" xfId="24" applyNumberFormat="1" applyFont="1" applyAlignment="1">
      <alignment horizontal="center"/>
    </xf>
    <xf numFmtId="0" fontId="30" fillId="0" borderId="0" xfId="24" applyFont="1"/>
    <xf numFmtId="0" fontId="60" fillId="15" borderId="0" xfId="24" applyFont="1" applyFill="1"/>
    <xf numFmtId="3" fontId="60" fillId="15" borderId="0" xfId="24" applyNumberFormat="1" applyFont="1" applyFill="1" applyAlignment="1">
      <alignment horizontal="center"/>
    </xf>
    <xf numFmtId="3" fontId="60" fillId="0" borderId="0" xfId="24" applyNumberFormat="1" applyFont="1"/>
    <xf numFmtId="173" fontId="30" fillId="0" borderId="0" xfId="24" applyNumberFormat="1" applyFont="1" applyAlignment="1">
      <alignment horizontal="center"/>
    </xf>
    <xf numFmtId="3" fontId="30" fillId="0" borderId="0" xfId="24" applyNumberFormat="1" applyFont="1" applyAlignment="1">
      <alignment horizontal="center"/>
    </xf>
    <xf numFmtId="3" fontId="30" fillId="0" borderId="0" xfId="24" applyNumberFormat="1" applyFont="1"/>
    <xf numFmtId="173" fontId="60" fillId="15" borderId="0" xfId="24" applyNumberFormat="1" applyFont="1" applyFill="1" applyAlignment="1">
      <alignment horizontal="left"/>
    </xf>
    <xf numFmtId="0" fontId="60" fillId="13" borderId="0" xfId="24" applyFont="1" applyFill="1"/>
    <xf numFmtId="3" fontId="30" fillId="15" borderId="0" xfId="24" applyNumberFormat="1" applyFont="1" applyFill="1" applyAlignment="1">
      <alignment horizontal="center"/>
    </xf>
    <xf numFmtId="0" fontId="30" fillId="15" borderId="0" xfId="24" applyFont="1" applyFill="1"/>
    <xf numFmtId="168" fontId="8" fillId="0" borderId="79" xfId="0" applyNumberFormat="1" applyFont="1" applyBorder="1"/>
    <xf numFmtId="0" fontId="9" fillId="0" borderId="0" xfId="0" applyFont="1" applyAlignment="1">
      <alignment horizontal="center"/>
    </xf>
    <xf numFmtId="10" fontId="0" fillId="0" borderId="0" xfId="0" applyNumberFormat="1"/>
    <xf numFmtId="4" fontId="0" fillId="0" borderId="0" xfId="0" applyNumberFormat="1" applyAlignment="1">
      <alignment horizontal="center"/>
    </xf>
    <xf numFmtId="10" fontId="8" fillId="0" borderId="0" xfId="0" applyNumberFormat="1" applyFont="1"/>
    <xf numFmtId="10" fontId="0" fillId="0" borderId="88" xfId="0" applyNumberFormat="1" applyBorder="1" applyAlignment="1">
      <alignment horizontal="center"/>
    </xf>
    <xf numFmtId="10" fontId="0" fillId="0" borderId="90" xfId="0" applyNumberFormat="1" applyBorder="1" applyAlignment="1">
      <alignment horizontal="center"/>
    </xf>
    <xf numFmtId="165" fontId="0" fillId="0" borderId="0" xfId="0" applyNumberFormat="1" applyAlignment="1">
      <alignment horizontal="center"/>
    </xf>
    <xf numFmtId="165" fontId="8" fillId="0" borderId="91" xfId="0" applyNumberFormat="1" applyFont="1" applyBorder="1" applyAlignment="1">
      <alignment horizontal="center"/>
    </xf>
    <xf numFmtId="165" fontId="0" fillId="0" borderId="72" xfId="0" applyNumberFormat="1" applyBorder="1" applyAlignment="1">
      <alignment horizontal="center"/>
    </xf>
    <xf numFmtId="165" fontId="8" fillId="0" borderId="92" xfId="0" applyNumberFormat="1" applyFont="1" applyBorder="1" applyAlignment="1">
      <alignment horizontal="center"/>
    </xf>
    <xf numFmtId="166" fontId="13" fillId="0" borderId="0" xfId="0" applyNumberFormat="1" applyFont="1" applyAlignment="1">
      <alignment horizontal="center"/>
    </xf>
    <xf numFmtId="0" fontId="8" fillId="0" borderId="87" xfId="0" applyFont="1" applyBorder="1" applyAlignment="1">
      <alignment horizontal="center"/>
    </xf>
    <xf numFmtId="4" fontId="0" fillId="0" borderId="0" xfId="0" applyNumberFormat="1"/>
    <xf numFmtId="0" fontId="0" fillId="0" borderId="0" xfId="15" applyNumberFormat="1" applyFont="1" applyAlignment="1">
      <alignment horizontal="center"/>
    </xf>
    <xf numFmtId="171" fontId="0" fillId="0" borderId="0" xfId="0" applyNumberFormat="1"/>
    <xf numFmtId="3" fontId="0" fillId="0" borderId="0" xfId="15" applyNumberFormat="1" applyFont="1" applyAlignment="1">
      <alignment horizontal="center"/>
    </xf>
    <xf numFmtId="2" fontId="5" fillId="0" borderId="0" xfId="32" applyNumberFormat="1" applyAlignment="1">
      <alignment horizontal="center"/>
    </xf>
    <xf numFmtId="0" fontId="57" fillId="0" borderId="0" xfId="24" applyFont="1" applyAlignment="1">
      <alignment horizontal="center"/>
    </xf>
    <xf numFmtId="0" fontId="60" fillId="0" borderId="0" xfId="24" applyFont="1" applyAlignment="1">
      <alignment horizontal="center"/>
    </xf>
    <xf numFmtId="0" fontId="30" fillId="0" borderId="0" xfId="24" applyFont="1" applyAlignment="1">
      <alignment horizontal="center"/>
    </xf>
    <xf numFmtId="0" fontId="13" fillId="16" borderId="34" xfId="0" applyFont="1" applyFill="1" applyBorder="1" applyAlignment="1">
      <alignment horizontal="center"/>
    </xf>
    <xf numFmtId="170" fontId="8" fillId="16" borderId="30" xfId="0" applyNumberFormat="1" applyFont="1" applyFill="1" applyBorder="1" applyAlignment="1">
      <alignment horizontal="center"/>
    </xf>
    <xf numFmtId="170" fontId="46" fillId="16" borderId="30" xfId="0" applyNumberFormat="1" applyFont="1" applyFill="1" applyBorder="1" applyAlignment="1">
      <alignment horizontal="center"/>
    </xf>
    <xf numFmtId="9" fontId="46" fillId="16" borderId="30" xfId="15" applyFont="1" applyFill="1" applyBorder="1" applyAlignment="1">
      <alignment horizontal="center"/>
    </xf>
    <xf numFmtId="170" fontId="8" fillId="0" borderId="35" xfId="0" applyNumberFormat="1" applyFont="1" applyBorder="1" applyAlignment="1">
      <alignment horizontal="center"/>
    </xf>
    <xf numFmtId="170" fontId="13" fillId="0" borderId="30" xfId="0" applyNumberFormat="1" applyFont="1" applyBorder="1" applyAlignment="1">
      <alignment horizontal="center"/>
    </xf>
    <xf numFmtId="170" fontId="13" fillId="0" borderId="35" xfId="0" applyNumberFormat="1" applyFont="1" applyBorder="1" applyAlignment="1">
      <alignment horizontal="center"/>
    </xf>
    <xf numFmtId="0" fontId="0" fillId="0" borderId="30" xfId="0" applyBorder="1"/>
    <xf numFmtId="9" fontId="8" fillId="0" borderId="30" xfId="26" applyBorder="1" applyAlignment="1">
      <alignment horizontal="center"/>
    </xf>
    <xf numFmtId="171" fontId="8" fillId="0" borderId="35" xfId="26" applyNumberFormat="1" applyBorder="1" applyAlignment="1">
      <alignment horizontal="center"/>
    </xf>
    <xf numFmtId="172" fontId="0" fillId="0" borderId="30" xfId="0" applyNumberFormat="1" applyBorder="1" applyAlignment="1">
      <alignment horizontal="center"/>
    </xf>
    <xf numFmtId="172" fontId="0" fillId="0" borderId="35" xfId="0" applyNumberFormat="1" applyBorder="1" applyAlignment="1">
      <alignment horizontal="center"/>
    </xf>
    <xf numFmtId="0" fontId="43" fillId="4" borderId="0" xfId="0" applyFont="1" applyFill="1" applyAlignment="1">
      <alignment horizontal="center"/>
    </xf>
    <xf numFmtId="9" fontId="25" fillId="0" borderId="0" xfId="15" applyFont="1" applyBorder="1"/>
    <xf numFmtId="9" fontId="13" fillId="0" borderId="0" xfId="15" applyFont="1" applyBorder="1"/>
    <xf numFmtId="10" fontId="8" fillId="0" borderId="49" xfId="0" applyNumberFormat="1" applyFont="1" applyBorder="1" applyAlignment="1">
      <alignment horizontal="center" vertical="center"/>
    </xf>
    <xf numFmtId="171" fontId="8" fillId="16" borderId="30" xfId="15" applyNumberFormat="1" applyFont="1" applyFill="1" applyBorder="1" applyAlignment="1">
      <alignment horizontal="center"/>
    </xf>
    <xf numFmtId="0" fontId="4" fillId="0" borderId="0" xfId="33"/>
    <xf numFmtId="0" fontId="4" fillId="0" borderId="0" xfId="33" applyAlignment="1">
      <alignment horizontal="center"/>
    </xf>
    <xf numFmtId="0" fontId="13" fillId="0" borderId="0" xfId="33" applyFont="1" applyAlignment="1">
      <alignment horizontal="left"/>
    </xf>
    <xf numFmtId="0" fontId="61" fillId="0" borderId="93" xfId="33" applyFont="1" applyBorder="1"/>
    <xf numFmtId="0" fontId="62" fillId="0" borderId="93" xfId="33" applyFont="1" applyBorder="1"/>
    <xf numFmtId="171" fontId="13" fillId="0" borderId="93" xfId="34" applyNumberFormat="1" applyFont="1" applyBorder="1" applyAlignment="1">
      <alignment horizontal="center"/>
    </xf>
    <xf numFmtId="0" fontId="13" fillId="0" borderId="93" xfId="33" applyFont="1" applyBorder="1" applyAlignment="1">
      <alignment horizontal="center"/>
    </xf>
    <xf numFmtId="0" fontId="13" fillId="0" borderId="93" xfId="33" applyFont="1" applyBorder="1" applyAlignment="1">
      <alignment horizontal="center" vertical="center"/>
    </xf>
    <xf numFmtId="0" fontId="13" fillId="17" borderId="93" xfId="33" applyFont="1" applyFill="1" applyBorder="1"/>
    <xf numFmtId="171" fontId="8" fillId="0" borderId="93" xfId="33" applyNumberFormat="1" applyFont="1" applyBorder="1" applyAlignment="1">
      <alignment horizontal="center"/>
    </xf>
    <xf numFmtId="0" fontId="35" fillId="0" borderId="0" xfId="33" applyFont="1"/>
    <xf numFmtId="170" fontId="8" fillId="17" borderId="93" xfId="33" applyNumberFormat="1" applyFont="1" applyFill="1" applyBorder="1"/>
    <xf numFmtId="170" fontId="4" fillId="0" borderId="93" xfId="33" applyNumberFormat="1" applyBorder="1" applyAlignment="1">
      <alignment horizontal="center"/>
    </xf>
    <xf numFmtId="170" fontId="4" fillId="0" borderId="0" xfId="33" applyNumberFormat="1"/>
    <xf numFmtId="0" fontId="8" fillId="0" borderId="93" xfId="33" applyFont="1" applyBorder="1"/>
    <xf numFmtId="170" fontId="4" fillId="0" borderId="0" xfId="33" applyNumberFormat="1" applyAlignment="1">
      <alignment horizontal="center"/>
    </xf>
    <xf numFmtId="0" fontId="8" fillId="17" borderId="93" xfId="33" applyFont="1" applyFill="1" applyBorder="1"/>
    <xf numFmtId="170" fontId="8" fillId="0" borderId="93" xfId="33" applyNumberFormat="1" applyFont="1" applyBorder="1"/>
    <xf numFmtId="170" fontId="8" fillId="0" borderId="93" xfId="33" applyNumberFormat="1" applyFont="1" applyBorder="1" applyAlignment="1">
      <alignment horizontal="center"/>
    </xf>
    <xf numFmtId="170" fontId="8" fillId="13" borderId="0" xfId="33" applyNumberFormat="1" applyFont="1" applyFill="1"/>
    <xf numFmtId="170" fontId="8" fillId="13" borderId="0" xfId="33" applyNumberFormat="1" applyFont="1" applyFill="1" applyAlignment="1">
      <alignment horizontal="center"/>
    </xf>
    <xf numFmtId="170" fontId="8" fillId="17" borderId="93" xfId="33" applyNumberFormat="1" applyFont="1" applyFill="1" applyBorder="1" applyAlignment="1">
      <alignment vertical="center"/>
    </xf>
    <xf numFmtId="170" fontId="63" fillId="0" borderId="93" xfId="33" applyNumberFormat="1" applyFont="1" applyBorder="1" applyAlignment="1">
      <alignment horizontal="center" vertical="center"/>
    </xf>
    <xf numFmtId="170" fontId="13" fillId="14" borderId="93" xfId="33" quotePrefix="1" applyNumberFormat="1" applyFont="1" applyFill="1" applyBorder="1" applyAlignment="1">
      <alignment vertical="center"/>
    </xf>
    <xf numFmtId="170" fontId="4" fillId="14" borderId="93" xfId="33" applyNumberFormat="1" applyFill="1" applyBorder="1" applyAlignment="1">
      <alignment horizontal="center"/>
    </xf>
    <xf numFmtId="170" fontId="64" fillId="0" borderId="93" xfId="33" applyNumberFormat="1" applyFont="1" applyBorder="1" applyAlignment="1">
      <alignment horizontal="center"/>
    </xf>
    <xf numFmtId="170" fontId="64" fillId="14" borderId="93" xfId="33" applyNumberFormat="1" applyFont="1" applyFill="1" applyBorder="1" applyAlignment="1">
      <alignment horizontal="center"/>
    </xf>
    <xf numFmtId="0" fontId="8" fillId="0" borderId="0" xfId="33" applyFont="1"/>
    <xf numFmtId="170" fontId="8" fillId="17" borderId="93" xfId="33" applyNumberFormat="1" applyFont="1" applyFill="1" applyBorder="1" applyAlignment="1">
      <alignment horizontal="left" vertical="center"/>
    </xf>
    <xf numFmtId="169" fontId="4" fillId="0" borderId="93" xfId="33" applyNumberFormat="1" applyBorder="1" applyAlignment="1">
      <alignment horizontal="center"/>
    </xf>
    <xf numFmtId="170" fontId="63" fillId="0" borderId="93" xfId="33" applyNumberFormat="1" applyFont="1" applyBorder="1" applyAlignment="1">
      <alignment horizontal="center"/>
    </xf>
    <xf numFmtId="0" fontId="61" fillId="0" borderId="93" xfId="33" applyFont="1" applyBorder="1" applyAlignment="1">
      <alignment vertical="center"/>
    </xf>
    <xf numFmtId="170" fontId="65" fillId="0" borderId="93" xfId="36" applyNumberFormat="1" applyFont="1" applyBorder="1" applyAlignment="1">
      <alignment horizontal="center" vertical="center"/>
    </xf>
    <xf numFmtId="170" fontId="0" fillId="0" borderId="93" xfId="36" applyNumberFormat="1" applyFont="1" applyBorder="1" applyAlignment="1">
      <alignment horizontal="center" vertical="center"/>
    </xf>
    <xf numFmtId="170" fontId="64" fillId="0" borderId="93" xfId="36" applyNumberFormat="1" applyFont="1" applyBorder="1" applyAlignment="1">
      <alignment horizontal="center" vertical="center"/>
    </xf>
    <xf numFmtId="0" fontId="13" fillId="0" borderId="90" xfId="33" applyFont="1" applyBorder="1" applyAlignment="1">
      <alignment horizontal="center" vertical="center"/>
    </xf>
    <xf numFmtId="0" fontId="13" fillId="0" borderId="92" xfId="33" applyFont="1" applyBorder="1" applyAlignment="1">
      <alignment horizontal="center" vertical="center"/>
    </xf>
    <xf numFmtId="0" fontId="4" fillId="0" borderId="93" xfId="33" applyBorder="1"/>
    <xf numFmtId="0" fontId="13" fillId="0" borderId="0" xfId="33" applyFont="1" applyAlignment="1">
      <alignment horizontal="center" vertical="center"/>
    </xf>
    <xf numFmtId="4" fontId="4" fillId="0" borderId="93" xfId="33" applyNumberFormat="1" applyBorder="1" applyAlignment="1">
      <alignment horizontal="center"/>
    </xf>
    <xf numFmtId="0" fontId="4" fillId="13" borderId="0" xfId="33" applyFill="1"/>
    <xf numFmtId="170" fontId="4" fillId="13" borderId="0" xfId="33" applyNumberFormat="1" applyFill="1"/>
    <xf numFmtId="0" fontId="4" fillId="13" borderId="0" xfId="33" applyFill="1" applyAlignment="1">
      <alignment horizontal="center"/>
    </xf>
    <xf numFmtId="0" fontId="4" fillId="0" borderId="87" xfId="33" applyBorder="1"/>
    <xf numFmtId="168" fontId="4" fillId="0" borderId="88" xfId="33" applyNumberFormat="1" applyBorder="1" applyAlignment="1">
      <alignment horizontal="center"/>
    </xf>
    <xf numFmtId="170" fontId="61" fillId="0" borderId="88" xfId="33" applyNumberFormat="1" applyFont="1" applyBorder="1" applyAlignment="1">
      <alignment horizontal="center"/>
    </xf>
    <xf numFmtId="0" fontId="4" fillId="0" borderId="5" xfId="33" applyBorder="1"/>
    <xf numFmtId="168" fontId="35" fillId="4" borderId="0" xfId="24" applyNumberFormat="1" applyFont="1" applyFill="1" applyAlignment="1">
      <alignment horizontal="center"/>
    </xf>
    <xf numFmtId="168" fontId="35" fillId="4" borderId="91" xfId="24" applyNumberFormat="1" applyFont="1" applyFill="1" applyBorder="1" applyAlignment="1">
      <alignment horizontal="center"/>
    </xf>
    <xf numFmtId="0" fontId="4" fillId="0" borderId="89" xfId="33" applyBorder="1"/>
    <xf numFmtId="170" fontId="4" fillId="0" borderId="72" xfId="33" applyNumberFormat="1" applyBorder="1"/>
    <xf numFmtId="2" fontId="4" fillId="0" borderId="72" xfId="33" applyNumberFormat="1" applyBorder="1" applyAlignment="1">
      <alignment horizontal="center"/>
    </xf>
    <xf numFmtId="2" fontId="4" fillId="0" borderId="92" xfId="33" applyNumberFormat="1" applyBorder="1" applyAlignment="1">
      <alignment horizontal="center"/>
    </xf>
    <xf numFmtId="0" fontId="61" fillId="0" borderId="90" xfId="33" applyFont="1" applyBorder="1" applyAlignment="1">
      <alignment horizontal="center"/>
    </xf>
    <xf numFmtId="0" fontId="61" fillId="0" borderId="89" xfId="33" applyFont="1" applyBorder="1"/>
    <xf numFmtId="10" fontId="0" fillId="0" borderId="72" xfId="36" applyNumberFormat="1" applyFont="1" applyBorder="1" applyAlignment="1">
      <alignment horizontal="center"/>
    </xf>
    <xf numFmtId="10" fontId="0" fillId="0" borderId="92" xfId="36" applyNumberFormat="1" applyFont="1" applyBorder="1" applyAlignment="1">
      <alignment horizontal="center"/>
    </xf>
    <xf numFmtId="168" fontId="4" fillId="0" borderId="0" xfId="33" applyNumberFormat="1"/>
    <xf numFmtId="10" fontId="0" fillId="0" borderId="0" xfId="36" applyNumberFormat="1" applyFont="1"/>
    <xf numFmtId="10" fontId="8" fillId="0" borderId="0" xfId="36" applyNumberFormat="1" applyFont="1"/>
    <xf numFmtId="0" fontId="61" fillId="0" borderId="88" xfId="33" applyFont="1" applyBorder="1" applyAlignment="1">
      <alignment horizontal="center"/>
    </xf>
    <xf numFmtId="0" fontId="4" fillId="0" borderId="3" xfId="33" applyBorder="1"/>
    <xf numFmtId="10" fontId="0" fillId="0" borderId="88" xfId="36" applyNumberFormat="1" applyFont="1" applyBorder="1" applyAlignment="1">
      <alignment horizontal="center"/>
    </xf>
    <xf numFmtId="170" fontId="4" fillId="0" borderId="90" xfId="33" applyNumberFormat="1" applyBorder="1" applyAlignment="1">
      <alignment horizontal="left"/>
    </xf>
    <xf numFmtId="0" fontId="4" fillId="0" borderId="4" xfId="33" applyBorder="1"/>
    <xf numFmtId="10" fontId="0" fillId="0" borderId="0" xfId="36" applyNumberFormat="1" applyFont="1" applyBorder="1" applyAlignment="1">
      <alignment horizontal="center"/>
    </xf>
    <xf numFmtId="170" fontId="4" fillId="0" borderId="91" xfId="33" applyNumberFormat="1" applyBorder="1" applyAlignment="1">
      <alignment horizontal="left"/>
    </xf>
    <xf numFmtId="0" fontId="4" fillId="0" borderId="91" xfId="33" applyBorder="1" applyAlignment="1">
      <alignment horizontal="left"/>
    </xf>
    <xf numFmtId="0" fontId="4" fillId="0" borderId="2" xfId="33" applyBorder="1"/>
    <xf numFmtId="170" fontId="4" fillId="0" borderId="92" xfId="33" applyNumberFormat="1" applyBorder="1" applyAlignment="1">
      <alignment horizontal="left"/>
    </xf>
    <xf numFmtId="0" fontId="4" fillId="0" borderId="93" xfId="33" applyBorder="1" applyAlignment="1">
      <alignment horizontal="center"/>
    </xf>
    <xf numFmtId="9" fontId="0" fillId="0" borderId="93" xfId="36" applyFont="1" applyBorder="1" applyAlignment="1">
      <alignment horizontal="center"/>
    </xf>
    <xf numFmtId="0" fontId="4" fillId="0" borderId="0" xfId="33" applyAlignment="1">
      <alignment horizontal="left"/>
    </xf>
    <xf numFmtId="0" fontId="61" fillId="0" borderId="94" xfId="33" applyFont="1" applyBorder="1"/>
    <xf numFmtId="0" fontId="61" fillId="0" borderId="95" xfId="33" applyFont="1" applyBorder="1"/>
    <xf numFmtId="0" fontId="4" fillId="0" borderId="95" xfId="33" applyBorder="1"/>
    <xf numFmtId="10" fontId="4" fillId="0" borderId="0" xfId="33" applyNumberFormat="1"/>
    <xf numFmtId="2" fontId="4" fillId="0" borderId="0" xfId="33" applyNumberFormat="1" applyAlignment="1">
      <alignment horizontal="center"/>
    </xf>
    <xf numFmtId="168" fontId="4" fillId="0" borderId="0" xfId="33" applyNumberFormat="1" applyAlignment="1">
      <alignment horizontal="center"/>
    </xf>
    <xf numFmtId="0" fontId="57" fillId="0" borderId="5" xfId="24" applyFont="1" applyBorder="1"/>
    <xf numFmtId="171" fontId="8" fillId="0" borderId="0" xfId="15" applyNumberFormat="1" applyFont="1" applyBorder="1" applyAlignment="1">
      <alignment horizontal="center"/>
    </xf>
    <xf numFmtId="166" fontId="60" fillId="0" borderId="0" xfId="24" applyNumberFormat="1" applyFont="1"/>
    <xf numFmtId="3" fontId="66" fillId="0" borderId="0" xfId="24" applyNumberFormat="1" applyFont="1"/>
    <xf numFmtId="9" fontId="60" fillId="0" borderId="0" xfId="24" applyNumberFormat="1" applyFont="1"/>
    <xf numFmtId="174" fontId="60" fillId="0" borderId="0" xfId="24" applyNumberFormat="1" applyFont="1" applyAlignment="1">
      <alignment horizontal="center"/>
    </xf>
    <xf numFmtId="4" fontId="60" fillId="0" borderId="0" xfId="24" applyNumberFormat="1" applyFont="1"/>
    <xf numFmtId="171" fontId="60" fillId="15" borderId="0" xfId="15" applyNumberFormat="1" applyFont="1" applyFill="1" applyAlignment="1">
      <alignment horizontal="center"/>
    </xf>
    <xf numFmtId="171" fontId="60" fillId="15" borderId="0" xfId="15" applyNumberFormat="1" applyFont="1" applyFill="1" applyBorder="1" applyAlignment="1">
      <alignment horizontal="center"/>
    </xf>
    <xf numFmtId="9" fontId="60" fillId="0" borderId="0" xfId="15" applyFont="1" applyFill="1" applyBorder="1" applyAlignment="1">
      <alignment horizontal="center"/>
    </xf>
    <xf numFmtId="9" fontId="30" fillId="0" borderId="0" xfId="15" applyFont="1" applyFill="1" applyBorder="1" applyAlignment="1">
      <alignment horizontal="center"/>
    </xf>
    <xf numFmtId="171" fontId="30" fillId="0" borderId="0" xfId="15" applyNumberFormat="1" applyFont="1" applyFill="1" applyBorder="1" applyAlignment="1">
      <alignment horizontal="center"/>
    </xf>
    <xf numFmtId="171" fontId="60" fillId="0" borderId="0" xfId="15" applyNumberFormat="1" applyFont="1" applyFill="1" applyBorder="1" applyAlignment="1">
      <alignment horizontal="center"/>
    </xf>
    <xf numFmtId="173" fontId="60" fillId="15" borderId="0" xfId="24" applyNumberFormat="1" applyFont="1" applyFill="1" applyAlignment="1">
      <alignment horizontal="center"/>
    </xf>
    <xf numFmtId="173" fontId="60" fillId="0" borderId="0" xfId="24" applyNumberFormat="1" applyFont="1" applyAlignment="1">
      <alignment horizontal="center"/>
    </xf>
    <xf numFmtId="4" fontId="60" fillId="15" borderId="0" xfId="24" applyNumberFormat="1" applyFont="1" applyFill="1" applyAlignment="1">
      <alignment horizontal="center"/>
    </xf>
    <xf numFmtId="171" fontId="60" fillId="15" borderId="0" xfId="24" applyNumberFormat="1" applyFont="1" applyFill="1" applyAlignment="1">
      <alignment horizontal="center"/>
    </xf>
    <xf numFmtId="168" fontId="5" fillId="0" borderId="0" xfId="32" applyNumberFormat="1"/>
    <xf numFmtId="4" fontId="3" fillId="0" borderId="93" xfId="38" applyNumberFormat="1" applyBorder="1" applyAlignment="1">
      <alignment horizontal="center"/>
    </xf>
    <xf numFmtId="4" fontId="3" fillId="0" borderId="88" xfId="38" applyNumberFormat="1" applyBorder="1" applyAlignment="1">
      <alignment horizontal="center"/>
    </xf>
    <xf numFmtId="4" fontId="3" fillId="0" borderId="90" xfId="38" applyNumberFormat="1" applyBorder="1" applyAlignment="1">
      <alignment horizontal="center"/>
    </xf>
    <xf numFmtId="4" fontId="3" fillId="0" borderId="0" xfId="38" applyNumberFormat="1" applyAlignment="1">
      <alignment horizontal="center"/>
    </xf>
    <xf numFmtId="0" fontId="0" fillId="0" borderId="0" xfId="0" quotePrefix="1"/>
    <xf numFmtId="175" fontId="0" fillId="0" borderId="0" xfId="0" applyNumberFormat="1"/>
    <xf numFmtId="3" fontId="8" fillId="0" borderId="23" xfId="0" applyNumberFormat="1" applyFont="1" applyBorder="1" applyAlignment="1">
      <alignment horizontal="center"/>
    </xf>
    <xf numFmtId="9" fontId="8" fillId="0" borderId="30" xfId="15" applyFont="1" applyFill="1" applyBorder="1" applyAlignment="1">
      <alignment horizontal="center"/>
    </xf>
    <xf numFmtId="10" fontId="8" fillId="0" borderId="30" xfId="0" applyNumberFormat="1" applyFont="1" applyBorder="1" applyAlignment="1">
      <alignment horizontal="center"/>
    </xf>
    <xf numFmtId="0" fontId="12" fillId="0" borderId="46" xfId="0" applyFont="1" applyBorder="1" applyAlignment="1">
      <alignment horizontal="center" vertical="center" wrapText="1"/>
    </xf>
    <xf numFmtId="0" fontId="12" fillId="0" borderId="47" xfId="0" applyFont="1" applyBorder="1" applyAlignment="1">
      <alignment horizontal="center" vertical="center" wrapText="1"/>
    </xf>
    <xf numFmtId="10" fontId="8" fillId="19" borderId="0" xfId="0" applyNumberFormat="1" applyFont="1" applyFill="1"/>
    <xf numFmtId="0" fontId="73" fillId="0" borderId="0" xfId="20" applyFont="1" applyAlignment="1">
      <alignment horizontal="left" wrapText="1" readingOrder="1"/>
    </xf>
    <xf numFmtId="0" fontId="74" fillId="0" borderId="0" xfId="0" applyFont="1" applyAlignment="1">
      <alignment vertical="top" wrapText="1"/>
    </xf>
    <xf numFmtId="0" fontId="69" fillId="0" borderId="0" xfId="0" applyFont="1"/>
    <xf numFmtId="3" fontId="74" fillId="0" borderId="0" xfId="0" applyNumberFormat="1" applyFont="1" applyAlignment="1">
      <alignment vertical="top" wrapText="1"/>
    </xf>
    <xf numFmtId="0" fontId="75" fillId="0" borderId="0" xfId="0" applyFont="1"/>
    <xf numFmtId="0" fontId="75" fillId="0" borderId="0" xfId="0" applyFont="1" applyAlignment="1">
      <alignment horizontal="center"/>
    </xf>
    <xf numFmtId="14" fontId="8" fillId="0" borderId="31" xfId="0" applyNumberFormat="1" applyFont="1" applyBorder="1" applyAlignment="1">
      <alignment horizontal="center" vertical="center" wrapText="1"/>
    </xf>
    <xf numFmtId="3" fontId="4" fillId="0" borderId="93" xfId="33" applyNumberFormat="1" applyBorder="1" applyAlignment="1">
      <alignment horizontal="center"/>
    </xf>
    <xf numFmtId="4" fontId="48" fillId="6" borderId="24" xfId="7" applyFont="1" applyFill="1" applyBorder="1">
      <alignment horizontal="right"/>
    </xf>
    <xf numFmtId="173" fontId="8" fillId="3" borderId="76" xfId="6" applyFont="1" applyBorder="1" applyAlignment="1">
      <alignment horizontal="center" vertical="center" wrapText="1"/>
    </xf>
    <xf numFmtId="173" fontId="8" fillId="9" borderId="76" xfId="6" applyFont="1" applyFill="1" applyBorder="1" applyAlignment="1">
      <alignment horizontal="center" vertical="center" wrapText="1"/>
    </xf>
    <xf numFmtId="173" fontId="8" fillId="3" borderId="24" xfId="9" applyNumberFormat="1" applyFont="1" applyBorder="1" applyAlignment="1">
      <alignment horizontal="center"/>
    </xf>
    <xf numFmtId="0" fontId="8" fillId="3" borderId="24" xfId="9" applyFont="1" applyBorder="1" applyAlignment="1">
      <alignment horizontal="center"/>
    </xf>
    <xf numFmtId="4" fontId="34" fillId="10" borderId="24" xfId="7" applyFont="1" applyFill="1" applyBorder="1">
      <alignment horizontal="right"/>
    </xf>
    <xf numFmtId="4" fontId="48" fillId="6" borderId="78" xfId="7" applyFont="1" applyFill="1" applyBorder="1">
      <alignment horizontal="right"/>
    </xf>
    <xf numFmtId="4" fontId="48" fillId="10" borderId="24" xfId="7" applyFont="1" applyFill="1" applyBorder="1">
      <alignment horizontal="right"/>
    </xf>
    <xf numFmtId="4" fontId="76" fillId="9" borderId="0" xfId="0" applyNumberFormat="1" applyFont="1" applyFill="1" applyAlignment="1">
      <alignment horizontal="right" vertical="center" wrapText="1"/>
    </xf>
    <xf numFmtId="0" fontId="76" fillId="9" borderId="0" xfId="0" applyFont="1" applyFill="1" applyAlignment="1">
      <alignment horizontal="left" vertical="center" wrapText="1"/>
    </xf>
    <xf numFmtId="0" fontId="76" fillId="9" borderId="0" xfId="0" applyFont="1" applyFill="1" applyAlignment="1">
      <alignment horizontal="right" vertical="center" wrapText="1"/>
    </xf>
    <xf numFmtId="0" fontId="77" fillId="0" borderId="0" xfId="0" applyFont="1"/>
    <xf numFmtId="3" fontId="8" fillId="3" borderId="24" xfId="5" applyFont="1" applyBorder="1">
      <alignment horizontal="right"/>
    </xf>
    <xf numFmtId="3" fontId="8" fillId="9" borderId="24" xfId="5" applyFont="1" applyFill="1" applyBorder="1">
      <alignment horizontal="right"/>
    </xf>
    <xf numFmtId="4" fontId="52" fillId="6" borderId="24" xfId="7" applyFont="1" applyFill="1" applyBorder="1">
      <alignment horizontal="right"/>
    </xf>
    <xf numFmtId="4" fontId="8" fillId="6" borderId="24" xfId="7" applyFont="1" applyFill="1" applyBorder="1">
      <alignment horizontal="right"/>
    </xf>
    <xf numFmtId="0" fontId="8" fillId="13" borderId="24" xfId="9" applyFont="1" applyFill="1" applyBorder="1" applyAlignment="1">
      <alignment horizontal="right"/>
    </xf>
    <xf numFmtId="4" fontId="52" fillId="13" borderId="24" xfId="7" applyFont="1" applyFill="1" applyBorder="1">
      <alignment horizontal="right"/>
    </xf>
    <xf numFmtId="4" fontId="34" fillId="6" borderId="26" xfId="7" applyFont="1" applyFill="1" applyBorder="1">
      <alignment horizontal="right"/>
    </xf>
    <xf numFmtId="4" fontId="34" fillId="6" borderId="24" xfId="7" applyFont="1" applyFill="1" applyBorder="1">
      <alignment horizontal="right"/>
    </xf>
    <xf numFmtId="4" fontId="8" fillId="9" borderId="24" xfId="7" applyFont="1" applyFill="1" applyBorder="1">
      <alignment horizontal="right"/>
    </xf>
    <xf numFmtId="173" fontId="30" fillId="15" borderId="0" xfId="24" applyNumberFormat="1" applyFont="1" applyFill="1" applyAlignment="1">
      <alignment horizontal="center"/>
    </xf>
    <xf numFmtId="169" fontId="8" fillId="0" borderId="30" xfId="0" applyNumberFormat="1" applyFont="1" applyBorder="1" applyAlignment="1">
      <alignment horizontal="center"/>
    </xf>
    <xf numFmtId="171" fontId="2" fillId="0" borderId="0" xfId="15" applyNumberFormat="1" applyFont="1"/>
    <xf numFmtId="9" fontId="35" fillId="18" borderId="93" xfId="15" applyFont="1" applyFill="1" applyBorder="1" applyAlignment="1">
      <alignment horizontal="center"/>
    </xf>
    <xf numFmtId="170" fontId="2" fillId="9" borderId="93" xfId="34" applyNumberFormat="1" applyFont="1" applyFill="1" applyBorder="1" applyAlignment="1">
      <alignment horizontal="center"/>
    </xf>
    <xf numFmtId="2" fontId="4" fillId="13" borderId="0" xfId="33" applyNumberFormat="1" applyFill="1" applyAlignment="1">
      <alignment horizontal="center"/>
    </xf>
    <xf numFmtId="168" fontId="2" fillId="0" borderId="88" xfId="33" applyNumberFormat="1" applyFont="1" applyBorder="1" applyAlignment="1">
      <alignment horizontal="center"/>
    </xf>
    <xf numFmtId="167" fontId="2" fillId="0" borderId="90" xfId="22" applyFont="1" applyBorder="1" applyAlignment="1">
      <alignment horizontal="center" vertical="center"/>
    </xf>
    <xf numFmtId="2" fontId="2" fillId="0" borderId="72" xfId="33" applyNumberFormat="1" applyFont="1" applyBorder="1" applyAlignment="1">
      <alignment horizontal="center"/>
    </xf>
    <xf numFmtId="9" fontId="2" fillId="0" borderId="0" xfId="15" applyFont="1" applyAlignment="1">
      <alignment horizontal="center"/>
    </xf>
    <xf numFmtId="171" fontId="2" fillId="0" borderId="0" xfId="15" applyNumberFormat="1" applyFont="1" applyAlignment="1">
      <alignment horizontal="center"/>
    </xf>
    <xf numFmtId="171" fontId="2" fillId="0" borderId="93" xfId="36" applyNumberFormat="1" applyFont="1" applyBorder="1" applyAlignment="1">
      <alignment horizontal="center"/>
    </xf>
    <xf numFmtId="170" fontId="2" fillId="0" borderId="93" xfId="33" applyNumberFormat="1" applyFont="1" applyBorder="1" applyAlignment="1">
      <alignment horizontal="center"/>
    </xf>
    <xf numFmtId="43" fontId="2" fillId="0" borderId="0" xfId="37" applyFont="1"/>
    <xf numFmtId="0" fontId="2" fillId="0" borderId="0" xfId="32" applyFont="1"/>
    <xf numFmtId="164" fontId="4" fillId="13" borderId="0" xfId="39" applyFont="1" applyFill="1" applyAlignment="1">
      <alignment horizontal="center"/>
    </xf>
    <xf numFmtId="170" fontId="2" fillId="18" borderId="93" xfId="34" applyNumberFormat="1" applyFont="1" applyFill="1" applyBorder="1" applyAlignment="1">
      <alignment horizontal="center"/>
    </xf>
    <xf numFmtId="171" fontId="63" fillId="0" borderId="30" xfId="15" applyNumberFormat="1" applyFont="1" applyBorder="1" applyAlignment="1">
      <alignment horizontal="center"/>
    </xf>
    <xf numFmtId="10" fontId="8" fillId="0" borderId="35" xfId="15" applyNumberFormat="1" applyFont="1" applyBorder="1" applyAlignment="1">
      <alignment horizontal="center"/>
    </xf>
    <xf numFmtId="0" fontId="53" fillId="12" borderId="81" xfId="24" applyFont="1" applyFill="1" applyBorder="1" applyAlignment="1">
      <alignment horizontal="center" vertical="center"/>
    </xf>
    <xf numFmtId="0" fontId="74" fillId="0" borderId="0" xfId="24" applyFont="1" applyAlignment="1">
      <alignment vertical="top" wrapText="1"/>
    </xf>
    <xf numFmtId="0" fontId="69" fillId="0" borderId="0" xfId="24" applyFont="1"/>
    <xf numFmtId="3" fontId="74" fillId="0" borderId="0" xfId="24" applyNumberFormat="1" applyFont="1" applyAlignment="1">
      <alignment vertical="top" wrapText="1"/>
    </xf>
    <xf numFmtId="0" fontId="53" fillId="12" borderId="80" xfId="24" applyFont="1" applyFill="1" applyBorder="1" applyAlignment="1">
      <alignment horizontal="center" vertical="center"/>
    </xf>
    <xf numFmtId="0" fontId="53" fillId="12" borderId="82" xfId="24" applyFont="1" applyFill="1" applyBorder="1" applyAlignment="1">
      <alignment horizontal="center" vertical="center"/>
    </xf>
    <xf numFmtId="0" fontId="82" fillId="12" borderId="0" xfId="24" applyFont="1" applyFill="1" applyAlignment="1">
      <alignment horizontal="center" vertical="center"/>
    </xf>
    <xf numFmtId="0" fontId="8" fillId="0" borderId="93" xfId="24" applyBorder="1" applyAlignment="1">
      <alignment horizontal="left" vertical="center"/>
    </xf>
    <xf numFmtId="171" fontId="65" fillId="0" borderId="93" xfId="15" applyNumberFormat="1" applyFont="1" applyFill="1" applyBorder="1" applyAlignment="1">
      <alignment horizontal="center"/>
    </xf>
    <xf numFmtId="3" fontId="65" fillId="0" borderId="93" xfId="24" applyNumberFormat="1" applyFont="1" applyBorder="1" applyAlignment="1">
      <alignment horizontal="center"/>
    </xf>
    <xf numFmtId="171" fontId="65" fillId="13" borderId="93" xfId="15" applyNumberFormat="1" applyFont="1" applyFill="1" applyBorder="1" applyAlignment="1">
      <alignment horizontal="center"/>
    </xf>
    <xf numFmtId="0" fontId="85" fillId="0" borderId="93" xfId="24" applyFont="1" applyBorder="1" applyAlignment="1">
      <alignment horizontal="center"/>
    </xf>
    <xf numFmtId="0" fontId="17" fillId="0" borderId="93" xfId="24" applyFont="1" applyBorder="1" applyAlignment="1">
      <alignment horizontal="left" vertical="center"/>
    </xf>
    <xf numFmtId="172" fontId="65" fillId="13" borderId="93" xfId="24" applyNumberFormat="1" applyFont="1" applyFill="1" applyBorder="1" applyAlignment="1">
      <alignment horizontal="center"/>
    </xf>
    <xf numFmtId="10" fontId="85" fillId="0" borderId="93" xfId="24" applyNumberFormat="1" applyFont="1" applyBorder="1" applyAlignment="1">
      <alignment horizontal="center"/>
    </xf>
    <xf numFmtId="10" fontId="65" fillId="0" borderId="93" xfId="15" applyNumberFormat="1" applyFont="1" applyFill="1" applyBorder="1" applyAlignment="1">
      <alignment horizontal="center"/>
    </xf>
    <xf numFmtId="3" fontId="85" fillId="0" borderId="93" xfId="24" applyNumberFormat="1" applyFont="1" applyBorder="1" applyAlignment="1">
      <alignment horizontal="center"/>
    </xf>
    <xf numFmtId="171" fontId="8" fillId="0" borderId="93" xfId="15" applyNumberFormat="1" applyFont="1" applyFill="1" applyBorder="1" applyAlignment="1">
      <alignment horizontal="center"/>
    </xf>
    <xf numFmtId="3" fontId="8" fillId="0" borderId="93" xfId="24" applyNumberFormat="1" applyBorder="1" applyAlignment="1">
      <alignment horizontal="center"/>
    </xf>
    <xf numFmtId="10" fontId="8" fillId="0" borderId="93" xfId="15" applyNumberFormat="1" applyFont="1" applyFill="1" applyBorder="1" applyAlignment="1">
      <alignment horizontal="center"/>
    </xf>
    <xf numFmtId="2" fontId="85" fillId="0" borderId="93" xfId="24" applyNumberFormat="1" applyFont="1" applyBorder="1" applyAlignment="1">
      <alignment horizontal="center"/>
    </xf>
    <xf numFmtId="10" fontId="65" fillId="0" borderId="93" xfId="24" applyNumberFormat="1" applyFont="1" applyBorder="1" applyAlignment="1">
      <alignment horizontal="center"/>
    </xf>
    <xf numFmtId="2" fontId="65" fillId="0" borderId="93" xfId="24" applyNumberFormat="1" applyFont="1" applyBorder="1" applyAlignment="1">
      <alignment horizontal="center"/>
    </xf>
    <xf numFmtId="172" fontId="65" fillId="0" borderId="93" xfId="24" applyNumberFormat="1" applyFont="1" applyBorder="1" applyAlignment="1">
      <alignment horizontal="center"/>
    </xf>
    <xf numFmtId="4" fontId="85" fillId="0" borderId="93" xfId="24" applyNumberFormat="1" applyFont="1" applyBorder="1" applyAlignment="1">
      <alignment horizontal="center"/>
    </xf>
    <xf numFmtId="0" fontId="8" fillId="0" borderId="93" xfId="15" applyNumberFormat="1" applyFont="1" applyFill="1" applyBorder="1" applyAlignment="1">
      <alignment horizontal="center"/>
    </xf>
    <xf numFmtId="2" fontId="8" fillId="0" borderId="93" xfId="15" applyNumberFormat="1" applyFont="1" applyFill="1" applyBorder="1" applyAlignment="1">
      <alignment horizontal="center"/>
    </xf>
    <xf numFmtId="0" fontId="9" fillId="0" borderId="30" xfId="0" applyFont="1" applyBorder="1" applyAlignment="1">
      <alignment horizontal="center" vertical="center"/>
    </xf>
    <xf numFmtId="4" fontId="8" fillId="13" borderId="24" xfId="7" applyFont="1" applyFill="1" applyBorder="1">
      <alignment horizontal="right"/>
    </xf>
    <xf numFmtId="4" fontId="48" fillId="13" borderId="78" xfId="7" applyFont="1" applyFill="1" applyBorder="1">
      <alignment horizontal="right"/>
    </xf>
    <xf numFmtId="2" fontId="65" fillId="13" borderId="93" xfId="15" applyNumberFormat="1" applyFont="1" applyFill="1" applyBorder="1" applyAlignment="1">
      <alignment horizontal="center"/>
    </xf>
    <xf numFmtId="9" fontId="2" fillId="18" borderId="93" xfId="15" applyFont="1" applyFill="1" applyBorder="1" applyAlignment="1">
      <alignment horizontal="center"/>
    </xf>
    <xf numFmtId="0" fontId="8" fillId="13" borderId="30" xfId="0" applyFont="1" applyFill="1" applyBorder="1" applyAlignment="1">
      <alignment horizontal="center"/>
    </xf>
    <xf numFmtId="170" fontId="8" fillId="6" borderId="30" xfId="0" applyNumberFormat="1" applyFont="1" applyFill="1" applyBorder="1" applyAlignment="1">
      <alignment horizontal="center"/>
    </xf>
    <xf numFmtId="169" fontId="8" fillId="0" borderId="102" xfId="0" applyNumberFormat="1" applyFont="1" applyBorder="1" applyAlignment="1">
      <alignment horizontal="center"/>
    </xf>
    <xf numFmtId="169" fontId="8" fillId="0" borderId="30" xfId="24" applyNumberFormat="1" applyBorder="1" applyAlignment="1">
      <alignment horizontal="center"/>
    </xf>
    <xf numFmtId="169" fontId="8" fillId="0" borderId="102" xfId="24" applyNumberFormat="1" applyBorder="1" applyAlignment="1">
      <alignment horizontal="center"/>
    </xf>
    <xf numFmtId="171" fontId="8" fillId="0" borderId="0" xfId="15" applyNumberFormat="1" applyFont="1" applyFill="1"/>
    <xf numFmtId="4" fontId="46" fillId="0" borderId="35" xfId="0" applyNumberFormat="1" applyFont="1" applyBorder="1" applyAlignment="1">
      <alignment horizontal="center"/>
    </xf>
    <xf numFmtId="0" fontId="86" fillId="0" borderId="0" xfId="0" applyFont="1" applyAlignment="1">
      <alignment horizontal="left" vertical="center" wrapText="1"/>
    </xf>
    <xf numFmtId="0" fontId="87" fillId="0" borderId="0" xfId="0" applyFont="1"/>
    <xf numFmtId="0" fontId="88" fillId="0" borderId="0" xfId="0" applyFont="1" applyAlignment="1">
      <alignment horizontal="left" vertical="center" wrapText="1"/>
    </xf>
    <xf numFmtId="171" fontId="8" fillId="18" borderId="93" xfId="33" applyNumberFormat="1" applyFont="1" applyFill="1" applyBorder="1" applyAlignment="1">
      <alignment horizontal="center"/>
    </xf>
    <xf numFmtId="170" fontId="4" fillId="18" borderId="93" xfId="33" applyNumberFormat="1" applyFill="1" applyBorder="1" applyAlignment="1">
      <alignment horizontal="center"/>
    </xf>
    <xf numFmtId="170" fontId="64" fillId="18" borderId="93" xfId="33" applyNumberFormat="1" applyFont="1" applyFill="1" applyBorder="1" applyAlignment="1">
      <alignment horizontal="center"/>
    </xf>
    <xf numFmtId="170" fontId="8" fillId="18" borderId="93" xfId="33" applyNumberFormat="1" applyFont="1" applyFill="1" applyBorder="1" applyAlignment="1">
      <alignment horizontal="center"/>
    </xf>
    <xf numFmtId="170" fontId="63" fillId="18" borderId="93" xfId="33" applyNumberFormat="1" applyFont="1" applyFill="1" applyBorder="1" applyAlignment="1">
      <alignment horizontal="center" vertical="center"/>
    </xf>
    <xf numFmtId="169" fontId="4" fillId="18" borderId="93" xfId="33" applyNumberFormat="1" applyFill="1" applyBorder="1" applyAlignment="1">
      <alignment horizontal="center"/>
    </xf>
    <xf numFmtId="170" fontId="63" fillId="18" borderId="93" xfId="33" applyNumberFormat="1" applyFont="1" applyFill="1" applyBorder="1" applyAlignment="1">
      <alignment horizontal="center"/>
    </xf>
    <xf numFmtId="170" fontId="65" fillId="18" borderId="93" xfId="36" applyNumberFormat="1" applyFont="1" applyFill="1" applyBorder="1" applyAlignment="1">
      <alignment horizontal="center" vertical="center"/>
    </xf>
    <xf numFmtId="170" fontId="0" fillId="18" borderId="93" xfId="36" applyNumberFormat="1" applyFont="1" applyFill="1" applyBorder="1" applyAlignment="1">
      <alignment horizontal="center" vertical="center"/>
    </xf>
    <xf numFmtId="170" fontId="64" fillId="18" borderId="93" xfId="36" applyNumberFormat="1" applyFont="1" applyFill="1" applyBorder="1" applyAlignment="1">
      <alignment horizontal="center" vertical="center"/>
    </xf>
    <xf numFmtId="170" fontId="64" fillId="18" borderId="93" xfId="34" applyNumberFormat="1" applyFont="1" applyFill="1" applyBorder="1" applyAlignment="1">
      <alignment horizontal="center"/>
    </xf>
    <xf numFmtId="170" fontId="2" fillId="14" borderId="93" xfId="34" applyNumberFormat="1" applyFont="1" applyFill="1" applyBorder="1" applyAlignment="1">
      <alignment horizontal="center"/>
    </xf>
    <xf numFmtId="9" fontId="2" fillId="9" borderId="93" xfId="15" applyFont="1" applyFill="1" applyBorder="1" applyAlignment="1">
      <alignment horizontal="center"/>
    </xf>
    <xf numFmtId="9" fontId="8" fillId="0" borderId="93" xfId="15" applyFont="1" applyBorder="1" applyAlignment="1">
      <alignment horizontal="center"/>
    </xf>
    <xf numFmtId="10" fontId="0" fillId="0" borderId="0" xfId="15" applyNumberFormat="1" applyFont="1" applyBorder="1" applyAlignment="1">
      <alignment horizontal="center"/>
    </xf>
    <xf numFmtId="10" fontId="1" fillId="0" borderId="0" xfId="33" applyNumberFormat="1" applyFont="1"/>
    <xf numFmtId="0" fontId="1" fillId="0" borderId="0" xfId="33" applyFont="1"/>
    <xf numFmtId="9" fontId="4" fillId="0" borderId="0" xfId="15" applyFont="1"/>
    <xf numFmtId="0" fontId="61" fillId="0" borderId="0" xfId="33" applyFont="1" applyAlignment="1">
      <alignment horizontal="center"/>
    </xf>
    <xf numFmtId="0" fontId="1" fillId="0" borderId="0" xfId="32" applyFont="1"/>
    <xf numFmtId="9" fontId="4" fillId="0" borderId="0" xfId="15" applyFont="1" applyAlignment="1">
      <alignment horizontal="center"/>
    </xf>
    <xf numFmtId="0" fontId="1" fillId="0" borderId="4" xfId="33" applyFont="1" applyBorder="1"/>
    <xf numFmtId="170" fontId="1" fillId="0" borderId="91" xfId="33" applyNumberFormat="1" applyFont="1" applyBorder="1" applyAlignment="1">
      <alignment horizontal="left"/>
    </xf>
    <xf numFmtId="9" fontId="4" fillId="0" borderId="0" xfId="33" applyNumberFormat="1" applyAlignment="1">
      <alignment horizontal="center"/>
    </xf>
    <xf numFmtId="170" fontId="64" fillId="14" borderId="93" xfId="34" applyNumberFormat="1" applyFont="1" applyFill="1" applyBorder="1" applyAlignment="1">
      <alignment horizontal="center"/>
    </xf>
    <xf numFmtId="168" fontId="31" fillId="8" borderId="30" xfId="0" applyNumberFormat="1" applyFont="1" applyFill="1" applyBorder="1" applyAlignment="1">
      <alignment horizontal="center" vertical="center"/>
    </xf>
    <xf numFmtId="0" fontId="8" fillId="0" borderId="76" xfId="19" applyFont="1" applyBorder="1" applyAlignment="1">
      <alignment horizontal="center" wrapText="1"/>
    </xf>
    <xf numFmtId="4" fontId="8" fillId="3" borderId="76" xfId="7" applyFont="1" applyBorder="1" applyAlignment="1">
      <alignment horizontal="center" wrapText="1"/>
    </xf>
    <xf numFmtId="173" fontId="8" fillId="3" borderId="77" xfId="6" applyFont="1" applyBorder="1" applyAlignment="1">
      <alignment horizontal="center" vertical="center" wrapText="1"/>
    </xf>
    <xf numFmtId="4" fontId="8" fillId="0" borderId="76" xfId="7" applyFont="1" applyFill="1" applyBorder="1" applyAlignment="1">
      <alignment horizontal="center" wrapText="1"/>
    </xf>
    <xf numFmtId="4" fontId="8" fillId="9" borderId="76" xfId="7" applyFont="1" applyFill="1" applyBorder="1" applyAlignment="1">
      <alignment horizontal="center" wrapText="1"/>
    </xf>
    <xf numFmtId="4" fontId="8" fillId="3" borderId="76" xfId="7" applyFont="1" applyBorder="1" applyAlignment="1">
      <alignment horizontal="left" wrapText="1"/>
    </xf>
    <xf numFmtId="0" fontId="8" fillId="0" borderId="1" xfId="0" applyFont="1" applyBorder="1" applyAlignment="1">
      <alignment horizontal="left" vertical="top" wrapText="1"/>
    </xf>
    <xf numFmtId="0" fontId="0" fillId="0" borderId="1" xfId="0" applyBorder="1" applyAlignment="1">
      <alignment horizontal="left" vertical="top"/>
    </xf>
    <xf numFmtId="0" fontId="13" fillId="0" borderId="71" xfId="0" applyFont="1" applyBorder="1" applyAlignment="1">
      <alignment horizontal="left" vertical="center" wrapText="1"/>
    </xf>
    <xf numFmtId="0" fontId="13" fillId="0" borderId="54" xfId="0" applyFont="1" applyBorder="1" applyAlignment="1">
      <alignment horizontal="left" vertical="center"/>
    </xf>
    <xf numFmtId="0" fontId="13" fillId="0" borderId="55" xfId="0" applyFont="1" applyBorder="1" applyAlignment="1">
      <alignment horizontal="left" vertical="center"/>
    </xf>
    <xf numFmtId="0" fontId="13" fillId="0" borderId="73" xfId="0" applyFont="1" applyBorder="1" applyAlignment="1">
      <alignment horizontal="left" vertical="center"/>
    </xf>
    <xf numFmtId="0" fontId="13" fillId="0" borderId="0" xfId="0" applyFont="1" applyAlignment="1">
      <alignment horizontal="left" vertical="center"/>
    </xf>
    <xf numFmtId="0" fontId="13" fillId="0" borderId="74" xfId="0" applyFont="1" applyBorder="1" applyAlignment="1">
      <alignment horizontal="left" vertical="center"/>
    </xf>
    <xf numFmtId="0" fontId="13" fillId="0" borderId="75" xfId="0" applyFont="1" applyBorder="1" applyAlignment="1">
      <alignment horizontal="left" vertical="center"/>
    </xf>
    <xf numFmtId="0" fontId="13" fillId="0" borderId="57" xfId="0" applyFont="1" applyBorder="1" applyAlignment="1">
      <alignment horizontal="left" vertical="center"/>
    </xf>
    <xf numFmtId="0" fontId="13" fillId="0" borderId="58" xfId="0" applyFont="1" applyBorder="1" applyAlignment="1">
      <alignment horizontal="left" vertical="center"/>
    </xf>
    <xf numFmtId="0" fontId="54" fillId="11" borderId="61" xfId="0" applyFont="1" applyFill="1" applyBorder="1" applyAlignment="1">
      <alignment horizontal="center" vertical="center" wrapText="1"/>
    </xf>
    <xf numFmtId="0" fontId="16" fillId="11" borderId="61" xfId="0" applyFont="1" applyFill="1" applyBorder="1" applyAlignment="1">
      <alignment horizontal="center" vertical="center" wrapText="1"/>
    </xf>
    <xf numFmtId="0" fontId="16" fillId="11" borderId="62" xfId="0" applyFont="1" applyFill="1" applyBorder="1" applyAlignment="1">
      <alignment horizontal="center" vertical="center" wrapText="1"/>
    </xf>
    <xf numFmtId="0" fontId="37" fillId="4" borderId="43" xfId="0" applyFont="1" applyFill="1" applyBorder="1" applyAlignment="1">
      <alignment horizontal="left"/>
    </xf>
    <xf numFmtId="0" fontId="37" fillId="4" borderId="44" xfId="0" applyFont="1" applyFill="1" applyBorder="1" applyAlignment="1">
      <alignment horizontal="left"/>
    </xf>
    <xf numFmtId="0" fontId="37" fillId="4" borderId="45" xfId="0" applyFont="1" applyFill="1" applyBorder="1" applyAlignment="1">
      <alignment horizontal="left"/>
    </xf>
    <xf numFmtId="0" fontId="37" fillId="4" borderId="63" xfId="0" applyFont="1" applyFill="1" applyBorder="1" applyAlignment="1">
      <alignment horizontal="left"/>
    </xf>
    <xf numFmtId="0" fontId="37" fillId="4" borderId="64" xfId="0" applyFont="1" applyFill="1" applyBorder="1" applyAlignment="1">
      <alignment horizontal="left"/>
    </xf>
    <xf numFmtId="0" fontId="16" fillId="0" borderId="30" xfId="0" applyFont="1" applyBorder="1" applyAlignment="1">
      <alignment horizontal="center" vertical="center" wrapText="1"/>
    </xf>
    <xf numFmtId="0" fontId="16" fillId="0" borderId="35" xfId="0" applyFont="1" applyBorder="1" applyAlignment="1">
      <alignment horizontal="center" vertical="center" wrapText="1"/>
    </xf>
    <xf numFmtId="169" fontId="9" fillId="0" borderId="35" xfId="0" applyNumberFormat="1" applyFont="1" applyBorder="1" applyAlignment="1">
      <alignment horizontal="center" vertical="center"/>
    </xf>
    <xf numFmtId="0" fontId="8" fillId="0" borderId="34" xfId="0" applyFont="1" applyBorder="1" applyAlignment="1">
      <alignment horizontal="left" vertical="center" wrapText="1"/>
    </xf>
    <xf numFmtId="0" fontId="12" fillId="0" borderId="30" xfId="0" applyFont="1" applyBorder="1" applyAlignment="1">
      <alignment horizontal="left" vertical="center" wrapText="1"/>
    </xf>
    <xf numFmtId="0" fontId="37" fillId="4" borderId="30" xfId="0" applyFont="1" applyFill="1" applyBorder="1" applyAlignment="1">
      <alignment horizontal="center"/>
    </xf>
    <xf numFmtId="0" fontId="37" fillId="4" borderId="35" xfId="0" applyFont="1" applyFill="1" applyBorder="1" applyAlignment="1">
      <alignment horizontal="center"/>
    </xf>
    <xf numFmtId="0" fontId="8" fillId="0" borderId="30" xfId="0" applyFont="1" applyBorder="1" applyAlignment="1">
      <alignment horizontal="left" vertical="center" wrapText="1"/>
    </xf>
    <xf numFmtId="0" fontId="37" fillId="4" borderId="34" xfId="0" applyFont="1" applyFill="1" applyBorder="1" applyAlignment="1">
      <alignment horizontal="left"/>
    </xf>
    <xf numFmtId="0" fontId="37" fillId="4" borderId="30" xfId="0" applyFont="1" applyFill="1" applyBorder="1" applyAlignment="1">
      <alignment horizontal="left"/>
    </xf>
    <xf numFmtId="0" fontId="8" fillId="0" borderId="53" xfId="0" applyFont="1" applyBorder="1" applyAlignment="1">
      <alignment horizontal="left" vertical="center" wrapText="1"/>
    </xf>
    <xf numFmtId="0" fontId="12" fillId="0" borderId="54" xfId="0" applyFont="1" applyBorder="1" applyAlignment="1">
      <alignment horizontal="left" vertical="center" wrapText="1"/>
    </xf>
    <xf numFmtId="0" fontId="12" fillId="0" borderId="55" xfId="0" applyFont="1" applyBorder="1" applyAlignment="1">
      <alignment horizontal="left" vertical="center" wrapText="1"/>
    </xf>
    <xf numFmtId="0" fontId="12" fillId="0" borderId="56" xfId="0" applyFont="1" applyBorder="1" applyAlignment="1">
      <alignment horizontal="left" vertical="center" wrapText="1"/>
    </xf>
    <xf numFmtId="0" fontId="12" fillId="0" borderId="57" xfId="0" applyFont="1" applyBorder="1" applyAlignment="1">
      <alignment horizontal="left" vertical="center" wrapText="1"/>
    </xf>
    <xf numFmtId="0" fontId="12" fillId="0" borderId="58" xfId="0" applyFont="1" applyBorder="1" applyAlignment="1">
      <alignment horizontal="left" vertical="center" wrapText="1"/>
    </xf>
    <xf numFmtId="0" fontId="8" fillId="20" borderId="59" xfId="0" applyFont="1" applyFill="1" applyBorder="1" applyAlignment="1">
      <alignment horizontal="center" vertical="center" wrapText="1"/>
    </xf>
    <xf numFmtId="0" fontId="12" fillId="20" borderId="60" xfId="0" applyFont="1" applyFill="1" applyBorder="1" applyAlignment="1">
      <alignment horizontal="center" vertical="center" wrapText="1"/>
    </xf>
    <xf numFmtId="0" fontId="13" fillId="0" borderId="70" xfId="0" applyFont="1" applyBorder="1" applyAlignment="1">
      <alignment horizontal="center"/>
    </xf>
    <xf numFmtId="0" fontId="13" fillId="0" borderId="0" xfId="0" applyFont="1" applyAlignment="1">
      <alignment horizontal="center"/>
    </xf>
    <xf numFmtId="0" fontId="42" fillId="4" borderId="30" xfId="0" applyFont="1" applyFill="1" applyBorder="1" applyAlignment="1">
      <alignment horizontal="center"/>
    </xf>
    <xf numFmtId="0" fontId="9" fillId="0" borderId="50"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0" fontId="27" fillId="0" borderId="30" xfId="0" applyFont="1" applyBorder="1" applyAlignment="1">
      <alignment horizontal="left" vertical="center" wrapText="1"/>
    </xf>
    <xf numFmtId="0" fontId="27" fillId="0" borderId="35" xfId="0" applyFont="1" applyBorder="1" applyAlignment="1">
      <alignment horizontal="left" vertical="center" wrapText="1"/>
    </xf>
    <xf numFmtId="0" fontId="22" fillId="0" borderId="34" xfId="0" applyFont="1" applyBorder="1" applyAlignment="1">
      <alignment horizontal="center" wrapText="1"/>
    </xf>
    <xf numFmtId="0" fontId="22" fillId="0" borderId="30" xfId="0" applyFont="1" applyBorder="1" applyAlignment="1">
      <alignment horizontal="center" wrapText="1"/>
    </xf>
    <xf numFmtId="9" fontId="9" fillId="0" borderId="35" xfId="15" applyFont="1" applyBorder="1" applyAlignment="1">
      <alignment horizontal="center" vertical="center"/>
    </xf>
    <xf numFmtId="0" fontId="22" fillId="0" borderId="34" xfId="0" applyFont="1" applyBorder="1" applyAlignment="1">
      <alignment horizontal="center" vertical="center" wrapText="1"/>
    </xf>
    <xf numFmtId="0" fontId="22" fillId="0" borderId="30" xfId="0" applyFont="1" applyBorder="1" applyAlignment="1">
      <alignment horizontal="center" vertical="center" wrapText="1"/>
    </xf>
    <xf numFmtId="0" fontId="26" fillId="0" borderId="30" xfId="0" applyFont="1" applyBorder="1" applyAlignment="1">
      <alignment horizontal="left" vertical="center" wrapText="1"/>
    </xf>
    <xf numFmtId="0" fontId="37" fillId="4" borderId="34" xfId="0" applyFont="1" applyFill="1" applyBorder="1" applyAlignment="1">
      <alignment horizontal="center"/>
    </xf>
    <xf numFmtId="0" fontId="8" fillId="0" borderId="43" xfId="0" applyFont="1" applyBorder="1" applyAlignment="1">
      <alignment horizontal="left" vertical="center" wrapText="1"/>
    </xf>
    <xf numFmtId="0" fontId="12" fillId="0" borderId="44" xfId="0" applyFont="1" applyBorder="1" applyAlignment="1">
      <alignment horizontal="left" vertical="center" wrapText="1"/>
    </xf>
    <xf numFmtId="0" fontId="12" fillId="0" borderId="45" xfId="0" applyFont="1" applyBorder="1" applyAlignment="1">
      <alignment horizontal="left" vertical="center" wrapText="1"/>
    </xf>
    <xf numFmtId="0" fontId="9" fillId="0" borderId="0" xfId="0" applyFont="1" applyAlignment="1">
      <alignment horizontal="center"/>
    </xf>
    <xf numFmtId="0" fontId="43" fillId="4" borderId="65" xfId="0" applyFont="1" applyFill="1" applyBorder="1" applyAlignment="1">
      <alignment horizontal="center"/>
    </xf>
    <xf numFmtId="0" fontId="43" fillId="4" borderId="66" xfId="0" applyFont="1" applyFill="1" applyBorder="1" applyAlignment="1">
      <alignment horizontal="center"/>
    </xf>
    <xf numFmtId="0" fontId="43" fillId="4" borderId="67" xfId="0" applyFont="1" applyFill="1" applyBorder="1" applyAlignment="1">
      <alignment horizontal="center"/>
    </xf>
    <xf numFmtId="0" fontId="43" fillId="4" borderId="8" xfId="0" applyFont="1" applyFill="1" applyBorder="1" applyAlignment="1">
      <alignment horizontal="center"/>
    </xf>
    <xf numFmtId="0" fontId="43" fillId="4" borderId="14" xfId="0" applyFont="1" applyFill="1" applyBorder="1" applyAlignment="1">
      <alignment horizontal="center"/>
    </xf>
    <xf numFmtId="0" fontId="43" fillId="4" borderId="13" xfId="0" applyFont="1" applyFill="1" applyBorder="1" applyAlignment="1">
      <alignment horizontal="center"/>
    </xf>
    <xf numFmtId="4" fontId="48" fillId="10" borderId="100" xfId="7" applyFont="1" applyFill="1" applyBorder="1" applyAlignment="1">
      <alignment horizontal="center"/>
    </xf>
    <xf numFmtId="4" fontId="48" fillId="10" borderId="96" xfId="7" applyFont="1" applyFill="1" applyBorder="1" applyAlignment="1">
      <alignment horizontal="center"/>
    </xf>
    <xf numFmtId="4" fontId="48" fillId="10" borderId="101" xfId="7" applyFont="1" applyFill="1" applyBorder="1" applyAlignment="1">
      <alignment horizontal="center"/>
    </xf>
    <xf numFmtId="4" fontId="48" fillId="8" borderId="82" xfId="7" applyFont="1" applyFill="1" applyBorder="1" applyAlignment="1">
      <alignment horizontal="center"/>
    </xf>
    <xf numFmtId="4" fontId="48" fillId="8" borderId="0" xfId="7" applyFont="1" applyFill="1" applyBorder="1" applyAlignment="1">
      <alignment horizontal="center"/>
    </xf>
    <xf numFmtId="4" fontId="48" fillId="8" borderId="83" xfId="7" applyFont="1" applyFill="1" applyBorder="1" applyAlignment="1">
      <alignment horizontal="center"/>
    </xf>
    <xf numFmtId="4" fontId="8" fillId="6" borderId="84" xfId="7" applyFont="1" applyFill="1" applyBorder="1" applyAlignment="1">
      <alignment horizontal="center"/>
    </xf>
    <xf numFmtId="4" fontId="8" fillId="6" borderId="85" xfId="7" applyFont="1" applyFill="1" applyBorder="1" applyAlignment="1">
      <alignment horizontal="center"/>
    </xf>
    <xf numFmtId="4" fontId="8" fillId="6" borderId="86" xfId="7" applyFont="1" applyFill="1" applyBorder="1" applyAlignment="1">
      <alignment horizontal="center"/>
    </xf>
    <xf numFmtId="0" fontId="37" fillId="4" borderId="65" xfId="0" applyFont="1" applyFill="1" applyBorder="1" applyAlignment="1">
      <alignment horizontal="center" vertical="center"/>
    </xf>
    <xf numFmtId="0" fontId="37" fillId="4" borderId="66" xfId="0" applyFont="1" applyFill="1" applyBorder="1" applyAlignment="1">
      <alignment horizontal="center" vertical="center"/>
    </xf>
    <xf numFmtId="0" fontId="37" fillId="4" borderId="67" xfId="0" applyFont="1" applyFill="1" applyBorder="1" applyAlignment="1">
      <alignment horizontal="center" vertical="center"/>
    </xf>
    <xf numFmtId="0" fontId="18" fillId="4" borderId="27" xfId="1" applyFill="1" applyBorder="1" applyAlignment="1">
      <alignment horizontal="center" vertical="center" readingOrder="1"/>
    </xf>
    <xf numFmtId="0" fontId="18" fillId="4" borderId="28" xfId="1" applyFill="1" applyBorder="1" applyAlignment="1">
      <alignment horizontal="center" vertical="center" readingOrder="1"/>
    </xf>
    <xf numFmtId="0" fontId="18" fillId="4" borderId="29" xfId="1" applyFill="1" applyBorder="1" applyAlignment="1">
      <alignment horizontal="center" vertical="center" readingOrder="1"/>
    </xf>
    <xf numFmtId="0" fontId="37" fillId="4" borderId="8" xfId="0" applyFont="1" applyFill="1" applyBorder="1" applyAlignment="1">
      <alignment horizontal="center"/>
    </xf>
    <xf numFmtId="0" fontId="37" fillId="4" borderId="68" xfId="0" applyFont="1" applyFill="1" applyBorder="1" applyAlignment="1">
      <alignment horizontal="center"/>
    </xf>
    <xf numFmtId="0" fontId="39" fillId="0" borderId="16" xfId="0" applyFont="1" applyBorder="1" applyAlignment="1">
      <alignment horizontal="center" vertical="center" wrapText="1"/>
    </xf>
    <xf numFmtId="0" fontId="39" fillId="0" borderId="69" xfId="0" applyFont="1" applyBorder="1" applyAlignment="1">
      <alignment horizontal="center" vertical="center" wrapText="1"/>
    </xf>
    <xf numFmtId="0" fontId="37" fillId="4" borderId="97" xfId="0" applyFont="1" applyFill="1" applyBorder="1" applyAlignment="1">
      <alignment horizontal="center" vertical="center"/>
    </xf>
    <xf numFmtId="0" fontId="37" fillId="4" borderId="98" xfId="0" applyFont="1" applyFill="1" applyBorder="1" applyAlignment="1">
      <alignment horizontal="center" vertical="center"/>
    </xf>
    <xf numFmtId="0" fontId="37" fillId="4" borderId="99" xfId="0" applyFont="1" applyFill="1" applyBorder="1" applyAlignment="1">
      <alignment horizontal="center" vertical="center"/>
    </xf>
    <xf numFmtId="170" fontId="0" fillId="0" borderId="0" xfId="0" applyNumberFormat="1" applyAlignment="1">
      <alignment horizontal="center"/>
    </xf>
    <xf numFmtId="0" fontId="43" fillId="4" borderId="0" xfId="0" applyFont="1" applyFill="1" applyAlignment="1">
      <alignment horizontal="center"/>
    </xf>
    <xf numFmtId="171" fontId="0" fillId="0" borderId="0" xfId="0" applyNumberFormat="1" applyAlignment="1">
      <alignment horizontal="center"/>
    </xf>
    <xf numFmtId="0" fontId="0" fillId="0" borderId="0" xfId="0" applyAlignment="1">
      <alignment horizontal="center"/>
    </xf>
    <xf numFmtId="0" fontId="61" fillId="0" borderId="3" xfId="33" applyFont="1" applyBorder="1" applyAlignment="1">
      <alignment horizontal="center" vertical="center" wrapText="1"/>
    </xf>
    <xf numFmtId="0" fontId="61" fillId="0" borderId="4" xfId="33" applyFont="1" applyBorder="1" applyAlignment="1">
      <alignment horizontal="center" vertical="center" wrapText="1"/>
    </xf>
    <xf numFmtId="0" fontId="61" fillId="0" borderId="2" xfId="33" applyFont="1" applyBorder="1" applyAlignment="1">
      <alignment horizontal="center" vertical="center" wrapText="1"/>
    </xf>
    <xf numFmtId="0" fontId="61" fillId="0" borderId="3" xfId="33" applyFont="1" applyBorder="1" applyAlignment="1">
      <alignment horizontal="left" vertical="center"/>
    </xf>
    <xf numFmtId="0" fontId="61" fillId="0" borderId="4" xfId="33" applyFont="1" applyBorder="1" applyAlignment="1">
      <alignment horizontal="left" vertical="center"/>
    </xf>
    <xf numFmtId="0" fontId="61" fillId="0" borderId="2" xfId="33" applyFont="1" applyBorder="1" applyAlignment="1">
      <alignment horizontal="left" vertical="center"/>
    </xf>
    <xf numFmtId="0" fontId="43" fillId="4" borderId="0" xfId="33" applyFont="1" applyFill="1" applyAlignment="1">
      <alignment horizontal="center"/>
    </xf>
    <xf numFmtId="0" fontId="13" fillId="0" borderId="93" xfId="33" applyFont="1" applyBorder="1" applyAlignment="1">
      <alignment horizontal="center" vertical="center" wrapText="1"/>
    </xf>
    <xf numFmtId="0" fontId="61" fillId="0" borderId="3" xfId="33" applyFont="1" applyBorder="1" applyAlignment="1">
      <alignment horizontal="center" vertical="center"/>
    </xf>
    <xf numFmtId="0" fontId="61" fillId="0" borderId="4" xfId="33" applyFont="1" applyBorder="1" applyAlignment="1">
      <alignment horizontal="center" vertical="center"/>
    </xf>
    <xf numFmtId="0" fontId="61" fillId="0" borderId="2" xfId="33" applyFont="1" applyBorder="1" applyAlignment="1">
      <alignment horizontal="center" vertical="center"/>
    </xf>
    <xf numFmtId="0" fontId="61" fillId="0" borderId="93" xfId="33" applyFont="1" applyBorder="1" applyAlignment="1">
      <alignment horizontal="left" vertical="center" wrapText="1"/>
    </xf>
    <xf numFmtId="0" fontId="9" fillId="0" borderId="0" xfId="24" applyFont="1" applyAlignment="1">
      <alignment horizontal="center"/>
    </xf>
    <xf numFmtId="0" fontId="57" fillId="0" borderId="0" xfId="24" applyFont="1" applyAlignment="1">
      <alignment horizontal="center"/>
    </xf>
    <xf numFmtId="0" fontId="60" fillId="0" borderId="0" xfId="24" applyFont="1" applyAlignment="1">
      <alignment horizontal="center"/>
    </xf>
  </cellXfs>
  <cellStyles count="56">
    <cellStyle name="blp_title_header_row_left" xfId="1" xr:uid="{00000000-0005-0000-0000-000000000000}"/>
    <cellStyle name="Comma 2" xfId="54" xr:uid="{00000000-0005-0000-0000-000002000000}"/>
    <cellStyle name="fa_column_header_bottom_left 2" xfId="2" xr:uid="{00000000-0005-0000-0000-000004000000}"/>
    <cellStyle name="fa_column_header_top 2" xfId="3" xr:uid="{00000000-0005-0000-0000-000005000000}"/>
    <cellStyle name="fa_column_header_top_left 2" xfId="4" xr:uid="{00000000-0005-0000-0000-000006000000}"/>
    <cellStyle name="fa_data_bold_0_grouped" xfId="5" xr:uid="{00000000-0005-0000-0000-000007000000}"/>
    <cellStyle name="fa_data_standard_1_grouped" xfId="6" xr:uid="{00000000-0005-0000-0000-000008000000}"/>
    <cellStyle name="fa_data_standard_2_grouped" xfId="7" xr:uid="{00000000-0005-0000-0000-000009000000}"/>
    <cellStyle name="fa_row_header_bold 2" xfId="8" xr:uid="{00000000-0005-0000-0000-00000A000000}"/>
    <cellStyle name="fa_row_header_standard 2" xfId="9" xr:uid="{00000000-0005-0000-0000-00000B000000}"/>
    <cellStyle name="Hiperligação" xfId="10" builtinId="8"/>
    <cellStyle name="Millares 2" xfId="29" xr:uid="{00000000-0005-0000-0000-00000D000000}"/>
    <cellStyle name="Millares 2 2" xfId="46" xr:uid="{00000000-0005-0000-0000-00000E000000}"/>
    <cellStyle name="Moeda" xfId="39" builtinId="4"/>
    <cellStyle name="Moneda 2" xfId="11" xr:uid="{00000000-0005-0000-0000-00000F000000}"/>
    <cellStyle name="Moneda 2 2" xfId="12" xr:uid="{00000000-0005-0000-0000-000010000000}"/>
    <cellStyle name="Moneda 2 2 2" xfId="22" xr:uid="{00000000-0005-0000-0000-000011000000}"/>
    <cellStyle name="Moneda 2 3" xfId="21" xr:uid="{00000000-0005-0000-0000-000012000000}"/>
    <cellStyle name="Moneda 3" xfId="30" xr:uid="{00000000-0005-0000-0000-000013000000}"/>
    <cellStyle name="Moneda 3 2" xfId="47" xr:uid="{00000000-0005-0000-0000-000014000000}"/>
    <cellStyle name="Normal" xfId="0" builtinId="0"/>
    <cellStyle name="Normal 2" xfId="13" xr:uid="{00000000-0005-0000-0000-000016000000}"/>
    <cellStyle name="Normal 2 2" xfId="14" xr:uid="{00000000-0005-0000-0000-000017000000}"/>
    <cellStyle name="Normal 2 2 2" xfId="24" xr:uid="{00000000-0005-0000-0000-000018000000}"/>
    <cellStyle name="Normal 2 3" xfId="19" xr:uid="{00000000-0005-0000-0000-000019000000}"/>
    <cellStyle name="Normal 2 3 2" xfId="28" xr:uid="{00000000-0005-0000-0000-00001A000000}"/>
    <cellStyle name="Normal 2 3 2 2" xfId="45" xr:uid="{00000000-0005-0000-0000-00001B000000}"/>
    <cellStyle name="Normal 2 3 3" xfId="42" xr:uid="{00000000-0005-0000-0000-00001C000000}"/>
    <cellStyle name="Normal 2 4" xfId="23" xr:uid="{00000000-0005-0000-0000-00001D000000}"/>
    <cellStyle name="Normal 2 4 2" xfId="31" xr:uid="{00000000-0005-0000-0000-00001E000000}"/>
    <cellStyle name="Normal 2 4 2 2" xfId="48" xr:uid="{00000000-0005-0000-0000-00001F000000}"/>
    <cellStyle name="Normal 2 4 3" xfId="43" xr:uid="{00000000-0005-0000-0000-000020000000}"/>
    <cellStyle name="Normal 2 5" xfId="40" xr:uid="{00000000-0005-0000-0000-000021000000}"/>
    <cellStyle name="Normal 3" xfId="38" xr:uid="{00000000-0005-0000-0000-000022000000}"/>
    <cellStyle name="Normal 3 2" xfId="20" xr:uid="{00000000-0005-0000-0000-000023000000}"/>
    <cellStyle name="Normal 3 3" xfId="32" xr:uid="{00000000-0005-0000-0000-000024000000}"/>
    <cellStyle name="Normal 3 3 2" xfId="33" xr:uid="{00000000-0005-0000-0000-000025000000}"/>
    <cellStyle name="Normal 3 3 2 2" xfId="50" xr:uid="{00000000-0005-0000-0000-000026000000}"/>
    <cellStyle name="Normal 3 3 3" xfId="49" xr:uid="{00000000-0005-0000-0000-000027000000}"/>
    <cellStyle name="Normal 3 4" xfId="55" xr:uid="{00000000-0005-0000-0000-000028000000}"/>
    <cellStyle name="Normal 5" xfId="34" xr:uid="{00000000-0005-0000-0000-000029000000}"/>
    <cellStyle name="Normal 5 2" xfId="51" xr:uid="{00000000-0005-0000-0000-00002A000000}"/>
    <cellStyle name="Percentagem" xfId="15" builtinId="5"/>
    <cellStyle name="Porcentaje 2" xfId="16" xr:uid="{00000000-0005-0000-0000-00002C000000}"/>
    <cellStyle name="Porcentaje 2 2" xfId="17" xr:uid="{00000000-0005-0000-0000-00002D000000}"/>
    <cellStyle name="Porcentaje 2 2 2" xfId="26" xr:uid="{00000000-0005-0000-0000-00002E000000}"/>
    <cellStyle name="Porcentaje 2 3" xfId="25" xr:uid="{00000000-0005-0000-0000-00002F000000}"/>
    <cellStyle name="Porcentaje 3" xfId="18" xr:uid="{00000000-0005-0000-0000-000030000000}"/>
    <cellStyle name="Porcentaje 3 2" xfId="27" xr:uid="{00000000-0005-0000-0000-000031000000}"/>
    <cellStyle name="Porcentaje 3 2 2" xfId="44" xr:uid="{00000000-0005-0000-0000-000032000000}"/>
    <cellStyle name="Porcentaje 3 3" xfId="41" xr:uid="{00000000-0005-0000-0000-000033000000}"/>
    <cellStyle name="Porcentaje 4 2" xfId="36" xr:uid="{00000000-0005-0000-0000-000034000000}"/>
    <cellStyle name="Porcentaje 4 2 2" xfId="53" xr:uid="{00000000-0005-0000-0000-000035000000}"/>
    <cellStyle name="Porcentaje 5" xfId="35" xr:uid="{00000000-0005-0000-0000-000036000000}"/>
    <cellStyle name="Porcentaje 5 2" xfId="52" xr:uid="{00000000-0005-0000-0000-000037000000}"/>
    <cellStyle name="Vírgula" xfId="37" builtinId="3"/>
  </cellStyles>
  <dxfs count="0"/>
  <tableStyles count="0" defaultTableStyle="TableStyleMedium9" defaultPivotStyle="PivotStyleLight16"/>
  <colors>
    <mruColors>
      <color rgb="FFE838D3"/>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eetMetadata" Target="metadata.xml"/><Relationship Id="rId26" Type="http://schemas.microsoft.com/office/2017/10/relationships/person" Target="persons/person.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dSupportingPropertyBagStructure" Target="richData/rdsupportingpropertybag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microsoft.com/office/2017/06/relationships/richStyles" Target="richData/richStyles.xml"/><Relationship Id="rId27" Type="http://schemas.openxmlformats.org/officeDocument/2006/relationships/calcChain" Target="calcChain.xml"/><Relationship Id="rId30"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9D6-40DE-82A1-0FA536C6450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9D6-40DE-82A1-0FA536C6450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9D6-40DE-82A1-0FA536C64509}"/>
              </c:ext>
            </c:extLst>
          </c:dPt>
          <c:cat>
            <c:strRef>
              <c:f>DCF!$B$35:$F$35</c:f>
              <c:strCache>
                <c:ptCount val="5"/>
                <c:pt idx="0">
                  <c:v>2019 (Real)</c:v>
                </c:pt>
                <c:pt idx="1">
                  <c:v>2020 (Real)</c:v>
                </c:pt>
                <c:pt idx="2">
                  <c:v>2021</c:v>
                </c:pt>
                <c:pt idx="3">
                  <c:v>2022</c:v>
                </c:pt>
                <c:pt idx="4">
                  <c:v>2023</c:v>
                </c:pt>
              </c:strCache>
            </c:strRef>
          </c:cat>
          <c:val>
            <c:numRef>
              <c:f>DCF!$B$37:$F$37</c:f>
              <c:numCache>
                <c:formatCode>"$"#,##0</c:formatCode>
                <c:ptCount val="5"/>
                <c:pt idx="0">
                  <c:v>1926.7</c:v>
                </c:pt>
                <c:pt idx="1">
                  <c:v>2448.5</c:v>
                </c:pt>
                <c:pt idx="2">
                  <c:v>2601.0450000000001</c:v>
                </c:pt>
                <c:pt idx="3">
                  <c:v>2689.4805300000003</c:v>
                </c:pt>
                <c:pt idx="4">
                  <c:v>2944.9811803500002</c:v>
                </c:pt>
              </c:numCache>
            </c:numRef>
          </c:val>
          <c:smooth val="0"/>
          <c:extLst>
            <c:ext xmlns:c16="http://schemas.microsoft.com/office/drawing/2014/chart" uri="{C3380CC4-5D6E-409C-BE32-E72D297353CC}">
              <c16:uniqueId val="{00000006-29D6-40DE-82A1-0FA536C64509}"/>
            </c:ext>
          </c:extLst>
        </c:ser>
        <c:dLbls>
          <c:showLegendKey val="0"/>
          <c:showVal val="0"/>
          <c:showCatName val="0"/>
          <c:showSerName val="0"/>
          <c:showPercent val="0"/>
          <c:showBubbleSize val="0"/>
        </c:dLbls>
        <c:smooth val="0"/>
        <c:axId val="468295536"/>
        <c:axId val="469723232"/>
      </c:lineChart>
      <c:catAx>
        <c:axId val="46829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69723232"/>
        <c:crosses val="autoZero"/>
        <c:auto val="0"/>
        <c:lblAlgn val="ctr"/>
        <c:lblOffset val="100"/>
        <c:noMultiLvlLbl val="0"/>
      </c:catAx>
      <c:valAx>
        <c:axId val="4697232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68295536"/>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0852-4BF1-A341-E431ACE2ED9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0852-4BF1-A341-E431ACE2ED9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0852-4BF1-A341-E431ACE2ED99}"/>
              </c:ext>
            </c:extLst>
          </c:dPt>
          <c:cat>
            <c:strRef>
              <c:f>DCF!$B$35:$F$35</c:f>
              <c:strCache>
                <c:ptCount val="5"/>
                <c:pt idx="0">
                  <c:v>2019 (Real)</c:v>
                </c:pt>
                <c:pt idx="1">
                  <c:v>2020 (Real)</c:v>
                </c:pt>
                <c:pt idx="2">
                  <c:v>2021</c:v>
                </c:pt>
                <c:pt idx="3">
                  <c:v>2022</c:v>
                </c:pt>
                <c:pt idx="4">
                  <c:v>2023</c:v>
                </c:pt>
              </c:strCache>
            </c:strRef>
          </c:cat>
          <c:val>
            <c:numRef>
              <c:f>DCF!$B$38:$F$38</c:f>
              <c:numCache>
                <c:formatCode>0.0%</c:formatCode>
                <c:ptCount val="5"/>
                <c:pt idx="0">
                  <c:v>0.1554471375927752</c:v>
                </c:pt>
                <c:pt idx="1">
                  <c:v>0.10855625893404125</c:v>
                </c:pt>
                <c:pt idx="2">
                  <c:v>0.29593021537936248</c:v>
                </c:pt>
                <c:pt idx="3">
                  <c:v>0.28617540807249875</c:v>
                </c:pt>
                <c:pt idx="4">
                  <c:v>0.27</c:v>
                </c:pt>
              </c:numCache>
            </c:numRef>
          </c:val>
          <c:smooth val="0"/>
          <c:extLst>
            <c:ext xmlns:c16="http://schemas.microsoft.com/office/drawing/2014/chart" uri="{C3380CC4-5D6E-409C-BE32-E72D297353CC}">
              <c16:uniqueId val="{00000006-0852-4BF1-A341-E431ACE2ED99}"/>
            </c:ext>
          </c:extLst>
        </c:ser>
        <c:dLbls>
          <c:showLegendKey val="0"/>
          <c:showVal val="0"/>
          <c:showCatName val="0"/>
          <c:showSerName val="0"/>
          <c:showPercent val="0"/>
          <c:showBubbleSize val="0"/>
        </c:dLbls>
        <c:smooth val="0"/>
        <c:axId val="469725472"/>
        <c:axId val="469726032"/>
      </c:lineChart>
      <c:catAx>
        <c:axId val="46972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69726032"/>
        <c:crosses val="autoZero"/>
        <c:auto val="1"/>
        <c:lblAlgn val="ctr"/>
        <c:lblOffset val="100"/>
        <c:noMultiLvlLbl val="0"/>
      </c:catAx>
      <c:valAx>
        <c:axId val="4697260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697254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92336380204484"/>
          <c:y val="3.5969349607330517E-2"/>
          <c:w val="0.84839388374040381"/>
          <c:h val="0.77604277854266257"/>
        </c:manualLayout>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890B-4B55-856C-0152686CCD41}"/>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890B-4B55-856C-0152686CCD41}"/>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890B-4B55-856C-0152686CCD41}"/>
              </c:ext>
            </c:extLst>
          </c:dPt>
          <c:cat>
            <c:strRef>
              <c:f>DCF!$B$35:$F$35</c:f>
              <c:strCache>
                <c:ptCount val="5"/>
                <c:pt idx="0">
                  <c:v>2019 (Real)</c:v>
                </c:pt>
                <c:pt idx="1">
                  <c:v>2020 (Real)</c:v>
                </c:pt>
                <c:pt idx="2">
                  <c:v>2021</c:v>
                </c:pt>
                <c:pt idx="3">
                  <c:v>2022</c:v>
                </c:pt>
                <c:pt idx="4">
                  <c:v>2023</c:v>
                </c:pt>
              </c:strCache>
            </c:strRef>
          </c:cat>
          <c:val>
            <c:numRef>
              <c:f>DCF!$B$47:$F$47</c:f>
              <c:numCache>
                <c:formatCode>"$"#,##0</c:formatCode>
                <c:ptCount val="5"/>
                <c:pt idx="0">
                  <c:v>-1217</c:v>
                </c:pt>
                <c:pt idx="1">
                  <c:v>-226.2</c:v>
                </c:pt>
                <c:pt idx="2">
                  <c:v>10000</c:v>
                </c:pt>
                <c:pt idx="3">
                  <c:v>10408</c:v>
                </c:pt>
                <c:pt idx="4">
                  <c:v>11594.511999999999</c:v>
                </c:pt>
              </c:numCache>
            </c:numRef>
          </c:val>
          <c:smooth val="0"/>
          <c:extLst>
            <c:ext xmlns:c16="http://schemas.microsoft.com/office/drawing/2014/chart" uri="{C3380CC4-5D6E-409C-BE32-E72D297353CC}">
              <c16:uniqueId val="{00000006-890B-4B55-856C-0152686CCD41}"/>
            </c:ext>
          </c:extLst>
        </c:ser>
        <c:dLbls>
          <c:showLegendKey val="0"/>
          <c:showVal val="0"/>
          <c:showCatName val="0"/>
          <c:showSerName val="0"/>
          <c:showPercent val="0"/>
          <c:showBubbleSize val="0"/>
        </c:dLbls>
        <c:smooth val="0"/>
        <c:axId val="469728272"/>
        <c:axId val="469728832"/>
      </c:lineChart>
      <c:catAx>
        <c:axId val="46972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69728832"/>
        <c:crosses val="autoZero"/>
        <c:auto val="0"/>
        <c:lblAlgn val="ctr"/>
        <c:lblOffset val="100"/>
        <c:noMultiLvlLbl val="0"/>
      </c:catAx>
      <c:valAx>
        <c:axId val="469728832"/>
        <c:scaling>
          <c:orientation val="minMax"/>
          <c:max val="25000"/>
          <c:min val="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697282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BBB-4662-B16E-6E91A3BCDBBD}"/>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BBB-4662-B16E-6E91A3BCDBBD}"/>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BBB-4662-B16E-6E91A3BCDBBD}"/>
              </c:ext>
            </c:extLst>
          </c:dPt>
          <c:cat>
            <c:strRef>
              <c:f>DCF!$B$35:$F$35</c:f>
              <c:strCache>
                <c:ptCount val="5"/>
                <c:pt idx="0">
                  <c:v>2019 (Real)</c:v>
                </c:pt>
                <c:pt idx="1">
                  <c:v>2020 (Real)</c:v>
                </c:pt>
                <c:pt idx="2">
                  <c:v>2021</c:v>
                </c:pt>
                <c:pt idx="3">
                  <c:v>2022</c:v>
                </c:pt>
                <c:pt idx="4">
                  <c:v>2023</c:v>
                </c:pt>
              </c:strCache>
            </c:strRef>
          </c:cat>
          <c:val>
            <c:numRef>
              <c:f>DCF!$B$46:$F$46</c:f>
              <c:numCache>
                <c:formatCode>"$"#,##0</c:formatCode>
                <c:ptCount val="5"/>
                <c:pt idx="0">
                  <c:v>58073</c:v>
                </c:pt>
                <c:pt idx="1">
                  <c:v>61045</c:v>
                </c:pt>
                <c:pt idx="2">
                  <c:v>-2286.5461324214834</c:v>
                </c:pt>
                <c:pt idx="3">
                  <c:v>-2359.7885088411258</c:v>
                </c:pt>
                <c:pt idx="4">
                  <c:v>-2522.3991999475952</c:v>
                </c:pt>
              </c:numCache>
            </c:numRef>
          </c:val>
          <c:smooth val="0"/>
          <c:extLst>
            <c:ext xmlns:c16="http://schemas.microsoft.com/office/drawing/2014/chart" uri="{C3380CC4-5D6E-409C-BE32-E72D297353CC}">
              <c16:uniqueId val="{00000006-2BBB-4662-B16E-6E91A3BCDBBD}"/>
            </c:ext>
          </c:extLst>
        </c:ser>
        <c:dLbls>
          <c:showLegendKey val="0"/>
          <c:showVal val="0"/>
          <c:showCatName val="0"/>
          <c:showSerName val="0"/>
          <c:showPercent val="0"/>
          <c:showBubbleSize val="0"/>
        </c:dLbls>
        <c:smooth val="0"/>
        <c:axId val="471143824"/>
        <c:axId val="471144384"/>
      </c:lineChart>
      <c:catAx>
        <c:axId val="47114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71144384"/>
        <c:crosses val="autoZero"/>
        <c:auto val="1"/>
        <c:lblAlgn val="ctr"/>
        <c:lblOffset val="100"/>
        <c:noMultiLvlLbl val="0"/>
      </c:catAx>
      <c:valAx>
        <c:axId val="471144384"/>
        <c:scaling>
          <c:orientation val="minMax"/>
          <c:min val="-20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7114382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38100</xdr:rowOff>
    </xdr:from>
    <xdr:to>
      <xdr:col>5</xdr:col>
      <xdr:colOff>695325</xdr:colOff>
      <xdr:row>21</xdr:row>
      <xdr:rowOff>161924</xdr:rowOff>
    </xdr:to>
    <xdr:pic>
      <xdr:nvPicPr>
        <xdr:cNvPr id="2" name="Imagen 1">
          <a:extLst>
            <a:ext uri="{FF2B5EF4-FFF2-40B4-BE49-F238E27FC236}">
              <a16:creationId xmlns:a16="http://schemas.microsoft.com/office/drawing/2014/main" id="{F2F9330C-25CE-45E1-BA4E-66296A4EDD68}"/>
            </a:ext>
          </a:extLst>
        </xdr:cNvPr>
        <xdr:cNvPicPr>
          <a:picLocks noChangeAspect="1"/>
        </xdr:cNvPicPr>
      </xdr:nvPicPr>
      <xdr:blipFill rotWithShape="1">
        <a:blip xmlns:r="http://schemas.openxmlformats.org/officeDocument/2006/relationships" r:embed="rId1"/>
        <a:srcRect l="24381" t="20576" r="25833" b="16526"/>
        <a:stretch/>
      </xdr:blipFill>
      <xdr:spPr>
        <a:xfrm>
          <a:off x="0" y="361950"/>
          <a:ext cx="4505325" cy="3200399"/>
        </a:xfrm>
        <a:prstGeom prst="rect">
          <a:avLst/>
        </a:prstGeom>
      </xdr:spPr>
    </xdr:pic>
    <xdr:clientData/>
  </xdr:twoCellAnchor>
  <xdr:twoCellAnchor editAs="oneCell">
    <xdr:from>
      <xdr:col>5</xdr:col>
      <xdr:colOff>742951</xdr:colOff>
      <xdr:row>2</xdr:row>
      <xdr:rowOff>19050</xdr:rowOff>
    </xdr:from>
    <xdr:to>
      <xdr:col>12</xdr:col>
      <xdr:colOff>590550</xdr:colOff>
      <xdr:row>26</xdr:row>
      <xdr:rowOff>17452</xdr:rowOff>
    </xdr:to>
    <xdr:pic>
      <xdr:nvPicPr>
        <xdr:cNvPr id="3" name="Imagen 2">
          <a:extLst>
            <a:ext uri="{FF2B5EF4-FFF2-40B4-BE49-F238E27FC236}">
              <a16:creationId xmlns:a16="http://schemas.microsoft.com/office/drawing/2014/main" id="{6C3DB5B5-D2AB-4357-9042-072F61CBB8BC}"/>
            </a:ext>
          </a:extLst>
        </xdr:cNvPr>
        <xdr:cNvPicPr>
          <a:picLocks noChangeAspect="1"/>
        </xdr:cNvPicPr>
      </xdr:nvPicPr>
      <xdr:blipFill rotWithShape="1">
        <a:blip xmlns:r="http://schemas.openxmlformats.org/officeDocument/2006/relationships" r:embed="rId2"/>
        <a:srcRect l="35436" t="14585" r="5186" b="6238"/>
        <a:stretch/>
      </xdr:blipFill>
      <xdr:spPr>
        <a:xfrm>
          <a:off x="4552951" y="342900"/>
          <a:ext cx="5181599" cy="3884602"/>
        </a:xfrm>
        <a:prstGeom prst="rect">
          <a:avLst/>
        </a:prstGeom>
      </xdr:spPr>
    </xdr:pic>
    <xdr:clientData/>
  </xdr:twoCellAnchor>
  <xdr:twoCellAnchor editAs="oneCell">
    <xdr:from>
      <xdr:col>12</xdr:col>
      <xdr:colOff>733424</xdr:colOff>
      <xdr:row>1</xdr:row>
      <xdr:rowOff>152399</xdr:rowOff>
    </xdr:from>
    <xdr:to>
      <xdr:col>19</xdr:col>
      <xdr:colOff>200025</xdr:colOff>
      <xdr:row>25</xdr:row>
      <xdr:rowOff>104774</xdr:rowOff>
    </xdr:to>
    <xdr:pic>
      <xdr:nvPicPr>
        <xdr:cNvPr id="4" name="Imagen 3">
          <a:extLst>
            <a:ext uri="{FF2B5EF4-FFF2-40B4-BE49-F238E27FC236}">
              <a16:creationId xmlns:a16="http://schemas.microsoft.com/office/drawing/2014/main" id="{2F698728-CF09-4265-A947-5121BAAFCF06}"/>
            </a:ext>
          </a:extLst>
        </xdr:cNvPr>
        <xdr:cNvPicPr>
          <a:picLocks noChangeAspect="1"/>
        </xdr:cNvPicPr>
      </xdr:nvPicPr>
      <xdr:blipFill rotWithShape="1">
        <a:blip xmlns:r="http://schemas.openxmlformats.org/officeDocument/2006/relationships" r:embed="rId3"/>
        <a:srcRect l="17645" t="21877" r="37108" b="5196"/>
        <a:stretch/>
      </xdr:blipFill>
      <xdr:spPr>
        <a:xfrm>
          <a:off x="9877424" y="314324"/>
          <a:ext cx="4800601" cy="3838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14</xdr:col>
      <xdr:colOff>304800</xdr:colOff>
      <xdr:row>3</xdr:row>
      <xdr:rowOff>304800</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3</xdr:row>
      <xdr:rowOff>0</xdr:rowOff>
    </xdr:from>
    <xdr:to>
      <xdr:col>14</xdr:col>
      <xdr:colOff>304800</xdr:colOff>
      <xdr:row>3</xdr:row>
      <xdr:rowOff>304800</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22</xdr:row>
      <xdr:rowOff>0</xdr:rowOff>
    </xdr:from>
    <xdr:to>
      <xdr:col>4</xdr:col>
      <xdr:colOff>304800</xdr:colOff>
      <xdr:row>23</xdr:row>
      <xdr:rowOff>142875</xdr:rowOff>
    </xdr:to>
    <xdr:sp macro="" textlink="">
      <xdr:nvSpPr>
        <xdr:cNvPr id="914922" name="AutoShape 232" descr="Resultado de imagen para beer consumption trend">
          <a:extLst>
            <a:ext uri="{FF2B5EF4-FFF2-40B4-BE49-F238E27FC236}">
              <a16:creationId xmlns:a16="http://schemas.microsoft.com/office/drawing/2014/main" id="{290ADD27-FE0C-4C99-AF77-3098E89BD849}"/>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22</xdr:row>
      <xdr:rowOff>0</xdr:rowOff>
    </xdr:from>
    <xdr:to>
      <xdr:col>4</xdr:col>
      <xdr:colOff>304800</xdr:colOff>
      <xdr:row>23</xdr:row>
      <xdr:rowOff>139065</xdr:rowOff>
    </xdr:to>
    <xdr:sp macro="" textlink="">
      <xdr:nvSpPr>
        <xdr:cNvPr id="914923" name="AutoShape 233" descr="Resultado de imagen para beer consumption trend">
          <a:extLst>
            <a:ext uri="{FF2B5EF4-FFF2-40B4-BE49-F238E27FC236}">
              <a16:creationId xmlns:a16="http://schemas.microsoft.com/office/drawing/2014/main" id="{76C615DC-9449-489C-838D-7501FF91B816}"/>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97692</xdr:colOff>
      <xdr:row>8</xdr:row>
      <xdr:rowOff>16282</xdr:rowOff>
    </xdr:from>
    <xdr:to>
      <xdr:col>14</xdr:col>
      <xdr:colOff>765737</xdr:colOff>
      <xdr:row>15</xdr:row>
      <xdr:rowOff>25791</xdr:rowOff>
    </xdr:to>
    <xdr:pic>
      <xdr:nvPicPr>
        <xdr:cNvPr id="4" name="Imagem 2">
          <a:extLst>
            <a:ext uri="{FF2B5EF4-FFF2-40B4-BE49-F238E27FC236}">
              <a16:creationId xmlns:a16="http://schemas.microsoft.com/office/drawing/2014/main" id="{91FF3A8D-33A8-E77B-5836-95AEFBD06D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5000" y="2735385"/>
          <a:ext cx="4980965" cy="1419208"/>
        </a:xfrm>
        <a:prstGeom prst="rect">
          <a:avLst/>
        </a:prstGeom>
      </xdr:spPr>
    </xdr:pic>
    <xdr:clientData/>
  </xdr:twoCellAnchor>
  <xdr:twoCellAnchor editAs="oneCell">
    <xdr:from>
      <xdr:col>14</xdr:col>
      <xdr:colOff>872718</xdr:colOff>
      <xdr:row>5</xdr:row>
      <xdr:rowOff>1</xdr:rowOff>
    </xdr:from>
    <xdr:to>
      <xdr:col>18</xdr:col>
      <xdr:colOff>546556</xdr:colOff>
      <xdr:row>18</xdr:row>
      <xdr:rowOff>41106</xdr:rowOff>
    </xdr:to>
    <xdr:pic>
      <xdr:nvPicPr>
        <xdr:cNvPr id="2" name="Imagem 4">
          <a:extLst>
            <a:ext uri="{FF2B5EF4-FFF2-40B4-BE49-F238E27FC236}">
              <a16:creationId xmlns:a16="http://schemas.microsoft.com/office/drawing/2014/main" id="{83ECABA3-578D-9576-6B2C-E9327D36096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373231" y="2198078"/>
          <a:ext cx="2904718" cy="262428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161925</xdr:rowOff>
    </xdr:from>
    <xdr:to>
      <xdr:col>3</xdr:col>
      <xdr:colOff>438150</xdr:colOff>
      <xdr:row>14</xdr:row>
      <xdr:rowOff>95250</xdr:rowOff>
    </xdr:to>
    <xdr:graphicFrame macro="">
      <xdr:nvGraphicFramePr>
        <xdr:cNvPr id="69183" name="Gráfico 1">
          <a:extLst>
            <a:ext uri="{FF2B5EF4-FFF2-40B4-BE49-F238E27FC236}">
              <a16:creationId xmlns:a16="http://schemas.microsoft.com/office/drawing/2014/main" id="{77D8D2A6-31C8-436A-8BAC-BCB6DD15A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523875</xdr:colOff>
      <xdr:row>3</xdr:row>
      <xdr:rowOff>19050</xdr:rowOff>
    </xdr:from>
    <xdr:to>
      <xdr:col>9</xdr:col>
      <xdr:colOff>0</xdr:colOff>
      <xdr:row>14</xdr:row>
      <xdr:rowOff>85725</xdr:rowOff>
    </xdr:to>
    <xdr:graphicFrame macro="">
      <xdr:nvGraphicFramePr>
        <xdr:cNvPr id="69184" name="Gráfico 2">
          <a:extLst>
            <a:ext uri="{FF2B5EF4-FFF2-40B4-BE49-F238E27FC236}">
              <a16:creationId xmlns:a16="http://schemas.microsoft.com/office/drawing/2014/main" id="{9B781514-F142-49A5-BB8C-98E772FF4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16</xdr:row>
      <xdr:rowOff>28575</xdr:rowOff>
    </xdr:from>
    <xdr:to>
      <xdr:col>3</xdr:col>
      <xdr:colOff>457200</xdr:colOff>
      <xdr:row>27</xdr:row>
      <xdr:rowOff>123825</xdr:rowOff>
    </xdr:to>
    <xdr:graphicFrame macro="">
      <xdr:nvGraphicFramePr>
        <xdr:cNvPr id="69185" name="Gráfico 4">
          <a:extLst>
            <a:ext uri="{FF2B5EF4-FFF2-40B4-BE49-F238E27FC236}">
              <a16:creationId xmlns:a16="http://schemas.microsoft.com/office/drawing/2014/main" id="{F1BF886D-8D8C-489D-980F-D5383E1E7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542925</xdr:colOff>
      <xdr:row>16</xdr:row>
      <xdr:rowOff>38100</xdr:rowOff>
    </xdr:from>
    <xdr:to>
      <xdr:col>9</xdr:col>
      <xdr:colOff>19050</xdr:colOff>
      <xdr:row>27</xdr:row>
      <xdr:rowOff>104775</xdr:rowOff>
    </xdr:to>
    <xdr:graphicFrame macro="">
      <xdr:nvGraphicFramePr>
        <xdr:cNvPr id="69186" name="Gráfico 5">
          <a:extLst>
            <a:ext uri="{FF2B5EF4-FFF2-40B4-BE49-F238E27FC236}">
              <a16:creationId xmlns:a16="http://schemas.microsoft.com/office/drawing/2014/main" id="{AB6311A8-5D3E-4293-82B3-E0C5B246C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istemas/AppData/Local/Temp/Bloomberg/data/XIDA.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Utilizador\Downloads\Dexcom%20(DXCM)%20(version%201).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Utilizador\Downloads\Dexcom%20(DXCM)%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CapH"/>
      <sheetName val="PricesH"/>
      <sheetName val="ControlsH"/>
      <sheetName val="DataH"/>
      <sheetName val="Overview"/>
      <sheetName val="Peers"/>
      <sheetName val="Owners"/>
      <sheetName val="Help"/>
      <sheetName val="Indices"/>
      <sheetName val="Financials"/>
      <sheetName val="Ratings"/>
      <sheetName val="EST Brokers"/>
      <sheetName val="EST Detail"/>
      <sheetName val="VAL Graphs"/>
    </sheetNames>
    <sheetDataSet>
      <sheetData sheetId="0" refreshError="1"/>
      <sheetData sheetId="1" refreshError="1"/>
      <sheetData sheetId="2" refreshError="1">
        <row r="3">
          <cell r="B3" t="str">
            <v>SPX</v>
          </cell>
          <cell r="C3" t="e">
            <v>#REF!</v>
          </cell>
          <cell r="E3">
            <v>1</v>
          </cell>
          <cell r="F3">
            <v>1</v>
          </cell>
          <cell r="G3">
            <v>1</v>
          </cell>
          <cell r="H3">
            <v>1</v>
          </cell>
          <cell r="I3">
            <v>1</v>
          </cell>
        </row>
        <row r="4">
          <cell r="B4" t="e">
            <v>#REF!</v>
          </cell>
          <cell r="C4" t="e">
            <v>#REF!</v>
          </cell>
        </row>
        <row r="5">
          <cell r="B5" t="e">
            <v>#REF!</v>
          </cell>
          <cell r="C5" t="e">
            <v>#REF!</v>
          </cell>
          <cell r="E5">
            <v>1</v>
          </cell>
          <cell r="F5">
            <v>1</v>
          </cell>
          <cell r="G5">
            <v>1</v>
          </cell>
          <cell r="H5">
            <v>1</v>
          </cell>
          <cell r="I5">
            <v>1</v>
          </cell>
        </row>
        <row r="6">
          <cell r="B6" t="str">
            <v>APPLE INC</v>
          </cell>
        </row>
        <row r="9">
          <cell r="B9" t="str">
            <v>USD</v>
          </cell>
        </row>
        <row r="13">
          <cell r="B13" t="str">
            <v>Equal Weight</v>
          </cell>
        </row>
        <row r="15">
          <cell r="B15" t="str">
            <v>AAPL US</v>
          </cell>
        </row>
        <row r="21">
          <cell r="B21" t="str">
            <v>Local</v>
          </cell>
        </row>
        <row r="22">
          <cell r="B22" t="str">
            <v>Euro</v>
          </cell>
        </row>
        <row r="23">
          <cell r="B23" t="str">
            <v>U.S. Dollar</v>
          </cell>
        </row>
        <row r="24">
          <cell r="B24" t="str">
            <v>British Pounds</v>
          </cell>
        </row>
        <row r="25">
          <cell r="B25" t="str">
            <v>Canadian Dollar</v>
          </cell>
        </row>
        <row r="26">
          <cell r="B26" t="str">
            <v>Japanese Yen</v>
          </cell>
        </row>
        <row r="27">
          <cell r="B27" t="str">
            <v>Afghanistan Afghani</v>
          </cell>
        </row>
        <row r="28">
          <cell r="B28" t="str">
            <v>Albanian Lek</v>
          </cell>
        </row>
        <row r="29">
          <cell r="B29" t="str">
            <v>Algerian Dinar</v>
          </cell>
        </row>
        <row r="30">
          <cell r="B30" t="str">
            <v>Angolan New Kwanza</v>
          </cell>
        </row>
        <row r="31">
          <cell r="B31" t="str">
            <v>Argentine Peso</v>
          </cell>
        </row>
        <row r="32">
          <cell r="B32" t="str">
            <v>Armenia Dram</v>
          </cell>
        </row>
        <row r="33">
          <cell r="B33" t="str">
            <v>Aruban Guilder</v>
          </cell>
        </row>
        <row r="34">
          <cell r="B34" t="str">
            <v>Australian Dollar</v>
          </cell>
          <cell r="G34" t="str">
            <v>2020-12-31</v>
          </cell>
        </row>
        <row r="35">
          <cell r="B35" t="str">
            <v>Austrian Schilling *</v>
          </cell>
          <cell r="F35" t="str">
            <v>Equal Weight</v>
          </cell>
        </row>
        <row r="36">
          <cell r="B36" t="str">
            <v>Azerbaijan Manat</v>
          </cell>
          <cell r="F36" t="str">
            <v>Market Cap Weight</v>
          </cell>
        </row>
        <row r="37">
          <cell r="B37" t="str">
            <v>Bahamas Dollar</v>
          </cell>
        </row>
        <row r="38">
          <cell r="B38" t="str">
            <v>Bahraini Dinar</v>
          </cell>
        </row>
        <row r="39">
          <cell r="B39" t="str">
            <v>Bangladesh Taka</v>
          </cell>
        </row>
        <row r="40">
          <cell r="B40" t="str">
            <v>Barbados Dollar</v>
          </cell>
        </row>
        <row r="41">
          <cell r="B41" t="str">
            <v>Belarus Rouble</v>
          </cell>
        </row>
        <row r="42">
          <cell r="B42" t="str">
            <v>Belgian Franc *</v>
          </cell>
        </row>
        <row r="43">
          <cell r="B43" t="str">
            <v>Belize Dollar</v>
          </cell>
        </row>
        <row r="44">
          <cell r="B44" t="str">
            <v>Bermuda Dollar</v>
          </cell>
        </row>
        <row r="45">
          <cell r="B45" t="str">
            <v>British Pence</v>
          </cell>
        </row>
        <row r="46">
          <cell r="B46" t="str">
            <v>Bhutan Ngultrum</v>
          </cell>
        </row>
        <row r="47">
          <cell r="B47" t="str">
            <v>Bolivian Boliviano</v>
          </cell>
        </row>
        <row r="48">
          <cell r="B48" t="str">
            <v>Botswana Pula</v>
          </cell>
        </row>
        <row r="49">
          <cell r="B49" t="str">
            <v>Brazilian Real</v>
          </cell>
        </row>
        <row r="50">
          <cell r="B50" t="str">
            <v>Brunei Dollar</v>
          </cell>
        </row>
        <row r="51">
          <cell r="B51" t="str">
            <v>Bulgarian Lev</v>
          </cell>
        </row>
        <row r="52">
          <cell r="B52" t="str">
            <v>Burundi Franc</v>
          </cell>
        </row>
        <row r="53">
          <cell r="B53" t="str">
            <v>C.F.A Franc</v>
          </cell>
        </row>
        <row r="54">
          <cell r="B54" t="str">
            <v>C.F.P Franc</v>
          </cell>
        </row>
        <row r="55">
          <cell r="B55" t="str">
            <v>Cambodian Riel</v>
          </cell>
        </row>
        <row r="56">
          <cell r="B56" t="str">
            <v>Cape Verde Is. Escudo</v>
          </cell>
        </row>
        <row r="57">
          <cell r="B57" t="str">
            <v>Cayman Islands Dollar</v>
          </cell>
        </row>
        <row r="58">
          <cell r="B58" t="str">
            <v>Chilean Peso</v>
          </cell>
        </row>
        <row r="59">
          <cell r="B59" t="str">
            <v>Chile U.F.</v>
          </cell>
        </row>
        <row r="60">
          <cell r="B60" t="str">
            <v>China Renminbi</v>
          </cell>
        </row>
        <row r="61">
          <cell r="B61" t="str">
            <v>Colombian Peso</v>
          </cell>
        </row>
        <row r="62">
          <cell r="B62" t="str">
            <v>Comoros Franc</v>
          </cell>
        </row>
        <row r="63">
          <cell r="B63" t="str">
            <v>Costa Rica Colon</v>
          </cell>
        </row>
        <row r="64">
          <cell r="B64" t="str">
            <v>Croation Kuna</v>
          </cell>
        </row>
        <row r="65">
          <cell r="B65" t="str">
            <v>Cuban Peso</v>
          </cell>
        </row>
        <row r="66">
          <cell r="B66" t="str">
            <v>Cyprus Pound</v>
          </cell>
        </row>
        <row r="67">
          <cell r="B67" t="str">
            <v>Czechoslovakia Koruna</v>
          </cell>
        </row>
        <row r="68">
          <cell r="B68" t="str">
            <v>Danish Krone</v>
          </cell>
        </row>
        <row r="69">
          <cell r="B69" t="str">
            <v>Djibouti Franc</v>
          </cell>
        </row>
        <row r="70">
          <cell r="B70" t="str">
            <v>Dominican Republic Peso</v>
          </cell>
        </row>
        <row r="71">
          <cell r="B71" t="str">
            <v>East Caribbean Dollar</v>
          </cell>
        </row>
        <row r="72">
          <cell r="B72" t="str">
            <v>East German Ostmark</v>
          </cell>
        </row>
        <row r="73">
          <cell r="B73" t="str">
            <v>Ecuador Sucre</v>
          </cell>
        </row>
        <row r="74">
          <cell r="B74" t="str">
            <v>Egyptian Pound</v>
          </cell>
        </row>
        <row r="75">
          <cell r="B75" t="str">
            <v>El Salvador Colon</v>
          </cell>
        </row>
        <row r="76">
          <cell r="B76" t="str">
            <v>Estonian Kroon</v>
          </cell>
        </row>
        <row r="77">
          <cell r="B77" t="str">
            <v>Ethiopian Birr</v>
          </cell>
        </row>
        <row r="78">
          <cell r="B78" t="str">
            <v>Falkland Island Pound</v>
          </cell>
        </row>
        <row r="79">
          <cell r="B79" t="str">
            <v>Fiji Dollar</v>
          </cell>
        </row>
        <row r="80">
          <cell r="B80" t="str">
            <v>Finnish Markka *</v>
          </cell>
        </row>
        <row r="81">
          <cell r="B81" t="str">
            <v>French Franc *</v>
          </cell>
        </row>
        <row r="82">
          <cell r="B82" t="str">
            <v>Gambia Dalasi</v>
          </cell>
        </row>
        <row r="83">
          <cell r="B83" t="str">
            <v>Georgian Coupon</v>
          </cell>
        </row>
        <row r="84">
          <cell r="B84" t="str">
            <v>German Deutschemark *</v>
          </cell>
        </row>
        <row r="85">
          <cell r="B85" t="str">
            <v>Ghana Cedi</v>
          </cell>
        </row>
        <row r="86">
          <cell r="B86" t="str">
            <v>Gibraltar Pound</v>
          </cell>
        </row>
        <row r="87">
          <cell r="B87" t="str">
            <v>Greek Drachma *</v>
          </cell>
        </row>
        <row r="88">
          <cell r="B88" t="str">
            <v>Guatemala Quentzal</v>
          </cell>
        </row>
        <row r="89">
          <cell r="B89" t="str">
            <v>Guinea Franc</v>
          </cell>
        </row>
        <row r="90">
          <cell r="B90" t="str">
            <v>Guinea-Bissau Peso</v>
          </cell>
        </row>
        <row r="91">
          <cell r="B91" t="str">
            <v>Guyana Dollar</v>
          </cell>
        </row>
        <row r="92">
          <cell r="B92" t="str">
            <v>Haiti Gourde</v>
          </cell>
        </row>
        <row r="93">
          <cell r="B93" t="str">
            <v>Honduras Lempira</v>
          </cell>
        </row>
        <row r="94">
          <cell r="B94" t="str">
            <v>Hong Kong Dollar</v>
          </cell>
        </row>
        <row r="95">
          <cell r="B95" t="str">
            <v>Hungarian Forint</v>
          </cell>
        </row>
        <row r="96">
          <cell r="B96" t="str">
            <v>Icelandic Krona</v>
          </cell>
        </row>
        <row r="97">
          <cell r="B97" t="str">
            <v>Indian Rupee</v>
          </cell>
        </row>
        <row r="98">
          <cell r="B98" t="str">
            <v>Indonesian Rupiah</v>
          </cell>
        </row>
        <row r="99">
          <cell r="B99" t="str">
            <v>Iran Rial</v>
          </cell>
        </row>
        <row r="100">
          <cell r="B100" t="str">
            <v>Iraqi Dinar</v>
          </cell>
        </row>
        <row r="101">
          <cell r="B101" t="str">
            <v>Irish Punt</v>
          </cell>
        </row>
        <row r="102">
          <cell r="B102" t="str">
            <v>Israeli Shekel</v>
          </cell>
        </row>
        <row r="103">
          <cell r="B103" t="str">
            <v>Italian Lire *</v>
          </cell>
        </row>
        <row r="104">
          <cell r="B104" t="str">
            <v>Jamaican Dollar</v>
          </cell>
        </row>
        <row r="105">
          <cell r="B105" t="str">
            <v>Jordanian Diner</v>
          </cell>
        </row>
        <row r="106">
          <cell r="B106" t="str">
            <v>Kazakhstan Tenge</v>
          </cell>
        </row>
        <row r="107">
          <cell r="B107" t="str">
            <v>Kenya Shilling</v>
          </cell>
        </row>
        <row r="108">
          <cell r="B108" t="str">
            <v>Kuwait Dinar</v>
          </cell>
        </row>
        <row r="109">
          <cell r="B109" t="str">
            <v>Kyrgystan Som</v>
          </cell>
        </row>
        <row r="110">
          <cell r="B110" t="str">
            <v>Laos New Kip</v>
          </cell>
        </row>
        <row r="111">
          <cell r="B111" t="str">
            <v>Latvian Lats</v>
          </cell>
        </row>
        <row r="112">
          <cell r="B112" t="str">
            <v>Lebanese Pound</v>
          </cell>
        </row>
        <row r="113">
          <cell r="B113" t="str">
            <v>Legacy National Currency</v>
          </cell>
        </row>
        <row r="114">
          <cell r="B114" t="str">
            <v>Lesotho Loit</v>
          </cell>
        </row>
        <row r="115">
          <cell r="B115" t="str">
            <v>Liberian Dollar</v>
          </cell>
        </row>
        <row r="116">
          <cell r="B116" t="str">
            <v>Libyan Dinar</v>
          </cell>
        </row>
        <row r="117">
          <cell r="B117" t="str">
            <v>Lithuanian Litas</v>
          </cell>
        </row>
        <row r="118">
          <cell r="B118" t="str">
            <v>Luxembourg Franc *</v>
          </cell>
        </row>
        <row r="119">
          <cell r="B119" t="str">
            <v>Macau Pataca</v>
          </cell>
        </row>
        <row r="120">
          <cell r="B120" t="str">
            <v>Macedonian Denar</v>
          </cell>
        </row>
        <row r="121">
          <cell r="B121" t="str">
            <v>Malagasy Franc</v>
          </cell>
        </row>
        <row r="122">
          <cell r="B122" t="str">
            <v>Malawi Kwacha</v>
          </cell>
        </row>
        <row r="123">
          <cell r="B123" t="str">
            <v>Malaysian Ringgit</v>
          </cell>
        </row>
        <row r="124">
          <cell r="B124" t="str">
            <v>Madive Island Rufiyaa</v>
          </cell>
        </row>
        <row r="125">
          <cell r="B125" t="str">
            <v>Maltese Lirea</v>
          </cell>
        </row>
        <row r="126">
          <cell r="B126" t="str">
            <v>Mauritania Ouguiya</v>
          </cell>
        </row>
        <row r="127">
          <cell r="B127" t="str">
            <v>Mauritan Rupee</v>
          </cell>
        </row>
        <row r="128">
          <cell r="B128" t="str">
            <v>Mexican Peso</v>
          </cell>
        </row>
        <row r="129">
          <cell r="B129" t="str">
            <v>Moldovan Leu</v>
          </cell>
        </row>
        <row r="130">
          <cell r="B130" t="str">
            <v>Mongolian Tugrik</v>
          </cell>
        </row>
        <row r="131">
          <cell r="B131" t="str">
            <v>Moroccan Dirham</v>
          </cell>
        </row>
        <row r="132">
          <cell r="B132" t="str">
            <v>Mozambique Metical</v>
          </cell>
        </row>
        <row r="133">
          <cell r="B133" t="str">
            <v>Myanmar (Burma) Kyat</v>
          </cell>
        </row>
        <row r="134">
          <cell r="B134" t="str">
            <v>Namibian Dollar</v>
          </cell>
        </row>
        <row r="135">
          <cell r="B135" t="str">
            <v>Nepalese Rupee</v>
          </cell>
        </row>
        <row r="136">
          <cell r="B136" t="str">
            <v>Netherlands Antilles Guilder</v>
          </cell>
        </row>
        <row r="137">
          <cell r="B137" t="str">
            <v>Netherlands Guilder *</v>
          </cell>
        </row>
        <row r="138">
          <cell r="B138" t="str">
            <v>New Zealand Dollar</v>
          </cell>
        </row>
        <row r="139">
          <cell r="B139" t="str">
            <v>Nicaragua Cordoba Oro</v>
          </cell>
        </row>
        <row r="140">
          <cell r="B140" t="str">
            <v>Nigerian Naira</v>
          </cell>
        </row>
        <row r="141">
          <cell r="B141" t="str">
            <v>North Korean Won</v>
          </cell>
        </row>
        <row r="142">
          <cell r="B142" t="str">
            <v>Norwegian Krone</v>
          </cell>
        </row>
        <row r="143">
          <cell r="B143" t="str">
            <v>Oman Rial</v>
          </cell>
        </row>
        <row r="144">
          <cell r="B144" t="str">
            <v>Pakistan Rupee</v>
          </cell>
        </row>
        <row r="145">
          <cell r="B145" t="str">
            <v>Panama Balboa</v>
          </cell>
        </row>
        <row r="146">
          <cell r="B146" t="str">
            <v>Papua and New Guinea Kina</v>
          </cell>
        </row>
        <row r="147">
          <cell r="B147" t="str">
            <v>Paraguay Guarani</v>
          </cell>
        </row>
        <row r="148">
          <cell r="B148" t="str">
            <v>Peruvian New Sol</v>
          </cell>
        </row>
        <row r="149">
          <cell r="B149" t="str">
            <v>Philippines Peso</v>
          </cell>
        </row>
        <row r="150">
          <cell r="B150" t="str">
            <v>Polish Zloty</v>
          </cell>
        </row>
        <row r="151">
          <cell r="B151" t="str">
            <v>Portuguese Escudo *</v>
          </cell>
        </row>
        <row r="152">
          <cell r="B152" t="str">
            <v>Qatari Rial</v>
          </cell>
        </row>
        <row r="153">
          <cell r="B153" t="str">
            <v>Romanian Leu</v>
          </cell>
        </row>
        <row r="154">
          <cell r="B154" t="str">
            <v>Russian Rouble</v>
          </cell>
        </row>
        <row r="155">
          <cell r="B155" t="str">
            <v>Rwanda Franc</v>
          </cell>
        </row>
        <row r="156">
          <cell r="B156" t="str">
            <v>Sao Tome &amp; Principe Dobra</v>
          </cell>
        </row>
        <row r="157">
          <cell r="B157" t="str">
            <v>Saudi Arabian Riyal</v>
          </cell>
        </row>
        <row r="158">
          <cell r="B158" t="str">
            <v>Seychelles Rupee</v>
          </cell>
        </row>
        <row r="159">
          <cell r="B159" t="str">
            <v>Sierra Leone Leone</v>
          </cell>
        </row>
        <row r="160">
          <cell r="B160" t="str">
            <v>Singapore Dollar</v>
          </cell>
        </row>
        <row r="161">
          <cell r="B161" t="str">
            <v>Slovakia Koruna</v>
          </cell>
        </row>
        <row r="162">
          <cell r="B162" t="str">
            <v>Slovenian Tolar</v>
          </cell>
        </row>
        <row r="163">
          <cell r="B163" t="str">
            <v>Solomon Island Dollar</v>
          </cell>
        </row>
        <row r="164">
          <cell r="B164" t="str">
            <v>Somali Shilling</v>
          </cell>
        </row>
        <row r="165">
          <cell r="B165" t="str">
            <v>South African Ran</v>
          </cell>
        </row>
        <row r="166">
          <cell r="B166" t="str">
            <v>South Korean Won</v>
          </cell>
        </row>
        <row r="167">
          <cell r="B167" t="str">
            <v>Spanish Peseta *</v>
          </cell>
        </row>
        <row r="168">
          <cell r="B168" t="str">
            <v>Sri Lanka Rupee</v>
          </cell>
        </row>
        <row r="169">
          <cell r="B169" t="str">
            <v>St. Helena Pound</v>
          </cell>
        </row>
        <row r="170">
          <cell r="B170" t="str">
            <v>Sudanese Pound</v>
          </cell>
        </row>
        <row r="171">
          <cell r="B171" t="str">
            <v>Surinam Guilder</v>
          </cell>
        </row>
        <row r="172">
          <cell r="B172" t="str">
            <v>Swaziland Lilangeni</v>
          </cell>
        </row>
        <row r="173">
          <cell r="B173" t="str">
            <v>Swedish Krona</v>
          </cell>
        </row>
        <row r="174">
          <cell r="B174" t="str">
            <v>Swiss Franc</v>
          </cell>
        </row>
        <row r="175">
          <cell r="B175" t="str">
            <v>Syrian Pound</v>
          </cell>
        </row>
        <row r="176">
          <cell r="B176" t="str">
            <v>Taiwan Dollar</v>
          </cell>
        </row>
        <row r="177">
          <cell r="B177" t="str">
            <v>Tajikistan Rouble</v>
          </cell>
        </row>
        <row r="178">
          <cell r="B178" t="str">
            <v>Tanzania Shilling</v>
          </cell>
        </row>
        <row r="179">
          <cell r="B179" t="str">
            <v>Thailand Baht</v>
          </cell>
        </row>
        <row r="180">
          <cell r="B180" t="str">
            <v>Tonga Pa'anga</v>
          </cell>
        </row>
        <row r="181">
          <cell r="B181" t="str">
            <v>Trinidad and Tobago Dollar</v>
          </cell>
        </row>
        <row r="182">
          <cell r="B182" t="str">
            <v>Tunisian Dinar</v>
          </cell>
        </row>
        <row r="183">
          <cell r="B183" t="str">
            <v>Old Turkish Lira</v>
          </cell>
        </row>
        <row r="184">
          <cell r="B184" t="str">
            <v>New Turkish Lira</v>
          </cell>
        </row>
        <row r="185">
          <cell r="B185" t="str">
            <v>Turkmenistan Manet</v>
          </cell>
        </row>
        <row r="186">
          <cell r="B186" t="str">
            <v>UAE Dirham</v>
          </cell>
        </row>
        <row r="187">
          <cell r="B187" t="str">
            <v>Uganda Shilling</v>
          </cell>
        </row>
        <row r="188">
          <cell r="B188" t="str">
            <v>Ukraine Karbovanets</v>
          </cell>
        </row>
        <row r="189">
          <cell r="B189" t="str">
            <v>Uruguay Peso</v>
          </cell>
        </row>
        <row r="190">
          <cell r="B190" t="str">
            <v>Uzbekistan Sum</v>
          </cell>
        </row>
        <row r="191">
          <cell r="B191" t="str">
            <v>Vanuatu Vatu</v>
          </cell>
        </row>
        <row r="192">
          <cell r="B192" t="str">
            <v>Venezualan Bolivar</v>
          </cell>
        </row>
        <row r="193">
          <cell r="B193" t="str">
            <v>Vietnam Dong</v>
          </cell>
        </row>
        <row r="194">
          <cell r="B194" t="str">
            <v>Western Somoa Tala</v>
          </cell>
        </row>
        <row r="195">
          <cell r="B195" t="str">
            <v>Yemeni Rial</v>
          </cell>
        </row>
        <row r="196">
          <cell r="B196" t="str">
            <v>Yugoslav New Dinar</v>
          </cell>
        </row>
        <row r="197">
          <cell r="B197" t="str">
            <v>Zaire Zaire</v>
          </cell>
        </row>
        <row r="198">
          <cell r="B198" t="str">
            <v>Zambian Kwacha</v>
          </cell>
        </row>
        <row r="199">
          <cell r="B199" t="str">
            <v>Zimbabwe Dollar</v>
          </cell>
        </row>
      </sheetData>
      <sheetData sheetId="3" refreshError="1"/>
      <sheetData sheetId="4" refreshError="1">
        <row r="8">
          <cell r="D8" t="str">
            <v>AAPL US</v>
          </cell>
        </row>
        <row r="11">
          <cell r="D11" t="str">
            <v>English</v>
          </cell>
        </row>
        <row r="13">
          <cell r="O13" t="str">
            <v>Consolidated</v>
          </cell>
          <cell r="U13" t="str">
            <v>-1FY</v>
          </cell>
        </row>
        <row r="16">
          <cell r="Q16">
            <v>213883</v>
          </cell>
          <cell r="W16">
            <v>116914</v>
          </cell>
        </row>
        <row r="19">
          <cell r="E19">
            <v>125.6242980957031</v>
          </cell>
        </row>
        <row r="30">
          <cell r="D30" t="str">
            <v>Fiscal Year</v>
          </cell>
        </row>
      </sheetData>
      <sheetData sheetId="5" refreshError="1">
        <row r="11">
          <cell r="S11">
            <v>2017</v>
          </cell>
        </row>
        <row r="18">
          <cell r="C18" t="str">
            <v>005930 KS</v>
          </cell>
        </row>
        <row r="19">
          <cell r="C19" t="str">
            <v>2498 TT</v>
          </cell>
        </row>
      </sheetData>
      <sheetData sheetId="6" refreshError="1">
        <row r="24">
          <cell r="E24" t="str">
            <v>TOP 20 ALL</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
      <sheetName val="COVID-19 impact"/>
      <sheetName val="Segments"/>
      <sheetName val="Peers"/>
      <sheetName val="Acuerdo"/>
      <sheetName val="ESG"/>
      <sheetName val="DCF"/>
      <sheetName val="DCFF"/>
      <sheetName val="Sheet2"/>
      <sheetName val="Cifras_en_Millones"/>
      <sheetName val="Cifras_Originales"/>
      <sheetName val="Q"/>
    </sheetNames>
    <sheetDataSet>
      <sheetData sheetId="0"/>
      <sheetData sheetId="1"/>
      <sheetData sheetId="2"/>
      <sheetData sheetId="3"/>
      <sheetData sheetId="4"/>
      <sheetData sheetId="5"/>
      <sheetData sheetId="6"/>
      <sheetData sheetId="7"/>
      <sheetData sheetId="8"/>
      <sheetData sheetId="9">
        <row r="5">
          <cell r="B5">
            <v>3954</v>
          </cell>
        </row>
        <row r="6">
          <cell r="F6">
            <v>0.30535230352303522</v>
          </cell>
        </row>
      </sheetData>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ID-19 impact"/>
      <sheetName val="OP"/>
      <sheetName val="Segments"/>
      <sheetName val="Peers"/>
      <sheetName val="Acuerdo"/>
      <sheetName val="ESG"/>
      <sheetName val="DCF"/>
      <sheetName val="DCFF"/>
      <sheetName val="Cifras_en_Millones"/>
      <sheetName val="Cifras_Originales"/>
      <sheetName val="Q"/>
    </sheetNames>
    <sheetDataSet>
      <sheetData sheetId="0" refreshError="1"/>
      <sheetData sheetId="1">
        <row r="7">
          <cell r="C7">
            <v>88.78</v>
          </cell>
        </row>
        <row r="8">
          <cell r="C8">
            <v>390770000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5">
  <rv s="0">
    <v>https://www.bing.com/financeapi/forcetrigger?t=a1rgxm&amp;q=XNAS%3aDXCM&amp;form=skydnc</v>
    <v>Learn more on Bing</v>
  </rv>
  <rv s="1">
    <v>pt-BR</v>
    <v>a1rgxm</v>
    <v>268435456</v>
    <v>1</v>
    <v>Da plataforma Refinitiv</v>
    <v>0</v>
    <v>1</v>
    <v>DEXCOM, INC. (XNAS:DXCM)</v>
    <v>3</v>
    <v>4</v>
    <v>Finance</v>
    <v>5</v>
    <v>141.25</v>
    <v>57.52</v>
    <v>XNAS</v>
    <v>392107500</v>
    <v>67.659899999999993</v>
    <v>1999</v>
    <v>64.989999999999995</v>
    <v>1.3985000000000001</v>
    <v>Nasdaq Stock Market</v>
    <v>26063385525</v>
    <v>DexCom, Inc. É uma empresa de dispositivos médicos. A empresa está focada principalmente na conceção, desenvolvimento e comercialização de monitoramento contínuo de glicose (CGM), sistemas para o gerenciamento de diabetes e saúde metabólica por pacientes, cuidadores e clínicos. Seus produtos incluem Dexcom G6, Dexcom G7, Stelo, Dexcom Share e Dexcom ONE. A empresa permite que as pessoas tomem o controle da saúde por meio de tecnologia inovadora de biossensoriamento. O Dexcom G6 é o seu sistema integrado de monitorização contínua da glicose (iCGM). O STELO foi projetado especificamente para pessoas com diabetes tipo II que não usam insulina como o primeiro biossensor de glicose sem receita médica nos Estados Unidos. O sistema de monitoramento remoto Dexcom Share, oferecido para uso com qualquer sistema Dexcom, usa um aplicativo no dispositivo móvel compatível do paciente. Seu Dexcom G7 é para adultos e crianças (mais de 2 anos) que vivem com diabetes tipo I ou tipo II que estão em qualquer insulina ou medicamentos, em risco de hipoglicemia, e aqueles com diabetes gestacional.</v>
    <v>XNAS</v>
    <v>67.3</v>
    <v>10300</v>
    <v>45758.750612858596</v>
    <v>0</v>
    <v>4949879</v>
    <v>USD</v>
    <v>DEXCOM, INC.</v>
    <v>DEXCOM, INC.</v>
    <v>47.694699999999997</v>
    <v>67.23</v>
    <v>66.47</v>
    <v>6340 Sequence Dr, SAN DIEGO, CA, 92121 US</v>
    <v>Healthcare Equipment &amp; Supplies</v>
    <v>DXCM</v>
    <v>Ações</v>
    <v>DEXCOM, INC. (XNAS:DXCM)</v>
    <v>-0.83</v>
    <v>-1.2333E-2</v>
    <v>1971434</v>
  </rv>
  <rv s="2">
    <v>1</v>
  </rv>
  <rv s="3">
    <v>0</v>
    <v>5</v>
  </rv>
  <rv s="3">
    <v>1</v>
    <v>5</v>
  </rv>
</rvData>
</file>

<file path=xl/richData/rdrichvaluestructure.xml><?xml version="1.0" encoding="utf-8"?>
<rvStructures xmlns="http://schemas.microsoft.com/office/spreadsheetml/2017/richdata" count="4">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
    <k n="%cvi" t="r"/>
  </s>
  <s t="_localImage">
    <k n="_rvRel:LocalImageIdentifier" t="i"/>
    <k n="CalcOrigin" t="i"/>
  </s>
</rvStructures>
</file>

<file path=xl/richData/rdsupportingpropertybag.xml><?xml version="1.0" encoding="utf-8"?>
<supportingPropertyBags xmlns="http://schemas.microsoft.com/office/spreadsheetml/2017/richdata2">
  <spbArrays count="1">
    <a count="43">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spbArrays>
  <spbData count="6">
    <spb s="0">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0</v>
      <v>Name</v>
      <v>LearnMoreOnLink</v>
    </spb>
    <spb s="2">
      <v>0</v>
      <v>0</v>
      <v>0</v>
    </spb>
    <spb s="3">
      <v>2</v>
      <v>2</v>
      <v>2</v>
      <v>2</v>
    </spb>
    <spb s="4">
      <v>1</v>
      <v>2</v>
      <v>1</v>
      <v>3</v>
      <v>2</v>
      <v>2</v>
      <v>4</v>
      <v>2</v>
      <v>2</v>
      <v>4</v>
      <v>5</v>
      <v>4</v>
      <v>6</v>
      <v>2</v>
      <v>2</v>
      <v>7</v>
      <v>4</v>
      <v>2</v>
      <v>8</v>
      <v>9</v>
    </spb>
    <spb s="5">
      <v>Tempo Real Nasdaq Última venda</v>
      <v xml:space="preserve">do fechamento anterior </v>
      <v>Origem : Nasdaq Última venda</v>
      <v xml:space="preserve">do fechamento anterior </v>
      <v>GMT</v>
    </spb>
  </spbData>
</supportingPropertyBags>
</file>

<file path=xl/richData/rdsupportingpropertybagstructure.xml><?xml version="1.0" encoding="utf-8"?>
<spbStructures xmlns="http://schemas.microsoft.com/office/spreadsheetml/2017/richdata2" count="6">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Order" t="spba"/>
    <k n="TitleProperty" t="s"/>
    <k n="SubTitleProperty" t="s"/>
  </s>
  <s>
    <k n="ShowInCardView" t="b"/>
    <k n="ShowInDotNotation" t="b"/>
    <k n="ShowInAutoComplete" t="b"/>
  </s>
  <s>
    <k n="ExchangeID" t="spb"/>
    <k n="UniqueName" t="spb"/>
    <k n="`%ProviderInfo" t="spb"/>
    <k n="LearnMoreOnLink" t="spb"/>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ExchangeID" t="s"/>
    <k n="Variação (%)" t="s"/>
    <k n="Hora da última transação"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ichProperties>
  <richStyles>
    <rSty dxfid="5">
      <rpv i="0">#,##0.00</rpv>
    </rSty>
    <rSty dxfid="1">
      <rpv i="0">_([$$-en-US]* #,##0.00_);_([$$-en-US]* (#,##0.00);_([$$-en-US]* "-"??_);_(@_)</rpv>
    </rSty>
    <rSty>
      <rpv i="1">1</rpv>
    </rSty>
    <rSty dxfid="4">
      <rpv i="0">#,##0</rpv>
    </rSty>
    <rSty dxfid="3"/>
    <rSty dxfid="0">
      <rpv i="0">0.00</rpv>
    </rSty>
    <rSty dxfid="6">
      <rpv i="0">0</rpv>
    </rSty>
    <rSty dxfid="1">
      <rpv i="0">_([$$-en-US]* #,##0_);_([$$-en-US]* (#,##0);_([$$-en-US]* "-"_);_(@_)</rpv>
    </rSty>
    <rSty dxfid="2"/>
  </richStyles>
</richStyleSheet>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acrumors.com/guide/covid-19-coronavirus/" TargetMode="External"/><Relationship Id="rId2" Type="http://schemas.openxmlformats.org/officeDocument/2006/relationships/hyperlink" Target="https://glg.it/articles/how-might-the-wuhan-coronavirus-impact-apples-supply-chain/" TargetMode="External"/><Relationship Id="rId1" Type="http://schemas.openxmlformats.org/officeDocument/2006/relationships/hyperlink" Target="https://www.apple.com/newsroom/2020/03/apples-covid-19-response/" TargetMode="External"/><Relationship Id="rId5" Type="http://schemas.openxmlformats.org/officeDocument/2006/relationships/drawing" Target="../drawings/drawing1.xml"/><Relationship Id="rId4" Type="http://schemas.openxmlformats.org/officeDocument/2006/relationships/hyperlink" Target="https://www.cnbc.com/2020/02/18/the-significance-of-apples-coronavirus-warning.html"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hyperlink" Target="mailto:VPN*@i%25"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sheetPr>
  <dimension ref="A1:N24"/>
  <sheetViews>
    <sheetView showGridLines="0" workbookViewId="0">
      <selection activeCell="A24" sqref="A24"/>
    </sheetView>
  </sheetViews>
  <sheetFormatPr defaultColWidth="11.44140625" defaultRowHeight="13.2" x14ac:dyDescent="0.25"/>
  <sheetData>
    <row r="1" spans="1:14" x14ac:dyDescent="0.25">
      <c r="A1" s="188" t="s">
        <v>188</v>
      </c>
      <c r="G1" s="188" t="s">
        <v>189</v>
      </c>
      <c r="N1" s="188" t="s">
        <v>190</v>
      </c>
    </row>
    <row r="2" spans="1:14" x14ac:dyDescent="0.25">
      <c r="A2" s="110" t="s">
        <v>191</v>
      </c>
      <c r="G2" s="110" t="s">
        <v>192</v>
      </c>
      <c r="N2" s="110" t="s">
        <v>193</v>
      </c>
    </row>
    <row r="23" spans="1:1" x14ac:dyDescent="0.25">
      <c r="A23" s="110" t="s">
        <v>194</v>
      </c>
    </row>
    <row r="24" spans="1:1" x14ac:dyDescent="0.25">
      <c r="A24" s="188" t="s">
        <v>195</v>
      </c>
    </row>
  </sheetData>
  <hyperlinks>
    <hyperlink ref="A1" r:id="rId1" xr:uid="{00000000-0004-0000-0000-000000000000}"/>
    <hyperlink ref="G1" r:id="rId2" xr:uid="{00000000-0004-0000-0000-000001000000}"/>
    <hyperlink ref="A24" r:id="rId3" xr:uid="{00000000-0004-0000-0000-000002000000}"/>
    <hyperlink ref="N1" r:id="rId4" xr:uid="{00000000-0004-0000-0000-000003000000}"/>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tabColor rgb="FF002060"/>
    <pageSetUpPr fitToPage="1"/>
  </sheetPr>
  <dimension ref="A1:BT58"/>
  <sheetViews>
    <sheetView showGridLines="0" zoomScaleNormal="100" workbookViewId="0">
      <selection activeCell="O48" sqref="O48"/>
    </sheetView>
  </sheetViews>
  <sheetFormatPr defaultColWidth="11.44140625" defaultRowHeight="13.2" x14ac:dyDescent="0.25"/>
  <cols>
    <col min="1" max="1" width="0.6640625" customWidth="1"/>
    <col min="2" max="2" width="19.109375" customWidth="1"/>
    <col min="3" max="3" width="29.6640625" customWidth="1"/>
    <col min="4" max="4" width="23.33203125" customWidth="1"/>
    <col min="5" max="5" width="15.6640625" customWidth="1"/>
    <col min="6" max="6" width="13.6640625" customWidth="1"/>
    <col min="7" max="7" width="14.44140625" customWidth="1"/>
    <col min="8" max="8" width="20.44140625" customWidth="1"/>
    <col min="9" max="9" width="17.6640625" customWidth="1"/>
    <col min="10" max="10" width="24.44140625" customWidth="1"/>
    <col min="11" max="11" width="20.109375" customWidth="1"/>
    <col min="12" max="12" width="16.33203125" bestFit="1" customWidth="1"/>
    <col min="13" max="13" width="1" customWidth="1"/>
    <col min="14" max="14" width="7.6640625" style="19" customWidth="1"/>
    <col min="15" max="15" width="15.44140625" style="153" bestFit="1" customWidth="1"/>
    <col min="16" max="16" width="11.44140625" style="19"/>
    <col min="21" max="30" width="11.44140625" style="11" customWidth="1"/>
  </cols>
  <sheetData>
    <row r="1" spans="2:17" ht="3.75" customHeight="1" thickBot="1" x14ac:dyDescent="0.3"/>
    <row r="2" spans="2:17" ht="39.6" customHeight="1" x14ac:dyDescent="0.25">
      <c r="B2" s="393">
        <v>45712</v>
      </c>
      <c r="C2" s="109" t="s">
        <v>261</v>
      </c>
      <c r="D2" s="106" t="s">
        <v>450</v>
      </c>
      <c r="E2" s="549" t="e" vm="1">
        <v>#VALUE!</v>
      </c>
      <c r="F2" s="550"/>
      <c r="G2" s="550"/>
      <c r="H2" s="550"/>
      <c r="I2" s="550"/>
      <c r="J2" s="551"/>
      <c r="K2" s="105" t="str" cm="1">
        <f t="array" aca="1" ref="K2" ca="1">_FV(E2,"Bolsa")</f>
        <v>Nasdaq Stock Market</v>
      </c>
      <c r="L2" s="131" t="s">
        <v>174</v>
      </c>
    </row>
    <row r="3" spans="2:17" ht="58.95" customHeight="1" x14ac:dyDescent="0.25">
      <c r="B3" s="557" t="e" vm="2">
        <v>#VALUE!</v>
      </c>
      <c r="C3" s="558"/>
      <c r="D3" s="559" t="s">
        <v>449</v>
      </c>
      <c r="E3" s="552"/>
      <c r="F3" s="552"/>
      <c r="G3" s="552"/>
      <c r="H3" s="552"/>
      <c r="I3" s="552"/>
      <c r="J3" s="552"/>
      <c r="K3" s="552"/>
      <c r="L3" s="553"/>
      <c r="O3" s="19"/>
    </row>
    <row r="4" spans="2:17" ht="84.6" customHeight="1" x14ac:dyDescent="0.25">
      <c r="B4" s="557"/>
      <c r="C4" s="558"/>
      <c r="D4" s="552" t="s">
        <v>447</v>
      </c>
      <c r="E4" s="552"/>
      <c r="F4" s="552"/>
      <c r="G4" s="552"/>
      <c r="H4" s="552"/>
      <c r="I4" s="552"/>
      <c r="J4" s="552"/>
      <c r="K4" s="552"/>
      <c r="L4" s="553"/>
    </row>
    <row r="5" spans="2:17" ht="15.6" customHeight="1" x14ac:dyDescent="0.25">
      <c r="B5" s="554" t="s">
        <v>181</v>
      </c>
      <c r="C5" s="555"/>
      <c r="D5" s="552"/>
      <c r="E5" s="552"/>
      <c r="F5" s="552"/>
      <c r="G5" s="552"/>
      <c r="H5" s="552"/>
      <c r="I5" s="552"/>
      <c r="J5" s="552"/>
      <c r="K5" s="552"/>
      <c r="L5" s="553"/>
      <c r="N5" s="144"/>
    </row>
    <row r="6" spans="2:17" x14ac:dyDescent="0.25">
      <c r="B6" s="560" t="s">
        <v>104</v>
      </c>
      <c r="C6" s="533"/>
      <c r="D6" s="533" t="s">
        <v>170</v>
      </c>
      <c r="E6" s="533"/>
      <c r="F6" s="533" t="str">
        <f>Segments!B2</f>
        <v>Regions (2023)</v>
      </c>
      <c r="G6" s="533"/>
      <c r="H6" s="533"/>
      <c r="I6" s="533" t="s">
        <v>360</v>
      </c>
      <c r="J6" s="533"/>
      <c r="K6" s="533" t="s">
        <v>113</v>
      </c>
      <c r="L6" s="534"/>
    </row>
    <row r="7" spans="2:17" x14ac:dyDescent="0.25">
      <c r="B7" s="117" t="s">
        <v>35</v>
      </c>
      <c r="C7" s="115" cm="1">
        <f t="array" aca="1" ref="C7" ca="1">_FV(E2,"Preço")</f>
        <v>66.47</v>
      </c>
      <c r="D7" s="118" t="s">
        <v>150</v>
      </c>
      <c r="E7" s="107">
        <f>Cifras_en_Millones!C45</f>
        <v>6264.5</v>
      </c>
      <c r="F7" s="546"/>
      <c r="G7" s="547"/>
      <c r="H7" s="103" t="s">
        <v>183</v>
      </c>
      <c r="I7" s="113" t="s">
        <v>115</v>
      </c>
      <c r="J7" s="139">
        <v>44926</v>
      </c>
      <c r="K7" s="113" t="s">
        <v>26</v>
      </c>
      <c r="L7" s="142">
        <f ca="1">387900000/C8</f>
        <v>0.98926952430137138</v>
      </c>
      <c r="Q7" s="110"/>
    </row>
    <row r="8" spans="2:17" ht="12.75" customHeight="1" x14ac:dyDescent="0.25">
      <c r="B8" s="117" t="s">
        <v>28</v>
      </c>
      <c r="C8" s="381" cm="1">
        <f t="array" aca="1" ref="C8" ca="1">_FV(E2,"Ações em circulação",TRUE)</f>
        <v>392107500</v>
      </c>
      <c r="D8" s="113" t="s">
        <v>151</v>
      </c>
      <c r="E8" s="107">
        <f>Cifras_en_Millones!C57</f>
        <v>4195.8999999999996</v>
      </c>
      <c r="F8" s="151" t="str">
        <f>Segments!B4</f>
        <v>U.S.</v>
      </c>
      <c r="G8" s="152"/>
      <c r="H8" s="124" t="str">
        <f>+Segments!J4</f>
        <v>72%; N/A; 10%</v>
      </c>
      <c r="I8" s="113"/>
      <c r="J8" s="110"/>
      <c r="K8" s="113" t="s">
        <v>2</v>
      </c>
      <c r="L8" s="434">
        <v>1.09E-2</v>
      </c>
      <c r="M8" s="11"/>
      <c r="O8" s="129"/>
      <c r="Q8" s="110"/>
    </row>
    <row r="9" spans="2:17" ht="12.75" customHeight="1" x14ac:dyDescent="0.25">
      <c r="B9" s="117" t="s">
        <v>29</v>
      </c>
      <c r="C9" s="107">
        <f ca="1">C7*C8/1000000</f>
        <v>26063.385525000002</v>
      </c>
      <c r="D9" s="113" t="s">
        <v>37</v>
      </c>
      <c r="E9" s="115">
        <f ca="1">1000000*C11/C8</f>
        <v>6.5782980432661962</v>
      </c>
      <c r="F9" s="151" t="str">
        <f>Segments!B5</f>
        <v>International</v>
      </c>
      <c r="G9" s="152"/>
      <c r="H9" s="124" t="str">
        <f>+Segments!J5</f>
        <v>28%; N/A; 15%</v>
      </c>
      <c r="I9" s="113" t="s">
        <v>3</v>
      </c>
      <c r="J9" s="107">
        <v>391.2</v>
      </c>
      <c r="K9" s="75" t="s">
        <v>266</v>
      </c>
      <c r="L9" s="473" cm="1">
        <f t="array" aca="1" ref="L9" ca="1">_FV(E2,"Beta")</f>
        <v>1.3985000000000001</v>
      </c>
      <c r="O9" s="129"/>
      <c r="Q9" s="110"/>
    </row>
    <row r="10" spans="2:17" ht="12.75" customHeight="1" x14ac:dyDescent="0.25">
      <c r="B10" s="119" t="s">
        <v>36</v>
      </c>
      <c r="C10" s="107">
        <v>2587.4</v>
      </c>
      <c r="D10" s="113" t="s">
        <v>63</v>
      </c>
      <c r="E10" s="140">
        <f>Cifras_en_Millones!C19/Cifras_en_Millones!C14</f>
        <v>-6.959023539668701</v>
      </c>
      <c r="F10" s="151" t="e">
        <f>Segments!#REF!</f>
        <v>#REF!</v>
      </c>
      <c r="G10" s="152"/>
      <c r="H10" s="124" t="e">
        <f>+Segments!#REF!</f>
        <v>#REF!</v>
      </c>
      <c r="I10" s="120" t="s">
        <v>4</v>
      </c>
      <c r="J10" s="107">
        <f>Cifras_Originales!C11</f>
        <v>172.3</v>
      </c>
      <c r="K10" s="113" t="s">
        <v>16</v>
      </c>
      <c r="L10" s="141" t="s">
        <v>435</v>
      </c>
      <c r="O10" s="129"/>
      <c r="Q10" s="110"/>
    </row>
    <row r="11" spans="2:17" ht="12.75" customHeight="1" x14ac:dyDescent="0.25">
      <c r="B11" s="119" t="s">
        <v>48</v>
      </c>
      <c r="C11" s="107">
        <v>2579.4</v>
      </c>
      <c r="D11" s="113" t="s">
        <v>68</v>
      </c>
      <c r="E11" s="147">
        <f>OP!C10/Cifras_en_Millones!C19</f>
        <v>3.2415434728138313</v>
      </c>
      <c r="F11" s="151" t="e">
        <f>Segments!#REF!</f>
        <v>#REF!</v>
      </c>
      <c r="G11" s="152"/>
      <c r="H11" s="124" t="e">
        <f>+Segments!#REF!</f>
        <v>#REF!</v>
      </c>
      <c r="I11" s="120" t="s">
        <v>5</v>
      </c>
      <c r="J11" s="107">
        <f>J9+J10</f>
        <v>563.5</v>
      </c>
      <c r="K11" s="113" t="s">
        <v>7</v>
      </c>
      <c r="L11" s="160">
        <f ca="1">((C7*C8)/1000000)/(E7-E8)</f>
        <v>12.599528920525959</v>
      </c>
      <c r="Q11" s="110"/>
    </row>
    <row r="12" spans="2:17" ht="12.75" customHeight="1" x14ac:dyDescent="0.25">
      <c r="B12" s="119" t="s">
        <v>47</v>
      </c>
      <c r="C12" s="107">
        <f ca="1">C9+C10-C11</f>
        <v>26071.385525000002</v>
      </c>
      <c r="D12" s="113" t="s">
        <v>50</v>
      </c>
      <c r="E12" s="114">
        <f>Cifras_en_Millones!C44/Cifras_en_Millones!C45</f>
        <v>0.13127943171841322</v>
      </c>
      <c r="F12" s="151" t="e">
        <f>Segments!#REF!</f>
        <v>#REF!</v>
      </c>
      <c r="G12" s="152"/>
      <c r="H12" s="124" t="e">
        <f>+Segments!#REF!</f>
        <v>#REF!</v>
      </c>
      <c r="I12" s="113" t="s">
        <v>41</v>
      </c>
      <c r="J12" s="121">
        <f>Cifras_Originales!C16</f>
        <v>341.2</v>
      </c>
      <c r="K12" s="113" t="s">
        <v>46</v>
      </c>
      <c r="L12" s="164">
        <f>J18/E7</f>
        <v>-6.1755394152233474E-2</v>
      </c>
      <c r="Q12" s="110"/>
    </row>
    <row r="13" spans="2:17" ht="12.75" customHeight="1" x14ac:dyDescent="0.25">
      <c r="B13" s="119" t="s">
        <v>163</v>
      </c>
      <c r="C13" s="382" t="s">
        <v>435</v>
      </c>
      <c r="D13" s="113" t="s">
        <v>6</v>
      </c>
      <c r="E13" s="108">
        <f>C10/E7</f>
        <v>0.41302578018995934</v>
      </c>
      <c r="F13" s="533" t="str">
        <f>Segments!B7</f>
        <v>Products (2023)</v>
      </c>
      <c r="G13" s="533"/>
      <c r="H13" s="533"/>
      <c r="I13" s="113" t="s">
        <v>42</v>
      </c>
      <c r="J13" s="115">
        <f ca="1">1000000*J12/C8</f>
        <v>0.87016953258991481</v>
      </c>
      <c r="K13" s="113" t="s">
        <v>24</v>
      </c>
      <c r="L13" s="161">
        <f ca="1">C9/J17</f>
        <v>59.05377937011442</v>
      </c>
      <c r="N13" s="19">
        <f>C10/J11</f>
        <v>4.5916592724046144</v>
      </c>
      <c r="Q13" s="110"/>
    </row>
    <row r="14" spans="2:17" ht="12.75" customHeight="1" x14ac:dyDescent="0.25">
      <c r="B14" s="117" t="s">
        <v>140</v>
      </c>
      <c r="C14" s="138" t="s">
        <v>435</v>
      </c>
      <c r="D14" s="113" t="s">
        <v>55</v>
      </c>
      <c r="E14" s="124">
        <f>AVERAGE(Cifras_en_Millones!C11/Cifras_en_Millones!C5,Cifras_en_Millones!D11/Cifras_en_Millones!D5,Cifras_en_Millones!E11/Cifras_en_Millones!E5)</f>
        <v>0.13600908454191604</v>
      </c>
      <c r="G14" s="152"/>
      <c r="H14" s="103" t="s">
        <v>184</v>
      </c>
      <c r="I14" s="113" t="s">
        <v>56</v>
      </c>
      <c r="J14" s="433">
        <f>J12/E7</f>
        <v>5.4465639715859201E-2</v>
      </c>
      <c r="K14" s="113" t="s">
        <v>49</v>
      </c>
      <c r="L14" s="162">
        <f ca="1">C12/E7</f>
        <v>4.1617663859845164</v>
      </c>
      <c r="Q14" s="110"/>
    </row>
    <row r="15" spans="2:17" ht="12.75" customHeight="1" x14ac:dyDescent="0.25">
      <c r="B15" s="117" t="s">
        <v>137</v>
      </c>
      <c r="C15" s="383">
        <v>2.52E-2</v>
      </c>
      <c r="D15" s="113" t="s">
        <v>38</v>
      </c>
      <c r="E15" s="108">
        <f>AVERAGE(Cifras_en_Millones!C23/C37,Cifras_en_Millones!E23/C35)</f>
        <v>0.11903775148733653</v>
      </c>
      <c r="F15" s="151" t="str">
        <f>Segments!B9</f>
        <v>Sensor</v>
      </c>
      <c r="G15" s="152"/>
      <c r="H15" s="276" t="str">
        <f>+Segments!J9</f>
        <v>95%; N/A; 11%</v>
      </c>
      <c r="I15" s="113" t="s">
        <v>129</v>
      </c>
      <c r="J15" s="433">
        <f>J12/(E7-(E8-C10))</f>
        <v>7.3281786941580759E-2</v>
      </c>
      <c r="K15" s="113" t="s">
        <v>51</v>
      </c>
      <c r="L15" s="163">
        <f ca="1">C12/J16</f>
        <v>57.203361789658452</v>
      </c>
      <c r="Q15" s="110"/>
    </row>
    <row r="16" spans="2:17" ht="12.75" customHeight="1" x14ac:dyDescent="0.25">
      <c r="B16" s="560" t="s">
        <v>128</v>
      </c>
      <c r="C16" s="533"/>
      <c r="D16" s="113" t="s">
        <v>39</v>
      </c>
      <c r="E16" s="108">
        <f>AVERAGE(Cifras_en_Millones!C19/C37,Cifras_en_Millones!D19/C36,Cifras_en_Millones!E19/C35)</f>
        <v>0.19227056278349786</v>
      </c>
      <c r="F16" s="151" t="str">
        <f>Segments!B10</f>
        <v>Hardware</v>
      </c>
      <c r="G16" s="152"/>
      <c r="H16" s="276" t="str">
        <f>+Segments!J10</f>
        <v>5%; N/A; -43%</v>
      </c>
      <c r="I16" s="113" t="s">
        <v>59</v>
      </c>
      <c r="J16" s="116">
        <f>AVERAGE(Cifras_en_Millones!B19:D19)</f>
        <v>455.76666666666671</v>
      </c>
      <c r="K16" s="113" t="s">
        <v>25</v>
      </c>
      <c r="L16" s="161">
        <f ca="1">C9/J18</f>
        <v>-67.370460602274704</v>
      </c>
      <c r="N16" s="125"/>
      <c r="Q16" s="110"/>
    </row>
    <row r="17" spans="1:72" ht="12.75" customHeight="1" x14ac:dyDescent="0.25">
      <c r="B17" s="80" t="s">
        <v>125</v>
      </c>
      <c r="C17" s="467"/>
      <c r="D17" s="113" t="s">
        <v>60</v>
      </c>
      <c r="E17" s="108">
        <f>Cifras_en_Millones!C14/AVERAGE(Cifras_en_Millones!C59:M59)</f>
        <v>0.52808471454880301</v>
      </c>
      <c r="F17" s="151" t="e">
        <f>Segments!#REF!</f>
        <v>#REF!</v>
      </c>
      <c r="G17" s="152"/>
      <c r="H17" s="276" t="e">
        <f>+Segments!#REF!</f>
        <v>#REF!</v>
      </c>
      <c r="I17" s="113" t="s">
        <v>40</v>
      </c>
      <c r="J17" s="107">
        <f>AVERAGE(Cifras_en_Millones!B23:D23)</f>
        <v>441.35</v>
      </c>
      <c r="K17" s="113" t="s">
        <v>362</v>
      </c>
      <c r="L17" s="150" t="s">
        <v>361</v>
      </c>
      <c r="N17" s="19">
        <v>12</v>
      </c>
      <c r="Q17" s="110"/>
    </row>
    <row r="18" spans="1:72" ht="12.75" customHeight="1" x14ac:dyDescent="0.25">
      <c r="B18" s="80" t="s">
        <v>126</v>
      </c>
      <c r="C18" s="468"/>
      <c r="D18" s="113"/>
      <c r="E18" s="155"/>
      <c r="F18" s="151" t="e">
        <f>Segments!#REF!</f>
        <v>#REF!</v>
      </c>
      <c r="G18" s="159"/>
      <c r="H18" s="276" t="e">
        <f>+Segments!#REF!</f>
        <v>#REF!</v>
      </c>
      <c r="I18" s="113" t="s">
        <v>121</v>
      </c>
      <c r="J18" s="107">
        <f>SUM(F35:F37)/3</f>
        <v>-386.86666666666662</v>
      </c>
      <c r="K18" s="113" t="s">
        <v>52</v>
      </c>
      <c r="L18" s="187">
        <f ca="1">SUM(E35:E37)/(3*C9)</f>
        <v>-1.5053045697267809E-2</v>
      </c>
      <c r="Q18" s="110"/>
    </row>
    <row r="19" spans="1:72" ht="12.75" customHeight="1" x14ac:dyDescent="0.25">
      <c r="B19" s="80" t="s">
        <v>127</v>
      </c>
      <c r="C19" s="468"/>
      <c r="D19" s="240" t="s">
        <v>263</v>
      </c>
      <c r="E19" s="3"/>
      <c r="F19" s="151" t="e">
        <f>Segments!#REF!</f>
        <v>#REF!</v>
      </c>
      <c r="G19" s="159"/>
      <c r="H19" s="276" t="e">
        <f>+Segments!#REF!</f>
        <v>#REF!</v>
      </c>
      <c r="I19" s="113" t="s">
        <v>176</v>
      </c>
      <c r="J19" s="114">
        <v>0.16</v>
      </c>
      <c r="K19" s="113" t="s">
        <v>66</v>
      </c>
      <c r="L19" s="187">
        <f ca="1">K33/C9</f>
        <v>0</v>
      </c>
      <c r="Q19" s="110"/>
      <c r="R19" s="19"/>
    </row>
    <row r="20" spans="1:72" ht="13.8" x14ac:dyDescent="0.25">
      <c r="B20" s="96" t="s">
        <v>45</v>
      </c>
      <c r="C20" s="97"/>
      <c r="D20" s="97"/>
      <c r="E20" s="97"/>
      <c r="F20" s="97"/>
      <c r="G20" s="97"/>
      <c r="H20" s="98" t="s">
        <v>154</v>
      </c>
      <c r="I20" s="548" t="s">
        <v>61</v>
      </c>
      <c r="J20" s="548"/>
      <c r="K20" s="548"/>
      <c r="L20" s="81" t="s">
        <v>62</v>
      </c>
      <c r="M20" s="18"/>
      <c r="N20" s="126"/>
      <c r="O20" s="154"/>
      <c r="P20" s="127"/>
      <c r="Q20" s="18"/>
      <c r="R20" s="18"/>
    </row>
    <row r="21" spans="1:72" ht="35.25" customHeight="1" x14ac:dyDescent="0.25">
      <c r="A21" s="110"/>
      <c r="B21" s="538" t="s">
        <v>454</v>
      </c>
      <c r="C21" s="539"/>
      <c r="D21" s="539"/>
      <c r="E21" s="539"/>
      <c r="F21" s="539"/>
      <c r="G21" s="540"/>
      <c r="H21" s="544" t="s">
        <v>159</v>
      </c>
      <c r="I21" s="511" t="s">
        <v>173</v>
      </c>
      <c r="J21" s="512"/>
      <c r="K21" s="513"/>
      <c r="L21" s="530">
        <f ca="1">DCFF!D66</f>
        <v>58.260765193317276</v>
      </c>
      <c r="M21" s="18"/>
      <c r="N21" s="127"/>
      <c r="O21" s="154"/>
      <c r="P21" s="127"/>
      <c r="Q21" s="18"/>
      <c r="R21" s="18"/>
    </row>
    <row r="22" spans="1:72" ht="35.25" customHeight="1" x14ac:dyDescent="0.25">
      <c r="B22" s="541"/>
      <c r="C22" s="542"/>
      <c r="D22" s="542"/>
      <c r="E22" s="542"/>
      <c r="F22" s="542"/>
      <c r="G22" s="543"/>
      <c r="H22" s="545"/>
      <c r="I22" s="514"/>
      <c r="J22" s="515"/>
      <c r="K22" s="516"/>
      <c r="L22" s="530"/>
      <c r="M22" s="18"/>
      <c r="N22" s="127"/>
      <c r="O22" s="154"/>
      <c r="P22" s="127"/>
      <c r="Q22" s="18"/>
      <c r="R22" s="18"/>
    </row>
    <row r="23" spans="1:72" x14ac:dyDescent="0.25">
      <c r="B23" s="523" t="s">
        <v>103</v>
      </c>
      <c r="C23" s="524"/>
      <c r="D23" s="524"/>
      <c r="E23" s="524"/>
      <c r="F23" s="524"/>
      <c r="G23" s="525"/>
      <c r="H23" s="76" t="s">
        <v>141</v>
      </c>
      <c r="I23" s="517"/>
      <c r="J23" s="518"/>
      <c r="K23" s="519"/>
      <c r="L23" s="556">
        <f ca="1">DCFF!D65</f>
        <v>-0.12350285552403673</v>
      </c>
      <c r="M23" s="18"/>
      <c r="N23" s="127"/>
      <c r="O23" s="154"/>
      <c r="P23" s="127"/>
      <c r="Q23" s="18"/>
      <c r="R23" s="18"/>
    </row>
    <row r="24" spans="1:72" ht="24.75" customHeight="1" x14ac:dyDescent="0.25">
      <c r="B24" s="561" t="s">
        <v>455</v>
      </c>
      <c r="C24" s="562"/>
      <c r="D24" s="562"/>
      <c r="E24" s="562"/>
      <c r="F24" s="562"/>
      <c r="G24" s="563"/>
      <c r="H24" s="502">
        <f ca="1">+DCFF!D66</f>
        <v>58.260765193317276</v>
      </c>
      <c r="I24" s="100" t="s">
        <v>106</v>
      </c>
      <c r="J24" s="101">
        <f>DCFF!D47</f>
        <v>8.5000000000000006E-2</v>
      </c>
      <c r="K24" s="462" t="s">
        <v>493</v>
      </c>
      <c r="L24" s="556"/>
      <c r="M24" s="18"/>
      <c r="N24" s="127"/>
      <c r="O24" s="154"/>
      <c r="P24" s="127"/>
      <c r="Q24" s="18"/>
      <c r="R24" s="18"/>
    </row>
    <row r="25" spans="1:72" x14ac:dyDescent="0.25">
      <c r="B25" s="82" t="s">
        <v>34</v>
      </c>
      <c r="C25" s="78" t="s">
        <v>0</v>
      </c>
      <c r="D25" s="78" t="s">
        <v>1</v>
      </c>
      <c r="E25" s="78" t="s">
        <v>105</v>
      </c>
      <c r="F25" s="78" t="s">
        <v>12</v>
      </c>
      <c r="G25" s="78" t="s">
        <v>6</v>
      </c>
      <c r="H25" s="78" t="s">
        <v>155</v>
      </c>
      <c r="I25" s="78" t="s">
        <v>156</v>
      </c>
      <c r="J25" s="533" t="s">
        <v>30</v>
      </c>
      <c r="K25" s="533"/>
      <c r="L25" s="534"/>
      <c r="N25" s="110"/>
      <c r="Q25" s="17"/>
      <c r="R25" s="17"/>
      <c r="S25" s="20"/>
      <c r="T25" s="20"/>
    </row>
    <row r="26" spans="1:72" x14ac:dyDescent="0.25">
      <c r="B26" s="80">
        <v>2012</v>
      </c>
      <c r="C26" s="417">
        <v>99.9</v>
      </c>
      <c r="D26" s="108">
        <f>Cifras_Originales!M8/C26</f>
        <v>-0.55755755755755754</v>
      </c>
      <c r="E26" s="107">
        <f>Cifras_Originales!M18+Cifras_Originales!M22-81.9</f>
        <v>-29.6</v>
      </c>
      <c r="F26" s="107">
        <f>Cifras_Originales!M18</f>
        <v>3.6</v>
      </c>
      <c r="G26" s="114">
        <f>(Cifras_Originales!M32+Cifras_Originales!M36)/Cifras_Originales!M27</f>
        <v>6.6037735849056603E-2</v>
      </c>
      <c r="H26" s="107">
        <f>Cifras_Originales!M11</f>
        <v>6.6</v>
      </c>
      <c r="I26" s="107">
        <f>Cifras_Originales!M13</f>
        <v>28.4</v>
      </c>
      <c r="J26" s="113"/>
      <c r="K26" s="79">
        <v>2022</v>
      </c>
      <c r="L26" s="83">
        <f>K26-1</f>
        <v>2021</v>
      </c>
      <c r="N26" s="110"/>
      <c r="Q26" s="19"/>
      <c r="R26" s="19"/>
      <c r="S26" s="19"/>
      <c r="T26" s="20"/>
      <c r="W26" s="71"/>
    </row>
    <row r="27" spans="1:72" x14ac:dyDescent="0.25">
      <c r="B27" s="80">
        <f t="shared" ref="B27:B34" si="0">B26+1</f>
        <v>2013</v>
      </c>
      <c r="C27" s="417">
        <v>160</v>
      </c>
      <c r="D27" s="108">
        <f>Cifras_en_Millones!M11/C27</f>
        <v>-0.18062499999999998</v>
      </c>
      <c r="E27" s="107">
        <f>Cifras_Originales!L18</f>
        <v>12</v>
      </c>
      <c r="F27" s="107">
        <f>Cifras_en_Millones!M30</f>
        <v>17.899999999999999</v>
      </c>
      <c r="G27" s="114">
        <f>Cifras_en_Millones!M61</f>
        <v>5.5510204081632653E-2</v>
      </c>
      <c r="H27" s="107">
        <f>Cifras_Originales!L11</f>
        <v>7</v>
      </c>
      <c r="I27" s="107">
        <f>Cifras_en_Millones!M35</f>
        <v>32.700000000000003</v>
      </c>
      <c r="J27" s="113" t="s">
        <v>67</v>
      </c>
      <c r="K27" s="417">
        <f>Cifras_en_Millones!D23</f>
        <v>341.2</v>
      </c>
      <c r="L27" s="469">
        <f>Cifras_en_Millones!E23</f>
        <v>216.9</v>
      </c>
      <c r="N27" s="472">
        <f t="shared" ref="N27:N33" si="1">C27/C26-1</f>
        <v>0.60160160160160148</v>
      </c>
      <c r="O27" s="153">
        <f t="shared" ref="O27:Q34" si="2">D27/D26-1</f>
        <v>-0.67604241472172355</v>
      </c>
      <c r="Q27" s="19"/>
      <c r="R27" s="19"/>
      <c r="S27" s="19"/>
      <c r="T27" s="20"/>
    </row>
    <row r="28" spans="1:72" x14ac:dyDescent="0.25">
      <c r="B28" s="80">
        <f t="shared" si="0"/>
        <v>2014</v>
      </c>
      <c r="C28" s="417">
        <v>259.2</v>
      </c>
      <c r="D28" s="108">
        <f>Cifras_en_Millones!L11/C28</f>
        <v>-8.2947530864197538E-2</v>
      </c>
      <c r="E28" s="107">
        <f>Cifras_Originales!K18</f>
        <v>24</v>
      </c>
      <c r="F28" s="107">
        <f>Cifras_en_Millones!L30</f>
        <v>52.999999999999993</v>
      </c>
      <c r="G28" s="114">
        <f>Cifras_en_Millones!L61</f>
        <v>2.4918743228602384E-2</v>
      </c>
      <c r="H28" s="107">
        <f>Cifras_Originales!K11</f>
        <v>8.4</v>
      </c>
      <c r="I28" s="107">
        <f>Cifras_en_Millones!L35</f>
        <v>5</v>
      </c>
      <c r="J28" s="113" t="s">
        <v>267</v>
      </c>
      <c r="K28" s="417">
        <v>669.5</v>
      </c>
      <c r="L28" s="469">
        <v>442.5</v>
      </c>
      <c r="N28" s="472">
        <f t="shared" si="1"/>
        <v>0.61999999999999988</v>
      </c>
      <c r="O28" s="153">
        <f t="shared" si="2"/>
        <v>-0.5407749156307402</v>
      </c>
      <c r="P28" s="19">
        <f t="shared" si="2"/>
        <v>1</v>
      </c>
      <c r="Q28" s="19">
        <f>F28/F27-1</f>
        <v>1.960893854748603</v>
      </c>
      <c r="R28" s="19">
        <f t="shared" ref="R28:R34" si="3">H28/H27-1</f>
        <v>0.19999999999999996</v>
      </c>
      <c r="S28" s="19">
        <f t="shared" ref="S28:S34" si="4">I28/I27-1</f>
        <v>-0.84709480122324154</v>
      </c>
      <c r="T28" s="19"/>
      <c r="BT28">
        <v>4303</v>
      </c>
    </row>
    <row r="29" spans="1:72" x14ac:dyDescent="0.25">
      <c r="B29" s="80">
        <f t="shared" si="0"/>
        <v>2015</v>
      </c>
      <c r="C29" s="417">
        <v>402</v>
      </c>
      <c r="D29" s="108">
        <f>Cifras_en_Millones!K11/C29</f>
        <v>-0.14203980099502489</v>
      </c>
      <c r="E29" s="107">
        <f>Cifras_Originales!J18</f>
        <v>19.100000000000001</v>
      </c>
      <c r="F29" s="107">
        <f>Cifras_en_Millones!K30</f>
        <v>50.70000000000001</v>
      </c>
      <c r="G29" s="114">
        <f>Cifras_en_Millones!K61</f>
        <v>7.8767123287671222E-3</v>
      </c>
      <c r="H29" s="107">
        <f>Cifras_Originales!J11</f>
        <v>10.8</v>
      </c>
      <c r="I29" s="121">
        <f>Cifras_en_Millones!K35</f>
        <v>-34.700000000000003</v>
      </c>
      <c r="J29" t="s">
        <v>268</v>
      </c>
      <c r="K29" s="417">
        <f>Cifras_en_Millones!D18</f>
        <v>1829.5000000000002</v>
      </c>
      <c r="L29" s="469">
        <f>Cifras_en_Millones!E18</f>
        <v>2963.6000000000004</v>
      </c>
      <c r="M29" s="15"/>
      <c r="N29" s="472">
        <f>C29/C28-1</f>
        <v>0.55092592592592604</v>
      </c>
      <c r="O29" s="153">
        <f t="shared" si="2"/>
        <v>0.71240541478653241</v>
      </c>
      <c r="P29" s="19">
        <f t="shared" si="2"/>
        <v>-0.20416666666666661</v>
      </c>
      <c r="Q29" s="19">
        <f t="shared" si="2"/>
        <v>-4.3396226415093997E-2</v>
      </c>
      <c r="R29" s="19">
        <f t="shared" si="3"/>
        <v>0.28571428571428581</v>
      </c>
      <c r="S29" s="19">
        <f t="shared" si="4"/>
        <v>-7.94</v>
      </c>
      <c r="T29" s="19"/>
      <c r="BT29">
        <v>3066</v>
      </c>
    </row>
    <row r="30" spans="1:72" x14ac:dyDescent="0.25">
      <c r="B30" s="80">
        <f t="shared" si="0"/>
        <v>2016</v>
      </c>
      <c r="C30" s="417">
        <v>573.29999999999995</v>
      </c>
      <c r="D30" s="108">
        <f>Cifras_en_Millones!J11/C30</f>
        <v>-0.11145996860282575</v>
      </c>
      <c r="E30" s="107">
        <f>Cifras_Originales!I18</f>
        <v>10.4</v>
      </c>
      <c r="F30" s="107">
        <f>Cifras_en_Millones!J30</f>
        <v>18.899999999999999</v>
      </c>
      <c r="G30" s="114">
        <f>Cifras_en_Millones!J61</f>
        <v>0</v>
      </c>
      <c r="H30" s="107">
        <f>Cifras_Originales!I11</f>
        <v>15</v>
      </c>
      <c r="I30" s="121">
        <f>Cifras_en_Millones!J35</f>
        <v>-111.6</v>
      </c>
      <c r="J30" s="113" t="s">
        <v>31</v>
      </c>
      <c r="K30" s="417">
        <v>-521.5</v>
      </c>
      <c r="L30" s="469">
        <v>-216.1</v>
      </c>
      <c r="N30" s="472">
        <f t="shared" si="1"/>
        <v>0.42611940298507456</v>
      </c>
      <c r="O30" s="153">
        <f t="shared" si="2"/>
        <v>-0.21529058882073648</v>
      </c>
      <c r="P30" s="19">
        <f t="shared" ref="P30:Q34" si="5">E30/E29-1</f>
        <v>-0.45549738219895286</v>
      </c>
      <c r="Q30" s="19">
        <f t="shared" si="5"/>
        <v>-0.6272189349112427</v>
      </c>
      <c r="R30" s="19">
        <f t="shared" si="3"/>
        <v>0.38888888888888884</v>
      </c>
      <c r="S30" s="19">
        <f t="shared" si="4"/>
        <v>2.2161383285302589</v>
      </c>
      <c r="T30" s="19"/>
      <c r="BT30">
        <v>3283</v>
      </c>
    </row>
    <row r="31" spans="1:72" x14ac:dyDescent="0.25">
      <c r="B31" s="80">
        <f t="shared" si="0"/>
        <v>2017</v>
      </c>
      <c r="C31" s="417">
        <v>718.5</v>
      </c>
      <c r="D31" s="108">
        <f>Cifras_en_Millones!I11/C31</f>
        <v>-5.915100904662491E-2</v>
      </c>
      <c r="E31" s="107">
        <f>Cifras_Originales!H18</f>
        <v>10.1</v>
      </c>
      <c r="F31" s="107">
        <f>Cifras_en_Millones!I30</f>
        <v>435.00000000000006</v>
      </c>
      <c r="G31" s="114">
        <f>Cifras_en_Millones!I61</f>
        <v>0.36234929764406593</v>
      </c>
      <c r="H31" s="107">
        <f>Cifras_Originales!H11</f>
        <v>16.100000000000001</v>
      </c>
      <c r="I31" s="121">
        <f>Cifras_en_Millones!I35</f>
        <v>-210.4</v>
      </c>
      <c r="J31" s="132" t="s">
        <v>117</v>
      </c>
      <c r="K31" s="470">
        <f>Cifras_Originales!C13</f>
        <v>-236.6</v>
      </c>
      <c r="L31" s="471">
        <f>Cifras_Originales!D13</f>
        <v>-389.2</v>
      </c>
      <c r="N31" s="472">
        <f t="shared" si="1"/>
        <v>0.25327053898482488</v>
      </c>
      <c r="O31" s="153">
        <f t="shared" si="2"/>
        <v>-0.469307144187323</v>
      </c>
      <c r="P31" s="19">
        <f t="shared" si="5"/>
        <v>-2.8846153846153966E-2</v>
      </c>
      <c r="Q31" s="19">
        <f t="shared" si="5"/>
        <v>22.015873015873019</v>
      </c>
      <c r="R31" s="19">
        <f t="shared" si="3"/>
        <v>7.3333333333333472E-2</v>
      </c>
      <c r="S31" s="19">
        <f t="shared" si="4"/>
        <v>0.88530465949820814</v>
      </c>
      <c r="T31" s="19"/>
    </row>
    <row r="32" spans="1:72" x14ac:dyDescent="0.25">
      <c r="B32" s="80">
        <f t="shared" si="0"/>
        <v>2018</v>
      </c>
      <c r="C32" s="417">
        <v>1031.5999999999999</v>
      </c>
      <c r="D32" s="108">
        <f>Cifras_en_Millones!H11/C32</f>
        <v>-0.18059325319891434</v>
      </c>
      <c r="E32" s="107">
        <f>Cifras_Originales!G18</f>
        <v>-89.2</v>
      </c>
      <c r="F32" s="107">
        <f>Cifras_en_Millones!H30</f>
        <v>747.79999999999984</v>
      </c>
      <c r="G32" s="165">
        <f>Cifras_en_Millones!H61</f>
        <v>0.52729645093945721</v>
      </c>
      <c r="H32" s="107">
        <f>Cifras_Originales!G11</f>
        <v>29.1</v>
      </c>
      <c r="I32" s="121">
        <f>Cifras_en_Millones!H35</f>
        <v>-206.9</v>
      </c>
      <c r="J32" s="132" t="s">
        <v>118</v>
      </c>
      <c r="K32" s="417">
        <v>-3.9</v>
      </c>
      <c r="L32" s="469">
        <v>-30.2</v>
      </c>
      <c r="M32" s="16"/>
      <c r="N32" s="472">
        <f t="shared" si="1"/>
        <v>0.43576896311760605</v>
      </c>
      <c r="O32" s="153">
        <f t="shared" si="2"/>
        <v>2.0530882923157638</v>
      </c>
      <c r="P32" s="19">
        <f t="shared" si="5"/>
        <v>-9.8316831683168324</v>
      </c>
      <c r="Q32" s="19">
        <f t="shared" si="5"/>
        <v>0.71908045977011437</v>
      </c>
      <c r="R32" s="19">
        <f t="shared" si="3"/>
        <v>0.80745341614906829</v>
      </c>
      <c r="S32" s="19">
        <f t="shared" si="4"/>
        <v>-1.6634980988593173E-2</v>
      </c>
      <c r="T32" s="19"/>
    </row>
    <row r="33" spans="2:72" x14ac:dyDescent="0.25">
      <c r="B33" s="80">
        <f t="shared" si="0"/>
        <v>2019</v>
      </c>
      <c r="C33" s="417">
        <v>1476</v>
      </c>
      <c r="D33" s="108">
        <f>Cifras_en_Millones!G11/C33</f>
        <v>9.6409214092140927E-2</v>
      </c>
      <c r="E33" s="107">
        <f>Cifras_Originales!F18</f>
        <v>11.9</v>
      </c>
      <c r="F33" s="107">
        <f>Cifras_en_Millones!G30</f>
        <v>159.60000000000005</v>
      </c>
      <c r="G33" s="165">
        <f>Cifras_en_Millones!G61</f>
        <v>0.52680584551148224</v>
      </c>
      <c r="H33" s="107">
        <f>Cifras_Originales!F11</f>
        <v>48.7</v>
      </c>
      <c r="I33" s="121">
        <f>Cifras_en_Millones!G35</f>
        <v>-1195.2</v>
      </c>
      <c r="J33" s="118" t="s">
        <v>119</v>
      </c>
      <c r="K33" s="417">
        <v>0</v>
      </c>
      <c r="L33" s="469">
        <v>0</v>
      </c>
      <c r="N33" s="472">
        <f t="shared" si="1"/>
        <v>0.43078712679333098</v>
      </c>
      <c r="O33" s="153">
        <f t="shared" si="2"/>
        <v>-1.5338472638617957</v>
      </c>
      <c r="P33" s="19">
        <f t="shared" si="5"/>
        <v>-1.133408071748879</v>
      </c>
      <c r="Q33" s="19">
        <f t="shared" si="5"/>
        <v>-0.7865739502540785</v>
      </c>
      <c r="R33" s="19">
        <f t="shared" si="3"/>
        <v>0.67353951890034369</v>
      </c>
      <c r="S33" s="19">
        <f t="shared" si="4"/>
        <v>4.7767037216046404</v>
      </c>
      <c r="T33" s="19"/>
    </row>
    <row r="34" spans="2:72" x14ac:dyDescent="0.25">
      <c r="B34" s="80">
        <f t="shared" si="0"/>
        <v>2020</v>
      </c>
      <c r="C34" s="417">
        <v>1926.7</v>
      </c>
      <c r="D34" s="124">
        <f>Cifras_en_Millones!F11/C34</f>
        <v>0.1554471375927752</v>
      </c>
      <c r="E34" s="107">
        <f>Cifras_Originales!E18</f>
        <v>15.3</v>
      </c>
      <c r="F34" s="107">
        <f>Cifras_en_Millones!F30</f>
        <v>1189.6999999999998</v>
      </c>
      <c r="G34" s="166">
        <f>Cifras_en_Millones!F61</f>
        <v>0.47299848502505532</v>
      </c>
      <c r="H34" s="107">
        <f>Cifras_Originales!E11</f>
        <v>67.099999999999994</v>
      </c>
      <c r="I34" s="107">
        <f>Cifras_en_Millones!F35</f>
        <v>-1217</v>
      </c>
      <c r="J34" s="118" t="s">
        <v>120</v>
      </c>
      <c r="K34" s="417">
        <f>Cifras_en_Millones!D29</f>
        <v>-535.20000000000005</v>
      </c>
      <c r="L34" s="469">
        <f>Cifras_en_Millones!E29</f>
        <v>20.3</v>
      </c>
      <c r="N34" s="472">
        <f>C34/C33-1</f>
        <v>0.30535230352303522</v>
      </c>
      <c r="O34" s="153">
        <f t="shared" si="2"/>
        <v>0.6123680610466351</v>
      </c>
      <c r="P34" s="19">
        <f t="shared" si="5"/>
        <v>0.28571428571428581</v>
      </c>
      <c r="Q34" s="19">
        <f t="shared" si="5"/>
        <v>6.4542606516290695</v>
      </c>
      <c r="R34" s="19">
        <f t="shared" si="3"/>
        <v>0.37782340862422981</v>
      </c>
      <c r="S34" s="19">
        <f t="shared" si="4"/>
        <v>1.8239625167336015E-2</v>
      </c>
      <c r="T34" s="19"/>
      <c r="W34" s="71"/>
      <c r="BT34" s="7"/>
    </row>
    <row r="35" spans="2:72" x14ac:dyDescent="0.25">
      <c r="B35" s="80">
        <f t="shared" ref="B35:B37" si="6">B34+1</f>
        <v>2021</v>
      </c>
      <c r="C35" s="417">
        <v>2448.5</v>
      </c>
      <c r="D35" s="124">
        <f>Cifras_en_Millones!E11/C35</f>
        <v>0.10855625893404125</v>
      </c>
      <c r="E35" s="107">
        <f>Cifras_Originales!D18</f>
        <v>20.3</v>
      </c>
      <c r="F35" s="107">
        <f>Cifras_en_Millones!E30</f>
        <v>43.8</v>
      </c>
      <c r="G35" s="166">
        <f>Cifras_en_Millones!E61</f>
        <v>0.4744491516834573</v>
      </c>
      <c r="H35" s="107">
        <f>Cifras_Originales!D11</f>
        <v>120</v>
      </c>
      <c r="I35" s="107">
        <f>Cifras_en_Millones!E35</f>
        <v>-226.2</v>
      </c>
      <c r="J35" s="118" t="s">
        <v>269</v>
      </c>
      <c r="K35" s="417">
        <f>Cifras_en_Millones!D59</f>
        <v>-128.09999999999991</v>
      </c>
      <c r="L35" s="469">
        <f>Cifras_en_Millones!E59</f>
        <v>-390.59999999999991</v>
      </c>
      <c r="N35" s="472">
        <f t="shared" ref="N35:N36" si="7">C35/C34-1</f>
        <v>0.27082576426013394</v>
      </c>
      <c r="O35" s="153">
        <f t="shared" ref="O35:O37" si="8">D35/D34-1</f>
        <v>-0.30165160571546812</v>
      </c>
      <c r="P35" s="19">
        <f t="shared" ref="P35" si="9">E35/E34-1</f>
        <v>0.32679738562091498</v>
      </c>
      <c r="Q35" s="19">
        <f t="shared" ref="Q35" si="10">F35/F34-1</f>
        <v>-0.96318399596536941</v>
      </c>
      <c r="R35" s="19">
        <f t="shared" ref="R35" si="11">H35/H34-1</f>
        <v>0.78837555886736221</v>
      </c>
      <c r="S35" s="19">
        <f t="shared" ref="S35" si="12">I35/I34-1</f>
        <v>-0.81413311421528345</v>
      </c>
      <c r="T35" s="19"/>
      <c r="W35" s="71"/>
      <c r="BT35" s="7"/>
    </row>
    <row r="36" spans="2:72" x14ac:dyDescent="0.25">
      <c r="B36" s="80">
        <f t="shared" si="6"/>
        <v>2022</v>
      </c>
      <c r="C36" s="417">
        <v>2909.8</v>
      </c>
      <c r="D36" s="108">
        <f>Cifras_en_Millones!D11/C36</f>
        <v>0.13444222970650901</v>
      </c>
      <c r="E36" s="107">
        <f>Cifras_Originales!C18</f>
        <v>-535.20000000000005</v>
      </c>
      <c r="F36" s="107">
        <f>Cifras_en_Millones!D30</f>
        <v>-810.2</v>
      </c>
      <c r="G36" s="166">
        <f>Cifras_en_Millones!D61</f>
        <v>0.43179331194243004</v>
      </c>
      <c r="H36" s="107">
        <f>Cifras_Originales!C11</f>
        <v>172.3</v>
      </c>
      <c r="I36" s="107">
        <f>Cifras_en_Millones!D35</f>
        <v>-509.1</v>
      </c>
      <c r="J36" s="118" t="s">
        <v>270</v>
      </c>
      <c r="K36" s="417">
        <v>-17.3</v>
      </c>
      <c r="L36" s="469">
        <v>-9.9</v>
      </c>
      <c r="N36" s="472">
        <f t="shared" si="7"/>
        <v>0.18840106187461725</v>
      </c>
      <c r="O36" s="153">
        <f t="shared" si="8"/>
        <v>0.23845673226631803</v>
      </c>
      <c r="Q36" s="19"/>
      <c r="R36" s="19"/>
      <c r="S36" s="19"/>
      <c r="T36" s="19"/>
      <c r="W36" s="71"/>
      <c r="BT36" s="7"/>
    </row>
    <row r="37" spans="2:72" x14ac:dyDescent="0.25">
      <c r="B37" s="80">
        <f t="shared" si="6"/>
        <v>2023</v>
      </c>
      <c r="C37" s="417">
        <v>3622.3</v>
      </c>
      <c r="D37" s="108">
        <f>Cifras_en_Millones!C11/C37</f>
        <v>0.16500565938768186</v>
      </c>
      <c r="E37" s="107">
        <f>Cifras_Originales!B18</f>
        <v>-662.1</v>
      </c>
      <c r="F37" s="107">
        <f>Cifras_en_Millones!C30</f>
        <v>-394.19999999999993</v>
      </c>
      <c r="G37" s="166">
        <f>Cifras_en_Millones!C61</f>
        <v>0.44108867427568038</v>
      </c>
      <c r="H37" s="107">
        <f>Cifras_Originales!B11</f>
        <v>202.5</v>
      </c>
      <c r="I37" s="107">
        <f>Cifras_en_Millones!C35</f>
        <v>-192</v>
      </c>
      <c r="J37" s="118"/>
      <c r="K37" s="107"/>
      <c r="L37" s="265"/>
      <c r="N37" s="472">
        <f>C37/C36-1</f>
        <v>0.24486218984122621</v>
      </c>
      <c r="O37" s="153">
        <f t="shared" si="8"/>
        <v>0.22733504009784444</v>
      </c>
      <c r="Q37" s="19"/>
      <c r="R37" s="19"/>
      <c r="S37" s="19"/>
      <c r="T37" s="19"/>
      <c r="W37" s="71"/>
      <c r="BT37" s="7"/>
    </row>
    <row r="38" spans="2:72" x14ac:dyDescent="0.25">
      <c r="B38" s="261" t="s">
        <v>414</v>
      </c>
      <c r="C38" s="262">
        <f>DCFF!H6</f>
        <v>4033</v>
      </c>
      <c r="D38" s="277">
        <v>0.16370000000000001</v>
      </c>
      <c r="E38" s="263"/>
      <c r="F38" s="262"/>
      <c r="G38" s="264"/>
      <c r="H38" s="262"/>
      <c r="I38" s="262"/>
      <c r="J38" s="118"/>
      <c r="K38" s="107"/>
      <c r="L38" s="265"/>
      <c r="N38" s="128"/>
      <c r="Q38" s="19"/>
      <c r="R38" s="19"/>
      <c r="S38" s="19"/>
      <c r="T38" s="19"/>
      <c r="W38" s="71"/>
      <c r="BT38" s="7"/>
    </row>
    <row r="39" spans="2:72" x14ac:dyDescent="0.25">
      <c r="B39" s="133" t="s">
        <v>179</v>
      </c>
      <c r="C39" s="108">
        <f>(C37/C32)^(1/5)-1</f>
        <v>0.28556670621112734</v>
      </c>
      <c r="D39" s="108">
        <f>(D37/D26)^(1/11)-1</f>
        <v>-1.8952165511151233</v>
      </c>
      <c r="E39" s="167"/>
      <c r="F39" s="108"/>
      <c r="G39" s="108"/>
      <c r="H39" s="108"/>
      <c r="I39" s="107"/>
      <c r="J39" s="113" t="s">
        <v>122</v>
      </c>
      <c r="K39" s="107">
        <v>0</v>
      </c>
      <c r="L39" s="265">
        <v>0</v>
      </c>
      <c r="N39" s="129"/>
      <c r="Q39" s="19"/>
      <c r="R39" s="19"/>
      <c r="S39" s="19"/>
      <c r="T39" s="19"/>
      <c r="W39" s="69"/>
    </row>
    <row r="40" spans="2:72" x14ac:dyDescent="0.25">
      <c r="B40" s="84" t="s">
        <v>8</v>
      </c>
      <c r="C40" s="108">
        <f>AVERAGE(N27:N37)</f>
        <v>0.39344680717339792</v>
      </c>
      <c r="D40" s="108">
        <f>AVERAGE(O27:O37)</f>
        <v>9.7036006886642417E-3</v>
      </c>
      <c r="F40" s="108"/>
      <c r="G40" s="108"/>
      <c r="H40" s="147"/>
      <c r="I40" s="108"/>
      <c r="J40" s="77" t="s">
        <v>32</v>
      </c>
      <c r="K40" s="266">
        <f>K28+K29+K30+K33+K34+K35+K36+K39</f>
        <v>1296.9000000000001</v>
      </c>
      <c r="L40" s="267">
        <f>L28+L29+L30+L33+L34+L35+L36+L39</f>
        <v>2809.8000000000006</v>
      </c>
      <c r="N40" s="129"/>
      <c r="Q40" s="19"/>
      <c r="R40" s="19"/>
      <c r="S40" s="20"/>
      <c r="T40" s="20"/>
    </row>
    <row r="41" spans="2:72" x14ac:dyDescent="0.25">
      <c r="B41" s="84" t="s">
        <v>20</v>
      </c>
      <c r="C41" s="108">
        <f>STDEV(C26:C37)/AVERAGE(C26:C37)</f>
        <v>0.90544538550386056</v>
      </c>
      <c r="D41" s="108">
        <f>STDEV(D26:D37)/AVERAGE(D26:D37)</f>
        <v>-3.805613965071668</v>
      </c>
      <c r="E41" s="108"/>
      <c r="F41" s="108"/>
      <c r="G41" s="108"/>
      <c r="H41" s="108"/>
      <c r="I41" s="108"/>
      <c r="J41" s="268" t="s">
        <v>33</v>
      </c>
      <c r="K41" s="269">
        <f>SUM(I33:I37)/(C37-C32)</f>
        <v>-1.2890338518547109</v>
      </c>
      <c r="L41" s="270">
        <f>(SUM(I33:I37)-SUM(H33:H37))/(C37-C32)</f>
        <v>-1.5247230478249119</v>
      </c>
      <c r="M41" s="7"/>
      <c r="N41" s="145"/>
      <c r="Q41" s="19"/>
      <c r="R41" s="19"/>
      <c r="S41" s="20"/>
      <c r="T41" s="20"/>
    </row>
    <row r="42" spans="2:72" x14ac:dyDescent="0.25">
      <c r="B42" s="84" t="s">
        <v>27</v>
      </c>
      <c r="C42" s="108">
        <f>C37/C36-1</f>
        <v>0.24486218984122621</v>
      </c>
      <c r="D42" s="108">
        <f>D37/D36-1</f>
        <v>0.22733504009784444</v>
      </c>
      <c r="E42" s="108"/>
      <c r="F42" s="108"/>
      <c r="G42" s="108"/>
      <c r="H42" s="108"/>
      <c r="I42" s="108"/>
      <c r="J42" s="113" t="s">
        <v>124</v>
      </c>
      <c r="K42" s="271">
        <f>K41/E14</f>
        <v>-9.477557004344435</v>
      </c>
      <c r="L42" s="272">
        <f>L41/E14</f>
        <v>-11.210450044276374</v>
      </c>
      <c r="Q42" s="19"/>
      <c r="R42" s="19"/>
      <c r="S42" s="20"/>
      <c r="T42" s="20"/>
    </row>
    <row r="43" spans="2:72" x14ac:dyDescent="0.25">
      <c r="B43" s="523" t="s">
        <v>187</v>
      </c>
      <c r="C43" s="524"/>
      <c r="D43" s="524"/>
      <c r="E43" s="524"/>
      <c r="F43" s="524"/>
      <c r="G43" s="524"/>
      <c r="H43" s="525"/>
      <c r="I43" s="528" t="e" vm="3">
        <v>#VALUE!</v>
      </c>
      <c r="J43" s="528"/>
      <c r="K43" s="528"/>
      <c r="L43" s="529"/>
      <c r="M43" s="18"/>
      <c r="N43" s="127"/>
    </row>
    <row r="44" spans="2:72" ht="66" customHeight="1" x14ac:dyDescent="0.25">
      <c r="B44" s="531" t="s">
        <v>494</v>
      </c>
      <c r="C44" s="532"/>
      <c r="D44" s="532"/>
      <c r="E44" s="532"/>
      <c r="F44" s="532"/>
      <c r="G44" s="532"/>
      <c r="H44" s="532"/>
      <c r="I44" s="528"/>
      <c r="J44" s="528"/>
      <c r="K44" s="528"/>
      <c r="L44" s="529"/>
      <c r="M44" s="18"/>
      <c r="N44" s="127"/>
    </row>
    <row r="45" spans="2:72" x14ac:dyDescent="0.25">
      <c r="B45" s="523" t="s">
        <v>43</v>
      </c>
      <c r="C45" s="524"/>
      <c r="D45" s="524"/>
      <c r="E45" s="524"/>
      <c r="F45" s="524"/>
      <c r="G45" s="524"/>
      <c r="H45" s="525"/>
      <c r="I45" s="528"/>
      <c r="J45" s="528"/>
      <c r="K45" s="528"/>
      <c r="L45" s="529"/>
      <c r="M45" s="18"/>
      <c r="N45" s="127"/>
    </row>
    <row r="46" spans="2:72" ht="58.2" customHeight="1" x14ac:dyDescent="0.25">
      <c r="B46" s="531" t="s">
        <v>452</v>
      </c>
      <c r="C46" s="535"/>
      <c r="D46" s="535"/>
      <c r="E46" s="535"/>
      <c r="F46" s="535"/>
      <c r="G46" s="535"/>
      <c r="H46" s="535"/>
      <c r="I46" s="528"/>
      <c r="J46" s="528"/>
      <c r="K46" s="528"/>
      <c r="L46" s="529"/>
      <c r="M46" s="18"/>
      <c r="N46" s="127"/>
    </row>
    <row r="47" spans="2:72" x14ac:dyDescent="0.25">
      <c r="B47" s="536" t="s">
        <v>44</v>
      </c>
      <c r="C47" s="537"/>
      <c r="D47" s="537"/>
      <c r="E47" s="537"/>
      <c r="F47" s="537"/>
      <c r="G47" s="537"/>
      <c r="H47" s="537"/>
      <c r="I47" s="528"/>
      <c r="J47" s="528"/>
      <c r="K47" s="528"/>
      <c r="L47" s="529"/>
      <c r="M47" s="18"/>
      <c r="N47" s="127"/>
    </row>
    <row r="48" spans="2:72" ht="40.200000000000003" customHeight="1" x14ac:dyDescent="0.25">
      <c r="B48" s="531" t="s">
        <v>453</v>
      </c>
      <c r="C48" s="532"/>
      <c r="D48" s="532"/>
      <c r="E48" s="532"/>
      <c r="F48" s="532"/>
      <c r="G48" s="532"/>
      <c r="H48" s="532"/>
      <c r="I48" s="528"/>
      <c r="J48" s="528"/>
      <c r="K48" s="528"/>
      <c r="L48" s="529"/>
      <c r="M48" s="18"/>
      <c r="N48" s="127"/>
      <c r="O48" s="153" t="s">
        <v>263</v>
      </c>
    </row>
    <row r="49" spans="2:18" x14ac:dyDescent="0.25">
      <c r="B49" s="526" t="s">
        <v>146</v>
      </c>
      <c r="C49" s="527"/>
      <c r="D49" s="527"/>
      <c r="E49" s="527"/>
      <c r="F49" s="527"/>
      <c r="G49" s="527"/>
      <c r="H49" s="527"/>
      <c r="I49" s="528"/>
      <c r="J49" s="528"/>
      <c r="K49" s="528"/>
      <c r="L49" s="529"/>
    </row>
    <row r="50" spans="2:18" ht="13.5" customHeight="1" thickBot="1" x14ac:dyDescent="0.3">
      <c r="B50" s="384" t="s">
        <v>10</v>
      </c>
      <c r="C50" s="385" t="s">
        <v>131</v>
      </c>
      <c r="D50" s="385" t="s">
        <v>130</v>
      </c>
      <c r="E50" s="385" t="s">
        <v>147</v>
      </c>
      <c r="F50" s="385" t="s">
        <v>148</v>
      </c>
      <c r="G50" s="385" t="s">
        <v>103</v>
      </c>
      <c r="H50" s="385" t="s">
        <v>149</v>
      </c>
      <c r="I50" s="520" t="s">
        <v>445</v>
      </c>
      <c r="J50" s="521"/>
      <c r="K50" s="521"/>
      <c r="L50" s="522"/>
    </row>
    <row r="51" spans="2:18" x14ac:dyDescent="0.25">
      <c r="B51" s="22" t="s">
        <v>107</v>
      </c>
      <c r="M51" s="18"/>
      <c r="N51" s="127"/>
      <c r="O51" s="154"/>
      <c r="P51" s="127"/>
      <c r="Q51" s="18"/>
      <c r="R51" s="18"/>
    </row>
    <row r="52" spans="2:18" s="11" customFormat="1" x14ac:dyDescent="0.25">
      <c r="B52" s="68" t="s">
        <v>123</v>
      </c>
      <c r="M52" s="18"/>
      <c r="N52" s="127"/>
      <c r="O52" s="154"/>
      <c r="P52" s="127"/>
      <c r="Q52" s="18"/>
      <c r="R52" s="18"/>
    </row>
    <row r="53" spans="2:18" x14ac:dyDescent="0.25">
      <c r="B53" s="110" t="s">
        <v>448</v>
      </c>
      <c r="C53" s="192"/>
      <c r="D53" s="192"/>
      <c r="E53" s="192"/>
      <c r="F53" s="192"/>
      <c r="G53" s="192"/>
      <c r="H53" s="192"/>
      <c r="I53" s="192"/>
      <c r="J53" s="192"/>
      <c r="K53" s="192"/>
      <c r="L53" s="192"/>
      <c r="M53" s="192"/>
    </row>
    <row r="54" spans="2:18" x14ac:dyDescent="0.25">
      <c r="B54" s="509" t="s">
        <v>451</v>
      </c>
      <c r="C54" s="510"/>
      <c r="D54" s="510"/>
      <c r="E54" s="510"/>
      <c r="F54" s="510"/>
      <c r="G54" s="510"/>
      <c r="H54" s="510"/>
      <c r="I54" s="510"/>
      <c r="J54" s="510"/>
      <c r="K54" s="510"/>
      <c r="L54" s="510"/>
      <c r="M54" s="190"/>
    </row>
    <row r="55" spans="2:18" x14ac:dyDescent="0.25">
      <c r="B55" s="168"/>
      <c r="C55" s="146"/>
      <c r="D55" s="146"/>
      <c r="E55" s="146"/>
      <c r="F55" s="146"/>
      <c r="G55" s="146"/>
      <c r="H55" s="146"/>
      <c r="I55" s="146"/>
      <c r="J55" s="146"/>
      <c r="K55" s="146"/>
      <c r="L55" s="146"/>
      <c r="M55" s="146"/>
    </row>
    <row r="56" spans="2:18" x14ac:dyDescent="0.25">
      <c r="B56" s="189"/>
      <c r="C56" s="190"/>
      <c r="D56" s="190"/>
      <c r="E56" s="190"/>
      <c r="F56" s="190"/>
      <c r="G56" s="190"/>
      <c r="H56" s="190"/>
      <c r="I56" s="190"/>
      <c r="J56" s="190"/>
      <c r="K56" s="190"/>
      <c r="L56" s="190"/>
      <c r="M56" s="190"/>
    </row>
    <row r="57" spans="2:18" x14ac:dyDescent="0.25">
      <c r="B57" s="191"/>
      <c r="C57" s="190"/>
      <c r="D57" s="190"/>
      <c r="E57" s="190"/>
      <c r="F57" s="190"/>
      <c r="G57" s="190"/>
      <c r="H57" s="190"/>
      <c r="I57" s="190"/>
      <c r="J57" s="190"/>
      <c r="K57" s="190"/>
      <c r="L57" s="190"/>
      <c r="M57" s="190"/>
    </row>
    <row r="58" spans="2:18" x14ac:dyDescent="0.25">
      <c r="B58" s="191"/>
      <c r="C58" s="190"/>
      <c r="D58" s="190"/>
      <c r="E58" s="190"/>
      <c r="F58" s="190"/>
      <c r="G58" s="190"/>
      <c r="H58" s="190"/>
      <c r="I58" s="190"/>
      <c r="J58" s="190"/>
      <c r="K58" s="190"/>
      <c r="L58" s="190"/>
      <c r="M58" s="190"/>
    </row>
  </sheetData>
  <mergeCells count="32">
    <mergeCell ref="I20:K20"/>
    <mergeCell ref="B44:H44"/>
    <mergeCell ref="B43:H43"/>
    <mergeCell ref="E2:J2"/>
    <mergeCell ref="B23:G23"/>
    <mergeCell ref="D4:L5"/>
    <mergeCell ref="B5:C5"/>
    <mergeCell ref="L23:L24"/>
    <mergeCell ref="B3:C4"/>
    <mergeCell ref="D3:L3"/>
    <mergeCell ref="K6:L6"/>
    <mergeCell ref="B6:C6"/>
    <mergeCell ref="B24:G24"/>
    <mergeCell ref="B16:C16"/>
    <mergeCell ref="I6:J6"/>
    <mergeCell ref="D6:E6"/>
    <mergeCell ref="F6:H6"/>
    <mergeCell ref="B21:G22"/>
    <mergeCell ref="H21:H22"/>
    <mergeCell ref="F7:G7"/>
    <mergeCell ref="F13:H13"/>
    <mergeCell ref="B54:L54"/>
    <mergeCell ref="I21:K23"/>
    <mergeCell ref="I50:L50"/>
    <mergeCell ref="B45:H45"/>
    <mergeCell ref="B49:H49"/>
    <mergeCell ref="I43:L49"/>
    <mergeCell ref="L21:L22"/>
    <mergeCell ref="B48:H48"/>
    <mergeCell ref="J25:L25"/>
    <mergeCell ref="B46:H46"/>
    <mergeCell ref="B47:H47"/>
  </mergeCells>
  <phoneticPr fontId="0" type="noConversion"/>
  <conditionalFormatting sqref="C26:C37">
    <cfRule type="dataBar" priority="2">
      <dataBar>
        <cfvo type="min"/>
        <cfvo type="max"/>
        <color rgb="FF63C384"/>
      </dataBar>
      <extLst>
        <ext xmlns:x14="http://schemas.microsoft.com/office/spreadsheetml/2009/9/main" uri="{B025F937-C7B1-47D3-B67F-A62EFF666E3E}">
          <x14:id>{4D4BE156-225C-441F-AAFD-00CECA9318FA}</x14:id>
        </ext>
      </extLst>
    </cfRule>
  </conditionalFormatting>
  <conditionalFormatting sqref="D26:D37">
    <cfRule type="dataBar" priority="1">
      <dataBar>
        <cfvo type="min"/>
        <cfvo type="max"/>
        <color rgb="FF63C384"/>
      </dataBar>
      <extLst>
        <ext xmlns:x14="http://schemas.microsoft.com/office/spreadsheetml/2009/9/main" uri="{B025F937-C7B1-47D3-B67F-A62EFF666E3E}">
          <x14:id>{C1B370DD-5C59-4EE2-81CA-9B612753BCFA}</x14:id>
        </ext>
      </extLst>
    </cfRule>
  </conditionalFormatting>
  <printOptions horizontalCentered="1" verticalCentered="1"/>
  <pageMargins left="0" right="0" top="0.19685039370078741" bottom="0.19685039370078741" header="0" footer="0"/>
  <pageSetup paperSize="134" scale="65" orientation="landscape" r:id="rId1"/>
  <headerFooter alignWithMargins="0"/>
  <ignoredErrors>
    <ignoredError sqref="P28:P30 N28" evalError="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4D4BE156-225C-441F-AAFD-00CECA9318FA}">
            <x14:dataBar minLength="0" maxLength="100" border="1" negativeBarBorderColorSameAsPositive="0">
              <x14:cfvo type="autoMin"/>
              <x14:cfvo type="autoMax"/>
              <x14:borderColor rgb="FF63C384"/>
              <x14:negativeFillColor rgb="FFFF0000"/>
              <x14:negativeBorderColor rgb="FFFF0000"/>
              <x14:axisColor rgb="FF000000"/>
            </x14:dataBar>
          </x14:cfRule>
          <xm:sqref>C26:C37</xm:sqref>
        </x14:conditionalFormatting>
        <x14:conditionalFormatting xmlns:xm="http://schemas.microsoft.com/office/excel/2006/main">
          <x14:cfRule type="dataBar" id="{C1B370DD-5C59-4EE2-81CA-9B612753BCFA}">
            <x14:dataBar minLength="0" maxLength="100" border="1" negativeBarBorderColorSameAsPositive="0">
              <x14:cfvo type="autoMin"/>
              <x14:cfvo type="autoMax"/>
              <x14:borderColor rgb="FF63C384"/>
              <x14:negativeFillColor rgb="FFFF0000"/>
              <x14:negativeBorderColor rgb="FFFF0000"/>
              <x14:axisColor rgb="FF000000"/>
            </x14:dataBar>
          </x14:cfRule>
          <xm:sqref>D26:D37</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100-000000000000}">
          <x14:formula1>
            <xm:f>Acuerdo!$A$1:$A$6</xm:f>
          </x14:formula1>
          <xm:sqref>H21:H22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F169"/>
  <sheetViews>
    <sheetView showGridLines="0" zoomScale="80" zoomScaleNormal="100" workbookViewId="0">
      <selection activeCell="B21" sqref="B21"/>
    </sheetView>
  </sheetViews>
  <sheetFormatPr defaultColWidth="11.44140625" defaultRowHeight="13.2" x14ac:dyDescent="0.25"/>
  <cols>
    <col min="1" max="1" width="21.33203125" bestFit="1" customWidth="1"/>
    <col min="2" max="5" width="22.88671875" customWidth="1"/>
  </cols>
  <sheetData>
    <row r="1" spans="1:5" ht="5.25" customHeight="1" thickBot="1" x14ac:dyDescent="0.3"/>
    <row r="2" spans="1:5" ht="12.75" customHeight="1" x14ac:dyDescent="0.25">
      <c r="A2" s="439" t="s">
        <v>363</v>
      </c>
      <c r="B2" s="435" t="s">
        <v>441</v>
      </c>
      <c r="C2" s="435" t="s">
        <v>456</v>
      </c>
      <c r="D2" s="435" t="s">
        <v>457</v>
      </c>
      <c r="E2" s="435" t="s">
        <v>458</v>
      </c>
    </row>
    <row r="3" spans="1:5" ht="14.4" x14ac:dyDescent="0.25">
      <c r="A3" s="440"/>
      <c r="B3" s="441" t="s">
        <v>459</v>
      </c>
      <c r="C3" s="441" t="s">
        <v>460</v>
      </c>
      <c r="D3" s="441" t="s">
        <v>461</v>
      </c>
      <c r="E3" s="441" t="s">
        <v>462</v>
      </c>
    </row>
    <row r="4" spans="1:5" ht="15.6" customHeight="1" x14ac:dyDescent="0.3">
      <c r="A4" s="442" t="s">
        <v>9</v>
      </c>
      <c r="B4" s="451">
        <v>3622300</v>
      </c>
      <c r="C4" s="451">
        <v>31227000</v>
      </c>
      <c r="D4" s="451">
        <v>40109000</v>
      </c>
      <c r="E4" s="451">
        <v>22390</v>
      </c>
    </row>
    <row r="5" spans="1:5" ht="15.6" customHeight="1" x14ac:dyDescent="0.3">
      <c r="A5" s="442" t="s">
        <v>412</v>
      </c>
      <c r="B5" s="443" t="s">
        <v>463</v>
      </c>
      <c r="C5" s="443">
        <v>-5.6000000000000001E-2</v>
      </c>
      <c r="D5" s="452">
        <v>0.115</v>
      </c>
      <c r="E5" s="452">
        <v>0.36599999999999999</v>
      </c>
    </row>
    <row r="6" spans="1:5" ht="15.6" customHeight="1" x14ac:dyDescent="0.3">
      <c r="A6" s="442" t="s">
        <v>413</v>
      </c>
      <c r="B6" s="450">
        <v>0.27160000000000001</v>
      </c>
      <c r="C6" s="452">
        <v>-2.1999999999999999E-2</v>
      </c>
      <c r="D6" s="454">
        <v>0.25309999999999999</v>
      </c>
      <c r="E6" s="452">
        <v>0.47</v>
      </c>
    </row>
    <row r="7" spans="1:5" ht="15.6" hidden="1" customHeight="1" x14ac:dyDescent="0.3">
      <c r="A7" s="442" t="s">
        <v>17</v>
      </c>
      <c r="B7" s="444">
        <v>122278</v>
      </c>
      <c r="C7" s="453">
        <v>82110</v>
      </c>
      <c r="D7" s="453">
        <v>26772</v>
      </c>
      <c r="E7" s="453">
        <v>100504</v>
      </c>
    </row>
    <row r="8" spans="1:5" ht="15.6" hidden="1" customHeight="1" x14ac:dyDescent="0.3">
      <c r="A8" s="442" t="s">
        <v>133</v>
      </c>
      <c r="B8" s="444">
        <v>323888</v>
      </c>
      <c r="C8" s="453">
        <v>301311</v>
      </c>
      <c r="D8" s="453">
        <v>319616</v>
      </c>
      <c r="E8" s="453">
        <v>321195</v>
      </c>
    </row>
    <row r="9" spans="1:5" ht="15.6" customHeight="1" x14ac:dyDescent="0.3">
      <c r="A9" s="442" t="s">
        <v>132</v>
      </c>
      <c r="B9" s="465">
        <f>OP!C10/OP!E7</f>
        <v>0.41302578018995934</v>
      </c>
      <c r="C9" s="459">
        <v>0.27</v>
      </c>
      <c r="D9" s="461">
        <v>0.21</v>
      </c>
      <c r="E9" s="461">
        <v>0.35</v>
      </c>
    </row>
    <row r="10" spans="1:5" ht="15.6" customHeight="1" x14ac:dyDescent="0.3">
      <c r="A10" s="442" t="s">
        <v>180</v>
      </c>
      <c r="B10" s="147">
        <f>OP!C10/Cifras_en_Millones!C19</f>
        <v>3.2415434728138313</v>
      </c>
      <c r="C10" s="459">
        <v>2.8</v>
      </c>
      <c r="D10" s="461">
        <v>1.47</v>
      </c>
      <c r="E10" s="461">
        <v>-1</v>
      </c>
    </row>
    <row r="11" spans="1:5" ht="15.6" customHeight="1" x14ac:dyDescent="0.3">
      <c r="A11" s="442" t="s">
        <v>172</v>
      </c>
      <c r="B11" s="445"/>
      <c r="C11" s="460">
        <v>0.02</v>
      </c>
      <c r="D11" s="460">
        <v>0.05</v>
      </c>
      <c r="E11" s="460">
        <v>0.02</v>
      </c>
    </row>
    <row r="12" spans="1:5" ht="15.6" customHeight="1" x14ac:dyDescent="0.3">
      <c r="A12" s="442" t="s">
        <v>197</v>
      </c>
      <c r="B12" s="449">
        <v>8.7400000000000005E-2</v>
      </c>
      <c r="C12" s="449" t="s">
        <v>464</v>
      </c>
      <c r="D12" s="449" t="s">
        <v>465</v>
      </c>
      <c r="E12" s="449" t="s">
        <v>466</v>
      </c>
    </row>
    <row r="13" spans="1:5" ht="15.6" customHeight="1" x14ac:dyDescent="0.3">
      <c r="A13" s="442" t="s">
        <v>198</v>
      </c>
      <c r="B13" s="446" t="s">
        <v>467</v>
      </c>
      <c r="C13" s="449" t="s">
        <v>468</v>
      </c>
      <c r="D13" s="449" t="s">
        <v>469</v>
      </c>
      <c r="E13" s="449" t="s">
        <v>470</v>
      </c>
    </row>
    <row r="14" spans="1:5" ht="15.6" customHeight="1" x14ac:dyDescent="0.3">
      <c r="A14" s="442" t="s">
        <v>1</v>
      </c>
      <c r="B14" s="450">
        <v>0.1651</v>
      </c>
      <c r="C14" s="449">
        <v>0.17449999999999999</v>
      </c>
      <c r="D14" s="450">
        <v>0.1615</v>
      </c>
      <c r="E14" s="449" t="s">
        <v>471</v>
      </c>
    </row>
    <row r="15" spans="1:5" ht="15.6" customHeight="1" x14ac:dyDescent="0.3">
      <c r="A15" s="442" t="s">
        <v>364</v>
      </c>
      <c r="B15" s="456">
        <v>0.13439999999999999</v>
      </c>
      <c r="C15" s="449">
        <v>0.18590000000000001</v>
      </c>
      <c r="D15" s="450">
        <v>0.19159999999999999</v>
      </c>
      <c r="E15" s="449" t="s">
        <v>472</v>
      </c>
    </row>
    <row r="16" spans="1:5" ht="15.6" customHeight="1" x14ac:dyDescent="0.3">
      <c r="A16" s="442" t="s">
        <v>171</v>
      </c>
      <c r="B16" s="446" t="s">
        <v>473</v>
      </c>
      <c r="C16" s="449" t="s">
        <v>474</v>
      </c>
      <c r="D16" s="449" t="s">
        <v>475</v>
      </c>
      <c r="E16" s="446" t="s">
        <v>476</v>
      </c>
    </row>
    <row r="17" spans="1:6" ht="15.6" customHeight="1" x14ac:dyDescent="0.3">
      <c r="A17" s="447" t="s">
        <v>199</v>
      </c>
      <c r="B17" s="446">
        <v>0.92</v>
      </c>
      <c r="C17" s="455">
        <v>0.66</v>
      </c>
      <c r="D17" s="457">
        <v>0.59</v>
      </c>
      <c r="E17" s="457">
        <v>2</v>
      </c>
      <c r="F17" s="197"/>
    </row>
    <row r="18" spans="1:6" ht="15.6" customHeight="1" x14ac:dyDescent="0.3">
      <c r="A18" s="442" t="s">
        <v>200</v>
      </c>
      <c r="B18" s="446" t="s">
        <v>477</v>
      </c>
      <c r="C18" s="449" t="s">
        <v>478</v>
      </c>
      <c r="D18" s="449" t="s">
        <v>479</v>
      </c>
      <c r="E18" s="449" t="s">
        <v>480</v>
      </c>
      <c r="F18" s="197"/>
    </row>
    <row r="19" spans="1:6" ht="15.6" customHeight="1" x14ac:dyDescent="0.3">
      <c r="A19" s="442" t="s">
        <v>365</v>
      </c>
      <c r="B19" s="446" t="s">
        <v>481</v>
      </c>
      <c r="C19" s="449" t="s">
        <v>482</v>
      </c>
      <c r="D19" s="449" t="s">
        <v>483</v>
      </c>
      <c r="E19" s="449" t="s">
        <v>484</v>
      </c>
      <c r="F19" s="197"/>
    </row>
    <row r="20" spans="1:6" ht="15.6" customHeight="1" x14ac:dyDescent="0.3">
      <c r="A20" s="442" t="s">
        <v>49</v>
      </c>
      <c r="B20" s="448">
        <f ca="1">OP!C12/OP!E7</f>
        <v>4.1617663859845164</v>
      </c>
      <c r="C20" s="449" t="s">
        <v>485</v>
      </c>
      <c r="D20" s="449" t="s">
        <v>486</v>
      </c>
      <c r="E20" s="458" t="s">
        <v>487</v>
      </c>
      <c r="F20" s="197"/>
    </row>
    <row r="21" spans="1:6" ht="15.6" customHeight="1" x14ac:dyDescent="0.3">
      <c r="A21" s="442" t="s">
        <v>201</v>
      </c>
      <c r="B21" s="448">
        <f ca="1">OP!C12/OP!J11</f>
        <v>46.266877595385985</v>
      </c>
      <c r="C21" s="449" t="s">
        <v>488</v>
      </c>
      <c r="D21" s="449" t="s">
        <v>489</v>
      </c>
      <c r="E21" s="449" t="s">
        <v>490</v>
      </c>
      <c r="F21" s="197"/>
    </row>
    <row r="22" spans="1:6" ht="15.6" customHeight="1" x14ac:dyDescent="0.3">
      <c r="A22" s="442" t="s">
        <v>66</v>
      </c>
      <c r="B22" s="443">
        <v>0</v>
      </c>
      <c r="C22" s="449" t="s">
        <v>491</v>
      </c>
      <c r="D22" s="449" t="s">
        <v>492</v>
      </c>
      <c r="E22" s="443">
        <v>0</v>
      </c>
      <c r="F22" s="197"/>
    </row>
    <row r="24" spans="1:6" x14ac:dyDescent="0.25">
      <c r="A24" s="197"/>
      <c r="B24" s="220" t="s">
        <v>114</v>
      </c>
      <c r="C24" s="197"/>
      <c r="D24" s="197"/>
      <c r="E24" s="197"/>
      <c r="F24" s="197"/>
    </row>
    <row r="25" spans="1:6" x14ac:dyDescent="0.25">
      <c r="A25" s="197"/>
      <c r="B25" s="220" t="s">
        <v>175</v>
      </c>
      <c r="C25" s="197"/>
      <c r="D25" s="197"/>
      <c r="E25" s="197"/>
      <c r="F25" s="197"/>
    </row>
    <row r="26" spans="1:6" ht="20.399999999999999" x14ac:dyDescent="0.3">
      <c r="A26" s="387"/>
      <c r="B26" s="436"/>
      <c r="C26" s="436"/>
      <c r="D26" s="436"/>
      <c r="E26" s="436"/>
      <c r="F26" s="437"/>
    </row>
    <row r="27" spans="1:6" ht="20.399999999999999" x14ac:dyDescent="0.25">
      <c r="A27" s="220" t="s">
        <v>418</v>
      </c>
      <c r="B27" s="438"/>
      <c r="C27" s="436"/>
      <c r="D27" s="436"/>
      <c r="E27" s="437"/>
      <c r="F27" s="437"/>
    </row>
    <row r="28" spans="1:6" ht="20.399999999999999" x14ac:dyDescent="0.3">
      <c r="A28" s="387"/>
      <c r="B28" s="388"/>
      <c r="C28" s="388"/>
      <c r="D28" s="388"/>
      <c r="E28" s="388"/>
      <c r="F28" s="389"/>
    </row>
    <row r="29" spans="1:6" ht="20.399999999999999" x14ac:dyDescent="0.3">
      <c r="A29" s="387"/>
      <c r="B29" s="390"/>
      <c r="C29" s="388"/>
      <c r="D29" s="388"/>
      <c r="E29" s="389"/>
      <c r="F29" s="389"/>
    </row>
    <row r="30" spans="1:6" ht="20.399999999999999" x14ac:dyDescent="0.3">
      <c r="A30" s="387"/>
      <c r="B30" s="390"/>
      <c r="C30" s="388"/>
      <c r="D30" s="388"/>
      <c r="E30" s="388"/>
      <c r="F30" s="389"/>
    </row>
    <row r="31" spans="1:6" ht="20.399999999999999" x14ac:dyDescent="0.3">
      <c r="A31" s="387"/>
      <c r="B31" s="391"/>
      <c r="C31" s="388"/>
      <c r="D31" s="388"/>
      <c r="E31" s="389"/>
      <c r="F31" s="389"/>
    </row>
    <row r="32" spans="1:6" ht="15.6" x14ac:dyDescent="0.3">
      <c r="A32" s="387"/>
      <c r="B32" s="391"/>
      <c r="C32" s="391"/>
      <c r="D32" s="392"/>
      <c r="E32" s="389"/>
      <c r="F32" s="389"/>
    </row>
    <row r="33" spans="1:6" x14ac:dyDescent="0.25">
      <c r="A33" s="389"/>
      <c r="B33" s="389"/>
      <c r="C33" s="389"/>
      <c r="D33" s="389"/>
      <c r="E33" s="389"/>
      <c r="F33" s="389"/>
    </row>
    <row r="34" spans="1:6" x14ac:dyDescent="0.25">
      <c r="A34" s="389"/>
      <c r="B34" s="389"/>
      <c r="C34" s="389"/>
      <c r="D34" s="389"/>
      <c r="E34" s="389"/>
      <c r="F34" s="389"/>
    </row>
    <row r="35" spans="1:6" x14ac:dyDescent="0.25">
      <c r="A35" s="389"/>
      <c r="B35" s="389"/>
      <c r="C35" s="389"/>
      <c r="D35" s="389"/>
      <c r="E35" s="389"/>
      <c r="F35" s="389"/>
    </row>
    <row r="36" spans="1:6" x14ac:dyDescent="0.25">
      <c r="A36" s="389"/>
      <c r="B36" s="389"/>
      <c r="C36" s="389"/>
      <c r="D36" s="389"/>
      <c r="E36" s="389"/>
      <c r="F36" s="389"/>
    </row>
    <row r="37" spans="1:6" x14ac:dyDescent="0.25">
      <c r="A37" s="389"/>
      <c r="B37" s="389"/>
      <c r="C37" s="389"/>
      <c r="D37" s="389"/>
      <c r="E37" s="389"/>
      <c r="F37" s="389"/>
    </row>
    <row r="38" spans="1:6" x14ac:dyDescent="0.25">
      <c r="A38" s="389"/>
      <c r="B38" s="389"/>
      <c r="C38" s="389"/>
      <c r="D38" s="389"/>
      <c r="E38" s="389"/>
      <c r="F38" s="389"/>
    </row>
    <row r="39" spans="1:6" x14ac:dyDescent="0.25">
      <c r="A39" s="389"/>
      <c r="B39" s="389"/>
      <c r="C39" s="389"/>
      <c r="D39" s="389"/>
      <c r="E39" s="389"/>
      <c r="F39" s="389"/>
    </row>
    <row r="40" spans="1:6" x14ac:dyDescent="0.25">
      <c r="A40" s="389"/>
      <c r="B40" s="389"/>
      <c r="C40" s="389"/>
      <c r="D40" s="389"/>
      <c r="E40" s="389"/>
      <c r="F40" s="389"/>
    </row>
    <row r="41" spans="1:6" x14ac:dyDescent="0.25">
      <c r="A41" s="389"/>
      <c r="B41" s="389"/>
      <c r="C41" s="389"/>
      <c r="D41" s="389"/>
      <c r="E41" s="389"/>
      <c r="F41" s="389"/>
    </row>
    <row r="42" spans="1:6" x14ac:dyDescent="0.25">
      <c r="A42" s="389"/>
      <c r="B42" s="389"/>
      <c r="C42" s="389"/>
      <c r="D42" s="389"/>
      <c r="E42" s="389"/>
      <c r="F42" s="389"/>
    </row>
    <row r="43" spans="1:6" x14ac:dyDescent="0.25">
      <c r="A43" s="389"/>
      <c r="B43" s="389"/>
      <c r="C43" s="389"/>
      <c r="D43" s="389"/>
      <c r="E43" s="389"/>
      <c r="F43" s="389"/>
    </row>
    <row r="44" spans="1:6" x14ac:dyDescent="0.25">
      <c r="A44" s="389"/>
      <c r="B44" s="389"/>
      <c r="C44" s="389"/>
      <c r="D44" s="389"/>
      <c r="E44" s="389"/>
      <c r="F44" s="389"/>
    </row>
    <row r="45" spans="1:6" x14ac:dyDescent="0.25">
      <c r="A45" s="389"/>
      <c r="B45" s="389"/>
      <c r="C45" s="389"/>
      <c r="D45" s="389"/>
      <c r="E45" s="389"/>
      <c r="F45" s="389"/>
    </row>
    <row r="46" spans="1:6" x14ac:dyDescent="0.25">
      <c r="A46" s="389"/>
      <c r="B46" s="389"/>
      <c r="C46" s="389"/>
      <c r="D46" s="389"/>
      <c r="E46" s="389"/>
      <c r="F46" s="389"/>
    </row>
    <row r="47" spans="1:6" x14ac:dyDescent="0.25">
      <c r="A47" s="389"/>
      <c r="B47" s="389"/>
      <c r="C47" s="389"/>
      <c r="D47" s="389"/>
      <c r="E47" s="389"/>
      <c r="F47" s="389"/>
    </row>
    <row r="48" spans="1:6" x14ac:dyDescent="0.25">
      <c r="A48" s="389"/>
      <c r="B48" s="389"/>
      <c r="C48" s="389"/>
      <c r="D48" s="389"/>
      <c r="E48" s="389"/>
      <c r="F48" s="389"/>
    </row>
    <row r="49" spans="1:6" x14ac:dyDescent="0.25">
      <c r="A49" s="389"/>
      <c r="B49" s="389"/>
      <c r="C49" s="389"/>
      <c r="D49" s="389"/>
      <c r="E49" s="389"/>
      <c r="F49" s="389"/>
    </row>
    <row r="50" spans="1:6" x14ac:dyDescent="0.25">
      <c r="A50" s="389"/>
      <c r="B50" s="389"/>
      <c r="C50" s="389"/>
      <c r="D50" s="389"/>
      <c r="E50" s="389"/>
      <c r="F50" s="389"/>
    </row>
    <row r="51" spans="1:6" x14ac:dyDescent="0.25">
      <c r="A51" s="389"/>
      <c r="B51" s="389"/>
      <c r="C51" s="389"/>
      <c r="D51" s="389"/>
      <c r="E51" s="389"/>
      <c r="F51" s="389"/>
    </row>
    <row r="52" spans="1:6" x14ac:dyDescent="0.25">
      <c r="A52" s="389"/>
      <c r="B52" s="389"/>
      <c r="C52" s="389"/>
      <c r="D52" s="389"/>
      <c r="E52" s="389"/>
      <c r="F52" s="389"/>
    </row>
    <row r="53" spans="1:6" x14ac:dyDescent="0.25">
      <c r="A53" s="389"/>
      <c r="B53" s="389"/>
      <c r="C53" s="389"/>
      <c r="D53" s="389"/>
      <c r="E53" s="389"/>
      <c r="F53" s="389"/>
    </row>
    <row r="54" spans="1:6" x14ac:dyDescent="0.25">
      <c r="A54" s="389"/>
      <c r="B54" s="389"/>
      <c r="C54" s="389"/>
      <c r="D54" s="389"/>
      <c r="E54" s="389"/>
      <c r="F54" s="389"/>
    </row>
    <row r="55" spans="1:6" x14ac:dyDescent="0.25">
      <c r="A55" s="389"/>
      <c r="B55" s="389"/>
      <c r="C55" s="389"/>
      <c r="D55" s="389"/>
      <c r="E55" s="389"/>
      <c r="F55" s="389"/>
    </row>
    <row r="56" spans="1:6" x14ac:dyDescent="0.25">
      <c r="A56" s="389"/>
      <c r="B56" s="389"/>
      <c r="C56" s="389"/>
      <c r="D56" s="389"/>
      <c r="E56" s="389"/>
      <c r="F56" s="389"/>
    </row>
    <row r="57" spans="1:6" x14ac:dyDescent="0.25">
      <c r="A57" s="389"/>
      <c r="B57" s="389"/>
      <c r="C57" s="389"/>
      <c r="D57" s="389"/>
      <c r="E57" s="389"/>
      <c r="F57" s="389"/>
    </row>
    <row r="58" spans="1:6" x14ac:dyDescent="0.25">
      <c r="A58" s="389"/>
      <c r="B58" s="389"/>
      <c r="C58" s="389"/>
      <c r="D58" s="389"/>
      <c r="E58" s="389"/>
      <c r="F58" s="389"/>
    </row>
    <row r="59" spans="1:6" x14ac:dyDescent="0.25">
      <c r="A59" s="389"/>
      <c r="B59" s="389"/>
      <c r="C59" s="389"/>
      <c r="D59" s="389"/>
      <c r="E59" s="389"/>
      <c r="F59" s="389"/>
    </row>
    <row r="60" spans="1:6" x14ac:dyDescent="0.25">
      <c r="A60" s="389"/>
      <c r="B60" s="389"/>
      <c r="C60" s="389"/>
      <c r="D60" s="389"/>
      <c r="E60" s="389"/>
      <c r="F60" s="389"/>
    </row>
    <row r="61" spans="1:6" x14ac:dyDescent="0.25">
      <c r="A61" s="389"/>
      <c r="B61" s="389"/>
      <c r="C61" s="389"/>
      <c r="D61" s="389"/>
      <c r="E61" s="389"/>
      <c r="F61" s="389"/>
    </row>
    <row r="62" spans="1:6" x14ac:dyDescent="0.25">
      <c r="A62" s="389"/>
      <c r="B62" s="389"/>
      <c r="C62" s="389"/>
      <c r="D62" s="389"/>
      <c r="E62" s="389"/>
      <c r="F62" s="389"/>
    </row>
    <row r="63" spans="1:6" x14ac:dyDescent="0.25">
      <c r="A63" s="389"/>
      <c r="B63" s="389"/>
      <c r="C63" s="389"/>
      <c r="D63" s="389"/>
      <c r="E63" s="389"/>
      <c r="F63" s="389"/>
    </row>
    <row r="64" spans="1:6" x14ac:dyDescent="0.25">
      <c r="A64" s="389"/>
      <c r="B64" s="389"/>
      <c r="C64" s="389"/>
      <c r="D64" s="389"/>
      <c r="E64" s="389"/>
      <c r="F64" s="389"/>
    </row>
    <row r="65" spans="1:6" x14ac:dyDescent="0.25">
      <c r="A65" s="389"/>
      <c r="B65" s="389"/>
      <c r="C65" s="389"/>
      <c r="D65" s="389"/>
      <c r="E65" s="389"/>
      <c r="F65" s="389"/>
    </row>
    <row r="66" spans="1:6" x14ac:dyDescent="0.25">
      <c r="A66" s="389"/>
      <c r="B66" s="389"/>
      <c r="C66" s="389"/>
      <c r="D66" s="389"/>
      <c r="E66" s="389"/>
      <c r="F66" s="389"/>
    </row>
    <row r="67" spans="1:6" x14ac:dyDescent="0.25">
      <c r="A67" s="389"/>
      <c r="B67" s="389"/>
      <c r="C67" s="389"/>
      <c r="D67" s="389"/>
      <c r="E67" s="389"/>
      <c r="F67" s="389"/>
    </row>
    <row r="68" spans="1:6" x14ac:dyDescent="0.25">
      <c r="A68" s="389"/>
      <c r="B68" s="389"/>
      <c r="C68" s="389"/>
      <c r="D68" s="389"/>
      <c r="E68" s="389"/>
      <c r="F68" s="389"/>
    </row>
    <row r="69" spans="1:6" x14ac:dyDescent="0.25">
      <c r="A69" s="389"/>
      <c r="B69" s="389"/>
      <c r="C69" s="389"/>
      <c r="D69" s="389"/>
      <c r="E69" s="389"/>
      <c r="F69" s="389"/>
    </row>
    <row r="70" spans="1:6" x14ac:dyDescent="0.25">
      <c r="A70" s="389"/>
      <c r="B70" s="389"/>
      <c r="C70" s="389"/>
      <c r="D70" s="389"/>
      <c r="E70" s="389"/>
      <c r="F70" s="389"/>
    </row>
    <row r="71" spans="1:6" x14ac:dyDescent="0.25">
      <c r="A71" s="389"/>
      <c r="B71" s="389"/>
      <c r="C71" s="389"/>
      <c r="D71" s="389"/>
      <c r="E71" s="389"/>
      <c r="F71" s="389"/>
    </row>
    <row r="72" spans="1:6" x14ac:dyDescent="0.25">
      <c r="A72" s="389"/>
      <c r="B72" s="389"/>
      <c r="C72" s="389"/>
      <c r="D72" s="389"/>
      <c r="E72" s="389"/>
      <c r="F72" s="389"/>
    </row>
    <row r="73" spans="1:6" x14ac:dyDescent="0.25">
      <c r="A73" s="389"/>
      <c r="B73" s="389"/>
      <c r="C73" s="389"/>
      <c r="D73" s="389"/>
      <c r="E73" s="389"/>
      <c r="F73" s="389"/>
    </row>
    <row r="74" spans="1:6" x14ac:dyDescent="0.25">
      <c r="A74" s="389"/>
      <c r="B74" s="389"/>
      <c r="C74" s="389"/>
      <c r="D74" s="389"/>
      <c r="E74" s="389"/>
      <c r="F74" s="389"/>
    </row>
    <row r="75" spans="1:6" x14ac:dyDescent="0.25">
      <c r="A75" s="389"/>
      <c r="B75" s="389"/>
      <c r="C75" s="389"/>
      <c r="D75" s="389"/>
      <c r="E75" s="389"/>
      <c r="F75" s="389"/>
    </row>
    <row r="76" spans="1:6" x14ac:dyDescent="0.25">
      <c r="A76" s="389"/>
      <c r="B76" s="389"/>
      <c r="C76" s="389"/>
      <c r="D76" s="389"/>
      <c r="E76" s="389"/>
      <c r="F76" s="389"/>
    </row>
    <row r="77" spans="1:6" x14ac:dyDescent="0.25">
      <c r="A77" s="389"/>
      <c r="B77" s="389"/>
      <c r="C77" s="389"/>
      <c r="D77" s="389"/>
      <c r="E77" s="389"/>
      <c r="F77" s="389"/>
    </row>
    <row r="78" spans="1:6" x14ac:dyDescent="0.25">
      <c r="A78" s="389"/>
      <c r="B78" s="389"/>
      <c r="C78" s="389"/>
      <c r="D78" s="389"/>
      <c r="E78" s="389"/>
      <c r="F78" s="389"/>
    </row>
    <row r="79" spans="1:6" x14ac:dyDescent="0.25">
      <c r="A79" s="389"/>
      <c r="B79" s="389"/>
      <c r="C79" s="389"/>
      <c r="D79" s="389"/>
      <c r="E79" s="389"/>
      <c r="F79" s="389"/>
    </row>
    <row r="80" spans="1:6" x14ac:dyDescent="0.25">
      <c r="A80" s="389"/>
      <c r="B80" s="389"/>
      <c r="C80" s="389"/>
      <c r="D80" s="389"/>
      <c r="E80" s="389"/>
      <c r="F80" s="389"/>
    </row>
    <row r="81" spans="1:6" x14ac:dyDescent="0.25">
      <c r="A81" s="389"/>
      <c r="B81" s="389"/>
      <c r="C81" s="389"/>
      <c r="D81" s="389"/>
      <c r="E81" s="389"/>
      <c r="F81" s="389"/>
    </row>
    <row r="82" spans="1:6" x14ac:dyDescent="0.25">
      <c r="A82" s="389"/>
      <c r="B82" s="389"/>
      <c r="C82" s="389"/>
      <c r="D82" s="389"/>
      <c r="E82" s="389"/>
      <c r="F82" s="389"/>
    </row>
    <row r="83" spans="1:6" x14ac:dyDescent="0.25">
      <c r="A83" s="389"/>
      <c r="B83" s="389"/>
      <c r="C83" s="389"/>
      <c r="D83" s="389"/>
      <c r="E83" s="389"/>
      <c r="F83" s="389"/>
    </row>
    <row r="84" spans="1:6" x14ac:dyDescent="0.25">
      <c r="A84" s="389"/>
      <c r="B84" s="389"/>
      <c r="C84" s="389"/>
      <c r="D84" s="389"/>
      <c r="E84" s="389"/>
      <c r="F84" s="389"/>
    </row>
    <row r="85" spans="1:6" x14ac:dyDescent="0.25">
      <c r="A85" s="389"/>
      <c r="B85" s="389"/>
      <c r="C85" s="389"/>
      <c r="D85" s="389"/>
      <c r="E85" s="389"/>
      <c r="F85" s="389"/>
    </row>
    <row r="86" spans="1:6" x14ac:dyDescent="0.25">
      <c r="A86" s="389"/>
      <c r="B86" s="389"/>
      <c r="C86" s="389"/>
      <c r="D86" s="389"/>
      <c r="E86" s="389"/>
      <c r="F86" s="389"/>
    </row>
    <row r="87" spans="1:6" x14ac:dyDescent="0.25">
      <c r="A87" s="389"/>
      <c r="B87" s="389"/>
      <c r="C87" s="389"/>
      <c r="D87" s="389"/>
      <c r="E87" s="389"/>
      <c r="F87" s="389"/>
    </row>
    <row r="88" spans="1:6" x14ac:dyDescent="0.25">
      <c r="A88" s="389"/>
      <c r="B88" s="389"/>
      <c r="C88" s="389"/>
      <c r="D88" s="389"/>
      <c r="E88" s="389"/>
      <c r="F88" s="389"/>
    </row>
    <row r="89" spans="1:6" x14ac:dyDescent="0.25">
      <c r="A89" s="389"/>
      <c r="B89" s="389"/>
      <c r="C89" s="389"/>
      <c r="D89" s="389"/>
      <c r="E89" s="389"/>
      <c r="F89" s="389"/>
    </row>
    <row r="90" spans="1:6" x14ac:dyDescent="0.25">
      <c r="A90" s="389"/>
      <c r="B90" s="389"/>
      <c r="C90" s="389"/>
      <c r="D90" s="389"/>
      <c r="E90" s="389"/>
      <c r="F90" s="389"/>
    </row>
    <row r="91" spans="1:6" x14ac:dyDescent="0.25">
      <c r="A91" s="389"/>
      <c r="B91" s="389"/>
      <c r="C91" s="389"/>
      <c r="D91" s="389"/>
      <c r="E91" s="389"/>
      <c r="F91" s="389"/>
    </row>
    <row r="92" spans="1:6" x14ac:dyDescent="0.25">
      <c r="A92" s="389"/>
      <c r="B92" s="389"/>
      <c r="C92" s="389"/>
      <c r="D92" s="389"/>
      <c r="E92" s="389"/>
      <c r="F92" s="389"/>
    </row>
    <row r="93" spans="1:6" x14ac:dyDescent="0.25">
      <c r="A93" s="389"/>
      <c r="B93" s="389"/>
      <c r="C93" s="389"/>
      <c r="D93" s="389"/>
      <c r="E93" s="389"/>
      <c r="F93" s="389"/>
    </row>
    <row r="94" spans="1:6" x14ac:dyDescent="0.25">
      <c r="A94" s="389"/>
      <c r="B94" s="389"/>
      <c r="C94" s="389"/>
      <c r="D94" s="389"/>
      <c r="E94" s="389"/>
      <c r="F94" s="389"/>
    </row>
    <row r="95" spans="1:6" x14ac:dyDescent="0.25">
      <c r="A95" s="389"/>
      <c r="B95" s="389"/>
      <c r="C95" s="389"/>
      <c r="D95" s="389"/>
      <c r="E95" s="389"/>
      <c r="F95" s="389"/>
    </row>
    <row r="96" spans="1:6" x14ac:dyDescent="0.25">
      <c r="A96" s="389"/>
      <c r="B96" s="389"/>
      <c r="C96" s="389"/>
      <c r="D96" s="389"/>
      <c r="E96" s="389"/>
      <c r="F96" s="389"/>
    </row>
    <row r="97" spans="1:6" x14ac:dyDescent="0.25">
      <c r="A97" s="389"/>
      <c r="B97" s="389"/>
      <c r="C97" s="389"/>
      <c r="D97" s="389"/>
      <c r="E97" s="389"/>
      <c r="F97" s="389"/>
    </row>
    <row r="98" spans="1:6" x14ac:dyDescent="0.25">
      <c r="A98" s="389"/>
      <c r="B98" s="389"/>
      <c r="C98" s="389"/>
      <c r="D98" s="389"/>
      <c r="E98" s="389"/>
      <c r="F98" s="389"/>
    </row>
    <row r="99" spans="1:6" x14ac:dyDescent="0.25">
      <c r="A99" s="389"/>
      <c r="B99" s="389"/>
      <c r="C99" s="389"/>
      <c r="D99" s="389"/>
      <c r="E99" s="389"/>
      <c r="F99" s="389"/>
    </row>
    <row r="100" spans="1:6" x14ac:dyDescent="0.25">
      <c r="A100" s="389"/>
      <c r="B100" s="389"/>
      <c r="C100" s="389"/>
      <c r="D100" s="389"/>
      <c r="E100" s="389"/>
      <c r="F100" s="389"/>
    </row>
    <row r="101" spans="1:6" x14ac:dyDescent="0.25">
      <c r="A101" s="389"/>
      <c r="B101" s="389"/>
      <c r="C101" s="389"/>
      <c r="D101" s="389"/>
      <c r="E101" s="389"/>
      <c r="F101" s="389"/>
    </row>
    <row r="102" spans="1:6" x14ac:dyDescent="0.25">
      <c r="A102" s="389"/>
      <c r="B102" s="389"/>
      <c r="C102" s="389"/>
      <c r="D102" s="389"/>
      <c r="E102" s="389"/>
      <c r="F102" s="389"/>
    </row>
    <row r="103" spans="1:6" x14ac:dyDescent="0.25">
      <c r="A103" s="389"/>
      <c r="B103" s="389"/>
      <c r="C103" s="389"/>
      <c r="D103" s="389"/>
      <c r="E103" s="389"/>
      <c r="F103" s="389"/>
    </row>
    <row r="104" spans="1:6" x14ac:dyDescent="0.25">
      <c r="A104" s="389"/>
      <c r="B104" s="389"/>
      <c r="C104" s="389"/>
      <c r="D104" s="389"/>
      <c r="E104" s="389"/>
      <c r="F104" s="389"/>
    </row>
    <row r="105" spans="1:6" x14ac:dyDescent="0.25">
      <c r="A105" s="389"/>
      <c r="B105" s="389"/>
      <c r="C105" s="389"/>
      <c r="D105" s="389"/>
      <c r="E105" s="389"/>
      <c r="F105" s="389"/>
    </row>
    <row r="106" spans="1:6" x14ac:dyDescent="0.25">
      <c r="A106" s="389"/>
      <c r="B106" s="389"/>
      <c r="C106" s="389"/>
      <c r="D106" s="389"/>
      <c r="E106" s="389"/>
      <c r="F106" s="389"/>
    </row>
    <row r="107" spans="1:6" x14ac:dyDescent="0.25">
      <c r="A107" s="389"/>
      <c r="B107" s="389"/>
      <c r="C107" s="389"/>
      <c r="D107" s="389"/>
      <c r="E107" s="389"/>
      <c r="F107" s="389"/>
    </row>
    <row r="108" spans="1:6" x14ac:dyDescent="0.25">
      <c r="A108" s="389"/>
      <c r="B108" s="389"/>
      <c r="C108" s="389"/>
      <c r="D108" s="389"/>
      <c r="E108" s="389"/>
      <c r="F108" s="389"/>
    </row>
    <row r="109" spans="1:6" x14ac:dyDescent="0.25">
      <c r="A109" s="389"/>
      <c r="B109" s="389"/>
      <c r="C109" s="389"/>
      <c r="D109" s="389"/>
      <c r="E109" s="389"/>
      <c r="F109" s="389"/>
    </row>
    <row r="110" spans="1:6" x14ac:dyDescent="0.25">
      <c r="A110" s="389"/>
      <c r="B110" s="389"/>
      <c r="C110" s="389"/>
      <c r="D110" s="389"/>
      <c r="E110" s="389"/>
      <c r="F110" s="389"/>
    </row>
    <row r="111" spans="1:6" x14ac:dyDescent="0.25">
      <c r="A111" s="389"/>
      <c r="B111" s="389"/>
      <c r="C111" s="389"/>
      <c r="D111" s="389"/>
      <c r="E111" s="389"/>
      <c r="F111" s="389"/>
    </row>
    <row r="112" spans="1:6" x14ac:dyDescent="0.25">
      <c r="A112" s="389"/>
      <c r="B112" s="389"/>
      <c r="C112" s="389"/>
      <c r="D112" s="389"/>
      <c r="E112" s="389"/>
      <c r="F112" s="389"/>
    </row>
    <row r="113" spans="1:6" x14ac:dyDescent="0.25">
      <c r="A113" s="389"/>
      <c r="B113" s="389"/>
      <c r="C113" s="389"/>
      <c r="D113" s="389"/>
      <c r="E113" s="389"/>
      <c r="F113" s="389"/>
    </row>
    <row r="114" spans="1:6" x14ac:dyDescent="0.25">
      <c r="A114" s="389"/>
      <c r="B114" s="389"/>
      <c r="C114" s="389"/>
      <c r="D114" s="389"/>
      <c r="E114" s="389"/>
      <c r="F114" s="389"/>
    </row>
    <row r="115" spans="1:6" x14ac:dyDescent="0.25">
      <c r="A115" s="389"/>
      <c r="B115" s="389"/>
      <c r="C115" s="389"/>
      <c r="D115" s="389"/>
      <c r="E115" s="389"/>
      <c r="F115" s="389"/>
    </row>
    <row r="116" spans="1:6" x14ac:dyDescent="0.25">
      <c r="A116" s="389"/>
      <c r="B116" s="389"/>
      <c r="C116" s="389"/>
      <c r="D116" s="389"/>
      <c r="E116" s="389"/>
      <c r="F116" s="389"/>
    </row>
    <row r="117" spans="1:6" x14ac:dyDescent="0.25">
      <c r="A117" s="389"/>
      <c r="B117" s="389"/>
      <c r="C117" s="389"/>
      <c r="D117" s="389"/>
      <c r="E117" s="389"/>
      <c r="F117" s="389"/>
    </row>
    <row r="118" spans="1:6" x14ac:dyDescent="0.25">
      <c r="A118" s="389"/>
      <c r="B118" s="389"/>
      <c r="C118" s="389"/>
      <c r="D118" s="389"/>
      <c r="E118" s="389"/>
      <c r="F118" s="389"/>
    </row>
    <row r="119" spans="1:6" x14ac:dyDescent="0.25">
      <c r="A119" s="389"/>
      <c r="B119" s="389"/>
      <c r="C119" s="389"/>
      <c r="D119" s="389"/>
      <c r="E119" s="389"/>
      <c r="F119" s="389"/>
    </row>
    <row r="120" spans="1:6" x14ac:dyDescent="0.25">
      <c r="A120" s="389"/>
      <c r="B120" s="389"/>
      <c r="C120" s="389"/>
      <c r="D120" s="389"/>
      <c r="E120" s="389"/>
      <c r="F120" s="389"/>
    </row>
    <row r="121" spans="1:6" x14ac:dyDescent="0.25">
      <c r="A121" s="389"/>
      <c r="B121" s="389"/>
      <c r="C121" s="389"/>
      <c r="D121" s="389"/>
      <c r="E121" s="389"/>
      <c r="F121" s="389"/>
    </row>
    <row r="122" spans="1:6" x14ac:dyDescent="0.25">
      <c r="A122" s="389"/>
      <c r="B122" s="389"/>
      <c r="C122" s="389"/>
      <c r="D122" s="389"/>
      <c r="E122" s="389"/>
      <c r="F122" s="389"/>
    </row>
    <row r="123" spans="1:6" x14ac:dyDescent="0.25">
      <c r="A123" s="389"/>
      <c r="B123" s="389"/>
      <c r="C123" s="389"/>
      <c r="D123" s="389"/>
      <c r="E123" s="389"/>
      <c r="F123" s="389"/>
    </row>
    <row r="124" spans="1:6" x14ac:dyDescent="0.25">
      <c r="A124" s="389"/>
      <c r="B124" s="389"/>
      <c r="C124" s="389"/>
      <c r="D124" s="389"/>
      <c r="E124" s="389"/>
      <c r="F124" s="389"/>
    </row>
    <row r="125" spans="1:6" x14ac:dyDescent="0.25">
      <c r="A125" s="389"/>
      <c r="B125" s="389"/>
      <c r="C125" s="389"/>
      <c r="D125" s="389"/>
      <c r="E125" s="389"/>
      <c r="F125" s="389"/>
    </row>
    <row r="126" spans="1:6" x14ac:dyDescent="0.25">
      <c r="A126" s="389"/>
      <c r="B126" s="389"/>
      <c r="C126" s="389"/>
      <c r="D126" s="389"/>
      <c r="E126" s="389"/>
      <c r="F126" s="389"/>
    </row>
    <row r="127" spans="1:6" x14ac:dyDescent="0.25">
      <c r="A127" s="389"/>
      <c r="B127" s="389"/>
      <c r="C127" s="389"/>
      <c r="D127" s="389"/>
      <c r="E127" s="389"/>
      <c r="F127" s="389"/>
    </row>
    <row r="128" spans="1:6" x14ac:dyDescent="0.25">
      <c r="A128" s="389"/>
      <c r="B128" s="389"/>
      <c r="C128" s="389"/>
      <c r="D128" s="389"/>
      <c r="E128" s="389"/>
      <c r="F128" s="389"/>
    </row>
    <row r="129" spans="1:6" x14ac:dyDescent="0.25">
      <c r="A129" s="389"/>
      <c r="B129" s="389"/>
      <c r="C129" s="389"/>
      <c r="D129" s="389"/>
      <c r="E129" s="389"/>
      <c r="F129" s="389"/>
    </row>
    <row r="130" spans="1:6" x14ac:dyDescent="0.25">
      <c r="A130" s="389"/>
      <c r="B130" s="389"/>
      <c r="C130" s="389"/>
      <c r="D130" s="389"/>
      <c r="E130" s="389"/>
      <c r="F130" s="389"/>
    </row>
    <row r="131" spans="1:6" x14ac:dyDescent="0.25">
      <c r="A131" s="389"/>
      <c r="B131" s="389"/>
      <c r="C131" s="389"/>
      <c r="D131" s="389"/>
      <c r="E131" s="389"/>
      <c r="F131" s="389"/>
    </row>
    <row r="132" spans="1:6" x14ac:dyDescent="0.25">
      <c r="A132" s="389"/>
      <c r="B132" s="389"/>
      <c r="C132" s="389"/>
      <c r="D132" s="389"/>
      <c r="E132" s="389"/>
      <c r="F132" s="389"/>
    </row>
    <row r="133" spans="1:6" x14ac:dyDescent="0.25">
      <c r="A133" s="389"/>
      <c r="B133" s="389"/>
      <c r="C133" s="389"/>
      <c r="D133" s="389"/>
      <c r="E133" s="389"/>
      <c r="F133" s="389"/>
    </row>
    <row r="134" spans="1:6" x14ac:dyDescent="0.25">
      <c r="A134" s="389"/>
      <c r="B134" s="389"/>
      <c r="C134" s="389"/>
      <c r="D134" s="389"/>
      <c r="E134" s="389"/>
      <c r="F134" s="389"/>
    </row>
    <row r="135" spans="1:6" x14ac:dyDescent="0.25">
      <c r="A135" s="389"/>
      <c r="B135" s="389"/>
      <c r="C135" s="389"/>
      <c r="D135" s="389"/>
      <c r="E135" s="389"/>
      <c r="F135" s="389"/>
    </row>
    <row r="136" spans="1:6" x14ac:dyDescent="0.25">
      <c r="A136" s="389"/>
      <c r="B136" s="389"/>
      <c r="C136" s="389"/>
      <c r="D136" s="389"/>
      <c r="E136" s="389"/>
      <c r="F136" s="389"/>
    </row>
    <row r="137" spans="1:6" x14ac:dyDescent="0.25">
      <c r="A137" s="389"/>
      <c r="B137" s="389"/>
      <c r="C137" s="389"/>
      <c r="D137" s="389"/>
      <c r="E137" s="389"/>
      <c r="F137" s="389"/>
    </row>
    <row r="138" spans="1:6" x14ac:dyDescent="0.25">
      <c r="A138" s="389"/>
      <c r="B138" s="389"/>
      <c r="C138" s="389"/>
      <c r="D138" s="389"/>
      <c r="E138" s="389"/>
      <c r="F138" s="389"/>
    </row>
    <row r="139" spans="1:6" x14ac:dyDescent="0.25">
      <c r="A139" s="389"/>
      <c r="B139" s="389"/>
      <c r="C139" s="389"/>
      <c r="D139" s="389"/>
      <c r="E139" s="389"/>
      <c r="F139" s="389"/>
    </row>
    <row r="140" spans="1:6" x14ac:dyDescent="0.25">
      <c r="A140" s="389"/>
      <c r="B140" s="389"/>
      <c r="C140" s="389"/>
      <c r="D140" s="389"/>
      <c r="E140" s="389"/>
      <c r="F140" s="389"/>
    </row>
    <row r="141" spans="1:6" x14ac:dyDescent="0.25">
      <c r="A141" s="389"/>
      <c r="B141" s="389"/>
      <c r="C141" s="389"/>
      <c r="D141" s="389"/>
      <c r="E141" s="389"/>
      <c r="F141" s="389"/>
    </row>
    <row r="142" spans="1:6" x14ac:dyDescent="0.25">
      <c r="A142" s="389"/>
      <c r="B142" s="389"/>
      <c r="C142" s="389"/>
      <c r="D142" s="389"/>
      <c r="E142" s="389"/>
      <c r="F142" s="389"/>
    </row>
    <row r="143" spans="1:6" x14ac:dyDescent="0.25">
      <c r="A143" s="389"/>
      <c r="B143" s="389"/>
      <c r="C143" s="389"/>
      <c r="D143" s="389"/>
      <c r="E143" s="389"/>
      <c r="F143" s="389"/>
    </row>
    <row r="144" spans="1:6" x14ac:dyDescent="0.25">
      <c r="A144" s="389"/>
      <c r="B144" s="389"/>
      <c r="C144" s="389"/>
      <c r="D144" s="389"/>
      <c r="E144" s="389"/>
      <c r="F144" s="389"/>
    </row>
    <row r="145" spans="1:6" x14ac:dyDescent="0.25">
      <c r="A145" s="389"/>
      <c r="B145" s="389"/>
      <c r="C145" s="389"/>
      <c r="D145" s="389"/>
      <c r="E145" s="389"/>
      <c r="F145" s="389"/>
    </row>
    <row r="146" spans="1:6" x14ac:dyDescent="0.25">
      <c r="A146" s="389"/>
      <c r="B146" s="389"/>
      <c r="C146" s="389"/>
      <c r="D146" s="389"/>
      <c r="E146" s="389"/>
      <c r="F146" s="389"/>
    </row>
    <row r="147" spans="1:6" x14ac:dyDescent="0.25">
      <c r="A147" s="389"/>
      <c r="B147" s="389"/>
      <c r="C147" s="389"/>
      <c r="D147" s="389"/>
      <c r="E147" s="389"/>
      <c r="F147" s="389"/>
    </row>
    <row r="148" spans="1:6" x14ac:dyDescent="0.25">
      <c r="A148" s="389"/>
      <c r="B148" s="389"/>
      <c r="C148" s="389"/>
      <c r="D148" s="389"/>
      <c r="E148" s="389"/>
      <c r="F148" s="389"/>
    </row>
    <row r="149" spans="1:6" x14ac:dyDescent="0.25">
      <c r="A149" s="389"/>
      <c r="B149" s="389"/>
      <c r="C149" s="389"/>
      <c r="D149" s="389"/>
      <c r="E149" s="389"/>
      <c r="F149" s="389"/>
    </row>
    <row r="150" spans="1:6" x14ac:dyDescent="0.25">
      <c r="A150" s="389"/>
      <c r="B150" s="389"/>
      <c r="C150" s="389"/>
      <c r="D150" s="389"/>
      <c r="E150" s="389"/>
      <c r="F150" s="389"/>
    </row>
    <row r="151" spans="1:6" x14ac:dyDescent="0.25">
      <c r="A151" s="389"/>
      <c r="B151" s="389"/>
      <c r="C151" s="389"/>
      <c r="D151" s="389"/>
      <c r="E151" s="389"/>
      <c r="F151" s="389"/>
    </row>
    <row r="152" spans="1:6" x14ac:dyDescent="0.25">
      <c r="A152" s="389"/>
      <c r="B152" s="389"/>
      <c r="C152" s="389"/>
      <c r="D152" s="389"/>
      <c r="E152" s="389"/>
      <c r="F152" s="389"/>
    </row>
    <row r="153" spans="1:6" x14ac:dyDescent="0.25">
      <c r="A153" s="389"/>
      <c r="B153" s="389"/>
      <c r="C153" s="389"/>
      <c r="D153" s="389"/>
      <c r="E153" s="389"/>
      <c r="F153" s="389"/>
    </row>
    <row r="154" spans="1:6" x14ac:dyDescent="0.25">
      <c r="A154" s="389"/>
      <c r="B154" s="389"/>
      <c r="C154" s="389"/>
      <c r="D154" s="389"/>
      <c r="E154" s="389"/>
      <c r="F154" s="389"/>
    </row>
    <row r="155" spans="1:6" x14ac:dyDescent="0.25">
      <c r="A155" s="389"/>
      <c r="B155" s="389"/>
      <c r="C155" s="389"/>
      <c r="D155" s="389"/>
      <c r="E155" s="389"/>
      <c r="F155" s="389"/>
    </row>
    <row r="156" spans="1:6" x14ac:dyDescent="0.25">
      <c r="A156" s="389"/>
      <c r="B156" s="389"/>
      <c r="C156" s="389"/>
      <c r="D156" s="389"/>
      <c r="E156" s="389"/>
      <c r="F156" s="389"/>
    </row>
    <row r="157" spans="1:6" x14ac:dyDescent="0.25">
      <c r="A157" s="389"/>
      <c r="B157" s="389"/>
      <c r="C157" s="389"/>
      <c r="D157" s="389"/>
      <c r="E157" s="389"/>
      <c r="F157" s="389"/>
    </row>
    <row r="158" spans="1:6" x14ac:dyDescent="0.25">
      <c r="A158" s="389"/>
      <c r="B158" s="389"/>
      <c r="C158" s="389"/>
      <c r="D158" s="389"/>
      <c r="E158" s="389"/>
      <c r="F158" s="389"/>
    </row>
    <row r="159" spans="1:6" x14ac:dyDescent="0.25">
      <c r="A159" s="389"/>
      <c r="B159" s="389"/>
      <c r="C159" s="389"/>
      <c r="D159" s="389"/>
      <c r="E159" s="389"/>
      <c r="F159" s="389"/>
    </row>
    <row r="160" spans="1:6" x14ac:dyDescent="0.25">
      <c r="A160" s="389"/>
      <c r="B160" s="389"/>
      <c r="C160" s="389"/>
      <c r="D160" s="389"/>
      <c r="E160" s="389"/>
      <c r="F160" s="389"/>
    </row>
    <row r="161" spans="1:6" x14ac:dyDescent="0.25">
      <c r="A161" s="389"/>
      <c r="B161" s="389"/>
      <c r="C161" s="389"/>
      <c r="D161" s="389"/>
      <c r="E161" s="389"/>
      <c r="F161" s="389"/>
    </row>
    <row r="162" spans="1:6" x14ac:dyDescent="0.25">
      <c r="A162" s="389"/>
      <c r="B162" s="389"/>
      <c r="C162" s="389"/>
      <c r="D162" s="389"/>
      <c r="E162" s="389"/>
      <c r="F162" s="389"/>
    </row>
    <row r="163" spans="1:6" x14ac:dyDescent="0.25">
      <c r="A163" s="389"/>
      <c r="B163" s="389"/>
      <c r="C163" s="389"/>
      <c r="D163" s="389"/>
      <c r="E163" s="389"/>
      <c r="F163" s="389"/>
    </row>
    <row r="164" spans="1:6" x14ac:dyDescent="0.25">
      <c r="A164" s="389"/>
      <c r="B164" s="389"/>
      <c r="C164" s="389"/>
      <c r="D164" s="389"/>
      <c r="E164" s="389"/>
      <c r="F164" s="389"/>
    </row>
    <row r="165" spans="1:6" x14ac:dyDescent="0.25">
      <c r="A165" s="389"/>
      <c r="B165" s="389"/>
      <c r="C165" s="389"/>
      <c r="D165" s="389"/>
      <c r="E165" s="389"/>
      <c r="F165" s="389"/>
    </row>
    <row r="166" spans="1:6" x14ac:dyDescent="0.25">
      <c r="A166" s="389"/>
      <c r="B166" s="389"/>
      <c r="C166" s="389"/>
      <c r="D166" s="389"/>
      <c r="E166" s="389"/>
      <c r="F166" s="389"/>
    </row>
    <row r="167" spans="1:6" x14ac:dyDescent="0.25">
      <c r="A167" s="389"/>
      <c r="B167" s="389"/>
      <c r="C167" s="389"/>
      <c r="D167" s="389"/>
      <c r="E167" s="389"/>
      <c r="F167" s="389"/>
    </row>
    <row r="168" spans="1:6" x14ac:dyDescent="0.25">
      <c r="A168" s="389"/>
      <c r="B168" s="389"/>
      <c r="C168" s="389"/>
      <c r="D168" s="389"/>
      <c r="E168" s="389"/>
      <c r="F168" s="389"/>
    </row>
    <row r="169" spans="1:6" x14ac:dyDescent="0.25">
      <c r="A169" s="389"/>
      <c r="B169" s="389"/>
      <c r="C169" s="389"/>
      <c r="D169" s="389"/>
      <c r="E169" s="389"/>
      <c r="F169" s="389"/>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tabColor theme="9"/>
  </sheetPr>
  <dimension ref="B1:V21"/>
  <sheetViews>
    <sheetView showGridLines="0" zoomScale="78" zoomScaleNormal="115" workbookViewId="0">
      <selection activeCell="B19" sqref="G19"/>
    </sheetView>
  </sheetViews>
  <sheetFormatPr defaultColWidth="11.44140625" defaultRowHeight="13.2" x14ac:dyDescent="0.25"/>
  <cols>
    <col min="1" max="1" width="2.109375" customWidth="1"/>
    <col min="2" max="2" width="29" bestFit="1" customWidth="1"/>
    <col min="3" max="3" width="15.44140625" style="4" customWidth="1"/>
    <col min="4" max="8" width="15.44140625" customWidth="1"/>
    <col min="9" max="9" width="15.44140625" hidden="1" customWidth="1"/>
    <col min="10" max="10" width="15.44140625" customWidth="1"/>
    <col min="11" max="11" width="1.44140625" customWidth="1"/>
    <col min="12" max="12" width="39.33203125" customWidth="1"/>
    <col min="14" max="14" width="10.6640625" customWidth="1"/>
    <col min="21" max="21" width="2.88671875" customWidth="1"/>
    <col min="22" max="22" width="29.33203125" bestFit="1" customWidth="1"/>
  </cols>
  <sheetData>
    <row r="1" spans="2:22" ht="7.5" customHeight="1" thickBot="1" x14ac:dyDescent="0.3"/>
    <row r="2" spans="2:22" ht="21" x14ac:dyDescent="0.4">
      <c r="B2" s="565" t="s">
        <v>415</v>
      </c>
      <c r="C2" s="566"/>
      <c r="D2" s="566"/>
      <c r="E2" s="566"/>
      <c r="F2" s="566"/>
      <c r="G2" s="566"/>
      <c r="H2" s="567"/>
      <c r="I2" s="273"/>
      <c r="J2" s="273"/>
    </row>
    <row r="3" spans="2:22" x14ac:dyDescent="0.25">
      <c r="B3" s="156"/>
      <c r="C3" s="30">
        <v>2024</v>
      </c>
      <c r="D3" s="30">
        <f>C3-1</f>
        <v>2023</v>
      </c>
      <c r="E3" s="30" t="s">
        <v>116</v>
      </c>
      <c r="F3" s="30" t="s">
        <v>65</v>
      </c>
      <c r="G3" s="30" t="s">
        <v>64</v>
      </c>
      <c r="H3" s="32" t="s">
        <v>57</v>
      </c>
      <c r="I3" s="13"/>
      <c r="J3" s="13"/>
      <c r="K3" s="11"/>
    </row>
    <row r="4" spans="2:22" ht="13.8" x14ac:dyDescent="0.25">
      <c r="B4" s="157" t="s">
        <v>438</v>
      </c>
      <c r="C4" s="403">
        <v>2889.8</v>
      </c>
      <c r="D4" s="403">
        <v>2625.3</v>
      </c>
      <c r="E4" s="404" t="s">
        <v>520</v>
      </c>
      <c r="F4" s="12">
        <f>C4/(C4+C5)</f>
        <v>0.71653855690552948</v>
      </c>
      <c r="G4" s="12" t="s">
        <v>520</v>
      </c>
      <c r="H4" s="33">
        <f>C4/D4-1</f>
        <v>0.10075039043156964</v>
      </c>
      <c r="I4" s="274"/>
      <c r="J4" s="386" t="str">
        <f>IF(C4="","",IF(F4=0,"NA",TEXT(F4,"0%"))&amp;"; "&amp;IF(G4=0,"NA",TEXT(G4,"0.0%"))&amp;"; "&amp;IF(H4=0,"NA",TEXT(H4,"0%")))</f>
        <v>72%; N/A; 10%</v>
      </c>
    </row>
    <row r="5" spans="2:22" ht="13.8" x14ac:dyDescent="0.25">
      <c r="B5" s="157" t="s">
        <v>439</v>
      </c>
      <c r="C5" s="405">
        <v>1143.2</v>
      </c>
      <c r="D5" s="405">
        <v>997</v>
      </c>
      <c r="E5" s="404" t="s">
        <v>520</v>
      </c>
      <c r="F5" s="12">
        <f>C5/(C4+C5)</f>
        <v>0.28346144309447063</v>
      </c>
      <c r="G5" s="12" t="s">
        <v>520</v>
      </c>
      <c r="H5" s="33">
        <f>C5/D5-1</f>
        <v>0.14663991975927781</v>
      </c>
      <c r="I5" s="274"/>
      <c r="J5" s="386" t="str">
        <f>IF(C5="","",IF(F5=0,"NA",TEXT(F5,"0%"))&amp;"; "&amp;IF(G5=0,"NA",TEXT(G5,"0.0%"))&amp;"; "&amp;IF(H5=0,"NA",TEXT(H5,"0%")))</f>
        <v>28%; N/A; 15%</v>
      </c>
    </row>
    <row r="6" spans="2:22" x14ac:dyDescent="0.25">
      <c r="B6" s="34" t="s">
        <v>110</v>
      </c>
      <c r="C6" s="72">
        <f>SUM(C4:C5)</f>
        <v>4033</v>
      </c>
      <c r="D6" s="72">
        <f>SUM(D4:D5)</f>
        <v>3622.3</v>
      </c>
      <c r="E6" s="49">
        <f>SUM(E4:E5)</f>
        <v>0</v>
      </c>
      <c r="F6" s="31">
        <f>C6/SUM($C$4:$C$5)</f>
        <v>1</v>
      </c>
      <c r="G6" s="112">
        <f>E6/C6</f>
        <v>0</v>
      </c>
      <c r="H6" s="35">
        <f>C6/D6-1</f>
        <v>0.11338100102145043</v>
      </c>
      <c r="I6" s="275"/>
      <c r="J6" s="275"/>
    </row>
    <row r="7" spans="2:22" ht="15" customHeight="1" x14ac:dyDescent="0.4">
      <c r="B7" s="568" t="s">
        <v>416</v>
      </c>
      <c r="C7" s="569"/>
      <c r="D7" s="569"/>
      <c r="E7" s="569"/>
      <c r="F7" s="569"/>
      <c r="G7" s="569"/>
      <c r="H7" s="570"/>
      <c r="I7" s="273"/>
      <c r="J7" s="273"/>
    </row>
    <row r="8" spans="2:22" x14ac:dyDescent="0.25">
      <c r="B8" s="34"/>
      <c r="C8" s="30">
        <v>2024</v>
      </c>
      <c r="D8" s="30">
        <v>2023</v>
      </c>
      <c r="E8" s="30" t="s">
        <v>58</v>
      </c>
      <c r="F8" s="30" t="s">
        <v>65</v>
      </c>
      <c r="G8" s="30" t="s">
        <v>64</v>
      </c>
      <c r="H8" s="32" t="s">
        <v>57</v>
      </c>
      <c r="I8" s="13"/>
      <c r="J8" s="13"/>
      <c r="K8" s="11"/>
    </row>
    <row r="9" spans="2:22" x14ac:dyDescent="0.25">
      <c r="B9" s="158" t="s">
        <v>517</v>
      </c>
      <c r="C9" s="1">
        <v>4033</v>
      </c>
      <c r="D9" s="1">
        <v>3622.3</v>
      </c>
      <c r="E9" s="111" t="s">
        <v>520</v>
      </c>
      <c r="F9" s="12">
        <f>C9/(C9+C10)</f>
        <v>0.95019319574026961</v>
      </c>
      <c r="G9" s="12" t="s">
        <v>520</v>
      </c>
      <c r="H9" s="33">
        <f>(C9/D9)-1</f>
        <v>0.11338100102145043</v>
      </c>
      <c r="I9" s="274"/>
      <c r="J9" s="386" t="str">
        <f>IF(C9="","",IF(F9=0,"NA",TEXT(F9,"0%"))&amp;"; "&amp;IF(G9=0,"NA",TEXT(G9,"0.0%"))&amp;"; "&amp;IF(H9=0,"NA",TEXT(H9,"0%")))</f>
        <v>95%; N/A; 11%</v>
      </c>
      <c r="K9" s="7"/>
    </row>
    <row r="10" spans="2:22" x14ac:dyDescent="0.25">
      <c r="B10" s="157" t="s">
        <v>518</v>
      </c>
      <c r="C10" s="1">
        <v>211.4</v>
      </c>
      <c r="D10" s="1">
        <v>371.6</v>
      </c>
      <c r="E10" s="111" t="s">
        <v>520</v>
      </c>
      <c r="F10" s="12">
        <f>C10/(C10+C9)</f>
        <v>4.9806804259730476E-2</v>
      </c>
      <c r="G10" s="12" t="s">
        <v>520</v>
      </c>
      <c r="H10" s="33">
        <f>(C10/D10)-1</f>
        <v>-0.43110871905274495</v>
      </c>
      <c r="I10" s="274"/>
      <c r="J10" s="386" t="str">
        <f>IF(C10="","",IF(F10=0,"NA",TEXT(F10,"0%"))&amp;"; "&amp;IF(G10=0,"NA",TEXT(G10,"0.0%"))&amp;"; "&amp;IF(H10=0,"NA",TEXT(H10,"0%")))</f>
        <v>5%; N/A; -43%</v>
      </c>
      <c r="K10" s="7"/>
    </row>
    <row r="11" spans="2:22" ht="13.8" thickBot="1" x14ac:dyDescent="0.3">
      <c r="B11" s="36" t="s">
        <v>110</v>
      </c>
      <c r="C11" s="73">
        <f>SUM(C9:C10)</f>
        <v>4244.3999999999996</v>
      </c>
      <c r="D11" s="50">
        <f>SUM(D9:D10)</f>
        <v>3993.9</v>
      </c>
      <c r="E11" s="50">
        <f>SUM(E9:E10)</f>
        <v>0</v>
      </c>
      <c r="F11" s="37">
        <f>C11/SUM(C9:C10)</f>
        <v>1</v>
      </c>
      <c r="G11" s="134">
        <f>E11/C11</f>
        <v>0</v>
      </c>
      <c r="H11" s="38">
        <f>C11/D11-1</f>
        <v>6.2720648989709193E-2</v>
      </c>
      <c r="I11" s="275"/>
      <c r="J11" s="275"/>
    </row>
    <row r="12" spans="2:22" ht="30" x14ac:dyDescent="0.25">
      <c r="T12" s="474"/>
    </row>
    <row r="13" spans="2:22" ht="14.4" x14ac:dyDescent="0.3">
      <c r="B13" s="406"/>
    </row>
    <row r="17" spans="2:16" ht="24.6" x14ac:dyDescent="0.25">
      <c r="L17" s="476" t="s">
        <v>495</v>
      </c>
    </row>
    <row r="18" spans="2:16" x14ac:dyDescent="0.25">
      <c r="C18" s="1"/>
    </row>
    <row r="19" spans="2:16" ht="24.6" x14ac:dyDescent="0.4">
      <c r="B19" s="564"/>
      <c r="C19" s="564"/>
      <c r="D19" s="564"/>
      <c r="E19" s="564"/>
      <c r="F19" s="564"/>
      <c r="G19" s="564"/>
      <c r="H19" s="564"/>
      <c r="I19" s="241"/>
      <c r="J19" s="241"/>
      <c r="P19" s="475" t="s">
        <v>496</v>
      </c>
    </row>
    <row r="20" spans="2:16" ht="15.6" x14ac:dyDescent="0.3">
      <c r="B20" s="564"/>
      <c r="C20" s="564"/>
      <c r="D20" s="564"/>
      <c r="E20" s="564"/>
      <c r="F20" s="564"/>
      <c r="G20" s="564"/>
      <c r="H20" s="564"/>
      <c r="I20" s="241"/>
      <c r="J20" s="241"/>
    </row>
    <row r="21" spans="2:16" ht="15.6" x14ac:dyDescent="0.3">
      <c r="B21" s="564"/>
      <c r="C21" s="564"/>
      <c r="D21" s="564"/>
      <c r="E21" s="564"/>
      <c r="F21" s="564"/>
      <c r="G21" s="564"/>
      <c r="H21" s="564"/>
      <c r="I21" s="241"/>
      <c r="J21" s="241"/>
      <c r="K21" s="135"/>
    </row>
  </sheetData>
  <mergeCells count="3">
    <mergeCell ref="B19:H21"/>
    <mergeCell ref="B2:H2"/>
    <mergeCell ref="B7:H7"/>
  </mergeCells>
  <phoneticPr fontId="0" type="noConversion"/>
  <pageMargins left="0.75" right="0.75" top="1" bottom="1" header="0" footer="0"/>
  <pageSetup orientation="landscape"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6"/>
  <sheetViews>
    <sheetView workbookViewId="0">
      <selection activeCell="C6" sqref="C6"/>
    </sheetView>
  </sheetViews>
  <sheetFormatPr defaultColWidth="11.44140625" defaultRowHeight="13.2" x14ac:dyDescent="0.25"/>
  <cols>
    <col min="1" max="1" width="27.109375" bestFit="1" customWidth="1"/>
  </cols>
  <sheetData>
    <row r="1" spans="1:1" x14ac:dyDescent="0.25">
      <c r="A1" t="s">
        <v>157</v>
      </c>
    </row>
    <row r="2" spans="1:1" x14ac:dyDescent="0.25">
      <c r="A2" t="s">
        <v>158</v>
      </c>
    </row>
    <row r="3" spans="1:1" x14ac:dyDescent="0.25">
      <c r="A3" t="s">
        <v>159</v>
      </c>
    </row>
    <row r="4" spans="1:1" x14ac:dyDescent="0.25">
      <c r="A4" t="s">
        <v>160</v>
      </c>
    </row>
    <row r="5" spans="1:1" x14ac:dyDescent="0.25">
      <c r="A5" t="s">
        <v>161</v>
      </c>
    </row>
    <row r="6" spans="1:1" x14ac:dyDescent="0.25">
      <c r="A6" s="11" t="s">
        <v>162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B1:M32"/>
  <sheetViews>
    <sheetView showGridLines="0" tabSelected="1" zoomScale="70" zoomScaleNormal="70" workbookViewId="0">
      <selection activeCell="H15" sqref="H15"/>
    </sheetView>
  </sheetViews>
  <sheetFormatPr defaultColWidth="11.44140625" defaultRowHeight="13.2" x14ac:dyDescent="0.25"/>
  <cols>
    <col min="1" max="1" width="1.109375" style="11" customWidth="1"/>
    <col min="2" max="2" width="59.44140625" style="11" customWidth="1"/>
    <col min="3" max="3" width="8.33203125" style="11" bestFit="1" customWidth="1"/>
    <col min="4" max="4" width="10.6640625" style="11" bestFit="1" customWidth="1"/>
    <col min="5" max="5" width="11.88671875" style="11" bestFit="1" customWidth="1"/>
    <col min="6" max="6" width="10.44140625" style="11" bestFit="1" customWidth="1"/>
    <col min="7" max="7" width="9.88671875" style="11" bestFit="1" customWidth="1"/>
    <col min="8" max="8" width="121.44140625" style="11" customWidth="1"/>
    <col min="9" max="9" width="2.88671875" style="11" customWidth="1"/>
    <col min="10" max="10" width="7.109375" style="11" customWidth="1"/>
    <col min="11" max="11" width="3.88671875" style="11" customWidth="1"/>
    <col min="12" max="12" width="13.33203125" style="11" bestFit="1" customWidth="1"/>
    <col min="13" max="13" width="18.6640625" style="11" customWidth="1"/>
    <col min="14" max="16384" width="11.44140625" style="11"/>
  </cols>
  <sheetData>
    <row r="1" spans="2:13" ht="6" customHeight="1" thickBot="1" x14ac:dyDescent="0.3"/>
    <row r="2" spans="2:13" ht="21" x14ac:dyDescent="0.25">
      <c r="B2" s="583" t="s">
        <v>108</v>
      </c>
      <c r="C2" s="584"/>
      <c r="D2" s="584"/>
      <c r="E2" s="584"/>
      <c r="F2" s="584"/>
      <c r="G2" s="584"/>
      <c r="H2" s="585"/>
      <c r="J2" s="580" t="s">
        <v>102</v>
      </c>
      <c r="K2" s="581"/>
      <c r="L2" s="581"/>
      <c r="M2" s="582"/>
    </row>
    <row r="3" spans="2:13" x14ac:dyDescent="0.25">
      <c r="B3" s="25"/>
      <c r="C3" s="23" t="s">
        <v>70</v>
      </c>
      <c r="D3" s="23" t="s">
        <v>71</v>
      </c>
      <c r="E3" s="23" t="s">
        <v>109</v>
      </c>
      <c r="F3" s="23" t="s">
        <v>72</v>
      </c>
      <c r="G3" s="23" t="s">
        <v>73</v>
      </c>
      <c r="H3" s="26" t="s">
        <v>98</v>
      </c>
      <c r="J3" s="586" t="s">
        <v>101</v>
      </c>
      <c r="K3" s="587"/>
      <c r="L3" s="24" t="s">
        <v>100</v>
      </c>
      <c r="M3" s="29" t="s">
        <v>99</v>
      </c>
    </row>
    <row r="4" spans="2:13" ht="13.8" x14ac:dyDescent="0.25">
      <c r="B4" s="27" t="s">
        <v>74</v>
      </c>
      <c r="C4" s="169"/>
      <c r="D4" s="169"/>
      <c r="E4" s="169"/>
      <c r="F4" s="169"/>
      <c r="G4" s="170"/>
      <c r="H4" s="171"/>
      <c r="J4" s="55" t="s">
        <v>419</v>
      </c>
      <c r="K4" s="56">
        <v>0</v>
      </c>
      <c r="L4" s="57" t="s">
        <v>77</v>
      </c>
      <c r="M4" s="588" t="s">
        <v>426</v>
      </c>
    </row>
    <row r="5" spans="2:13" x14ac:dyDescent="0.25">
      <c r="B5" s="51" t="s">
        <v>75</v>
      </c>
      <c r="C5" s="172" t="s">
        <v>428</v>
      </c>
      <c r="D5" s="172" t="s">
        <v>431</v>
      </c>
      <c r="E5" s="172" t="s">
        <v>429</v>
      </c>
      <c r="F5" s="173" t="s">
        <v>431</v>
      </c>
      <c r="G5" s="395"/>
      <c r="H5" s="396" t="s">
        <v>432</v>
      </c>
      <c r="J5" s="55" t="s">
        <v>420</v>
      </c>
      <c r="K5" s="56">
        <v>1</v>
      </c>
      <c r="L5" s="57" t="s">
        <v>423</v>
      </c>
      <c r="M5" s="588"/>
    </row>
    <row r="6" spans="2:13" s="63" customFormat="1" x14ac:dyDescent="0.25">
      <c r="B6" s="62" t="s">
        <v>76</v>
      </c>
      <c r="C6" s="172" t="s">
        <v>428</v>
      </c>
      <c r="D6" s="172" t="s">
        <v>431</v>
      </c>
      <c r="E6" s="172" t="s">
        <v>429</v>
      </c>
      <c r="F6" s="173" t="s">
        <v>431</v>
      </c>
      <c r="G6" s="395"/>
      <c r="H6" s="397" t="s">
        <v>433</v>
      </c>
      <c r="J6" s="64" t="s">
        <v>421</v>
      </c>
      <c r="K6" s="65">
        <v>2</v>
      </c>
      <c r="L6" s="66" t="s">
        <v>424</v>
      </c>
      <c r="M6" s="588"/>
    </row>
    <row r="7" spans="2:13" ht="13.8" thickBot="1" x14ac:dyDescent="0.3">
      <c r="B7" s="51" t="s">
        <v>78</v>
      </c>
      <c r="C7" s="172" t="s">
        <v>442</v>
      </c>
      <c r="D7" s="172" t="s">
        <v>431</v>
      </c>
      <c r="E7" s="399" t="s">
        <v>436</v>
      </c>
      <c r="F7" s="173" t="s">
        <v>431</v>
      </c>
      <c r="G7" s="400"/>
      <c r="H7" s="397" t="s">
        <v>521</v>
      </c>
      <c r="J7" s="58" t="s">
        <v>422</v>
      </c>
      <c r="K7" s="59">
        <v>3</v>
      </c>
      <c r="L7" s="60" t="s">
        <v>425</v>
      </c>
      <c r="M7" s="589"/>
    </row>
    <row r="8" spans="2:13" ht="13.8" thickBot="1" x14ac:dyDescent="0.3">
      <c r="B8" s="51" t="s">
        <v>79</v>
      </c>
      <c r="C8" s="172" t="s">
        <v>442</v>
      </c>
      <c r="D8" s="172" t="s">
        <v>431</v>
      </c>
      <c r="E8" s="172" t="s">
        <v>437</v>
      </c>
      <c r="F8" s="173" t="s">
        <v>431</v>
      </c>
      <c r="G8" s="402"/>
      <c r="H8" s="396" t="s">
        <v>523</v>
      </c>
    </row>
    <row r="9" spans="2:13" x14ac:dyDescent="0.25">
      <c r="B9" s="52" t="s">
        <v>80</v>
      </c>
      <c r="C9" s="172" t="s">
        <v>430</v>
      </c>
      <c r="D9" s="172" t="s">
        <v>434</v>
      </c>
      <c r="E9" s="398" t="s">
        <v>435</v>
      </c>
      <c r="F9" s="173" t="s">
        <v>434</v>
      </c>
      <c r="G9" s="401"/>
      <c r="H9" s="505" t="s">
        <v>522</v>
      </c>
      <c r="J9" s="590" t="s">
        <v>427</v>
      </c>
      <c r="K9" s="591"/>
      <c r="L9" s="592"/>
    </row>
    <row r="10" spans="2:13" ht="13.8" x14ac:dyDescent="0.25">
      <c r="B10" s="27" t="s">
        <v>81</v>
      </c>
      <c r="C10" s="174"/>
      <c r="D10" s="175"/>
      <c r="E10" s="175"/>
      <c r="F10" s="175"/>
      <c r="G10" s="176"/>
      <c r="H10" s="177"/>
      <c r="J10" s="571"/>
      <c r="K10" s="572"/>
      <c r="L10" s="573"/>
    </row>
    <row r="11" spans="2:13" x14ac:dyDescent="0.25">
      <c r="B11" s="51" t="s">
        <v>82</v>
      </c>
      <c r="C11" s="172" t="s">
        <v>442</v>
      </c>
      <c r="D11" s="172" t="s">
        <v>434</v>
      </c>
      <c r="E11" s="172" t="s">
        <v>442</v>
      </c>
      <c r="F11" s="173" t="s">
        <v>434</v>
      </c>
      <c r="G11" s="410"/>
      <c r="H11" s="507" t="s">
        <v>520</v>
      </c>
      <c r="J11" s="574"/>
      <c r="K11" s="575"/>
      <c r="L11" s="576"/>
    </row>
    <row r="12" spans="2:13" ht="13.8" thickBot="1" x14ac:dyDescent="0.3">
      <c r="B12" s="51" t="s">
        <v>83</v>
      </c>
      <c r="C12" s="172" t="s">
        <v>442</v>
      </c>
      <c r="D12" s="172" t="s">
        <v>431</v>
      </c>
      <c r="E12" s="172" t="s">
        <v>442</v>
      </c>
      <c r="F12" s="178" t="s">
        <v>431</v>
      </c>
      <c r="G12" s="410"/>
      <c r="H12" s="504" t="s">
        <v>515</v>
      </c>
      <c r="J12" s="577"/>
      <c r="K12" s="578"/>
      <c r="L12" s="579"/>
    </row>
    <row r="13" spans="2:13" ht="15" customHeight="1" x14ac:dyDescent="0.25">
      <c r="B13" s="53" t="s">
        <v>84</v>
      </c>
      <c r="C13" s="172" t="s">
        <v>444</v>
      </c>
      <c r="D13" s="172" t="s">
        <v>434</v>
      </c>
      <c r="E13" s="172" t="s">
        <v>442</v>
      </c>
      <c r="F13" s="173" t="s">
        <v>434</v>
      </c>
      <c r="G13" s="463"/>
      <c r="H13" s="508" t="s">
        <v>519</v>
      </c>
    </row>
    <row r="14" spans="2:13" ht="26.4" x14ac:dyDescent="0.25">
      <c r="B14" s="51" t="s">
        <v>85</v>
      </c>
      <c r="C14" s="172" t="s">
        <v>442</v>
      </c>
      <c r="D14" s="172" t="s">
        <v>431</v>
      </c>
      <c r="E14" s="172" t="s">
        <v>442</v>
      </c>
      <c r="F14" s="173" t="s">
        <v>431</v>
      </c>
      <c r="G14" s="411"/>
      <c r="H14" s="504" t="s">
        <v>530</v>
      </c>
    </row>
    <row r="15" spans="2:13" x14ac:dyDescent="0.25">
      <c r="B15" s="51" t="s">
        <v>86</v>
      </c>
      <c r="C15" s="179" t="s">
        <v>444</v>
      </c>
      <c r="D15" s="179" t="s">
        <v>434</v>
      </c>
      <c r="E15" s="179" t="s">
        <v>442</v>
      </c>
      <c r="F15" s="179" t="s">
        <v>434</v>
      </c>
      <c r="G15" s="410"/>
      <c r="H15" s="504" t="s">
        <v>520</v>
      </c>
    </row>
    <row r="16" spans="2:13" x14ac:dyDescent="0.25">
      <c r="B16" s="51" t="s">
        <v>87</v>
      </c>
      <c r="C16" s="180"/>
      <c r="D16" s="172" t="s">
        <v>431</v>
      </c>
      <c r="E16" s="172" t="s">
        <v>442</v>
      </c>
      <c r="F16" s="173" t="s">
        <v>431</v>
      </c>
      <c r="G16" s="410"/>
      <c r="H16" s="503" t="s">
        <v>507</v>
      </c>
    </row>
    <row r="17" spans="2:8" ht="26.4" x14ac:dyDescent="0.25">
      <c r="B17" s="51" t="s">
        <v>88</v>
      </c>
      <c r="C17" s="172" t="s">
        <v>444</v>
      </c>
      <c r="D17" s="172" t="s">
        <v>431</v>
      </c>
      <c r="E17" s="172" t="s">
        <v>429</v>
      </c>
      <c r="F17" s="173" t="s">
        <v>434</v>
      </c>
      <c r="G17" s="410"/>
      <c r="H17" s="504" t="s">
        <v>529</v>
      </c>
    </row>
    <row r="18" spans="2:8" ht="26.4" x14ac:dyDescent="0.25">
      <c r="B18" s="51" t="s">
        <v>89</v>
      </c>
      <c r="C18" s="172" t="s">
        <v>428</v>
      </c>
      <c r="D18" s="172" t="s">
        <v>431</v>
      </c>
      <c r="E18" s="172" t="s">
        <v>442</v>
      </c>
      <c r="F18" s="173" t="s">
        <v>431</v>
      </c>
      <c r="G18" s="410"/>
      <c r="H18" s="504" t="s">
        <v>527</v>
      </c>
    </row>
    <row r="19" spans="2:8" ht="26.4" x14ac:dyDescent="0.25">
      <c r="B19" s="51" t="s">
        <v>90</v>
      </c>
      <c r="C19" s="172" t="s">
        <v>444</v>
      </c>
      <c r="D19" s="172" t="s">
        <v>431</v>
      </c>
      <c r="E19" s="172" t="s">
        <v>442</v>
      </c>
      <c r="F19" s="173" t="s">
        <v>431</v>
      </c>
      <c r="G19" s="410"/>
      <c r="H19" s="504" t="s">
        <v>526</v>
      </c>
    </row>
    <row r="20" spans="2:8" ht="26.4" x14ac:dyDescent="0.25">
      <c r="B20" s="52" t="s">
        <v>91</v>
      </c>
      <c r="C20" s="181" t="s">
        <v>444</v>
      </c>
      <c r="D20" s="181" t="s">
        <v>434</v>
      </c>
      <c r="E20" s="181" t="s">
        <v>442</v>
      </c>
      <c r="F20" s="182" t="s">
        <v>434</v>
      </c>
      <c r="G20" s="464"/>
      <c r="H20" s="505" t="s">
        <v>508</v>
      </c>
    </row>
    <row r="21" spans="2:8" ht="13.8" x14ac:dyDescent="0.25">
      <c r="B21" s="28" t="s">
        <v>92</v>
      </c>
      <c r="C21" s="408"/>
      <c r="D21" s="407"/>
      <c r="E21" s="178" t="s">
        <v>263</v>
      </c>
      <c r="F21" s="407"/>
      <c r="G21" s="415"/>
      <c r="H21" s="183"/>
    </row>
    <row r="22" spans="2:8" x14ac:dyDescent="0.25">
      <c r="B22" s="51" t="s">
        <v>93</v>
      </c>
      <c r="C22" s="180"/>
      <c r="D22" s="180"/>
      <c r="E22" s="178" t="s">
        <v>429</v>
      </c>
      <c r="F22" s="178" t="s">
        <v>443</v>
      </c>
      <c r="G22" s="409"/>
      <c r="H22" s="506" t="s">
        <v>510</v>
      </c>
    </row>
    <row r="23" spans="2:8" x14ac:dyDescent="0.25">
      <c r="B23" s="51" t="s">
        <v>94</v>
      </c>
      <c r="C23" s="180"/>
      <c r="D23" s="180"/>
      <c r="E23" s="178" t="s">
        <v>429</v>
      </c>
      <c r="F23" s="178" t="s">
        <v>434</v>
      </c>
      <c r="G23" s="412"/>
      <c r="H23" s="504" t="s">
        <v>509</v>
      </c>
    </row>
    <row r="24" spans="2:8" x14ac:dyDescent="0.25">
      <c r="B24" s="51" t="s">
        <v>185</v>
      </c>
      <c r="C24" s="180"/>
      <c r="D24" s="180"/>
      <c r="E24" s="178" t="s">
        <v>429</v>
      </c>
      <c r="F24" s="178" t="s">
        <v>434</v>
      </c>
      <c r="G24" s="410"/>
      <c r="H24" s="504" t="s">
        <v>512</v>
      </c>
    </row>
    <row r="25" spans="2:8" x14ac:dyDescent="0.25">
      <c r="B25" s="51" t="s">
        <v>139</v>
      </c>
      <c r="C25" s="180"/>
      <c r="D25" s="180"/>
      <c r="E25" s="178" t="s">
        <v>442</v>
      </c>
      <c r="F25" s="178" t="s">
        <v>434</v>
      </c>
      <c r="G25" s="410"/>
      <c r="H25" s="504" t="s">
        <v>513</v>
      </c>
    </row>
    <row r="26" spans="2:8" x14ac:dyDescent="0.25">
      <c r="B26" s="51" t="s">
        <v>95</v>
      </c>
      <c r="C26" s="180"/>
      <c r="D26" s="180"/>
      <c r="E26" s="178" t="s">
        <v>436</v>
      </c>
      <c r="F26" s="178" t="s">
        <v>434</v>
      </c>
      <c r="G26" s="412"/>
      <c r="H26" s="504" t="s">
        <v>511</v>
      </c>
    </row>
    <row r="27" spans="2:8" x14ac:dyDescent="0.25">
      <c r="B27" s="51" t="s">
        <v>142</v>
      </c>
      <c r="C27" s="180"/>
      <c r="D27" s="180"/>
      <c r="E27" s="178" t="s">
        <v>429</v>
      </c>
      <c r="F27" s="178" t="s">
        <v>434</v>
      </c>
      <c r="G27" s="410"/>
      <c r="H27" s="504" t="s">
        <v>525</v>
      </c>
    </row>
    <row r="28" spans="2:8" x14ac:dyDescent="0.25">
      <c r="B28" s="51" t="s">
        <v>186</v>
      </c>
      <c r="C28" s="180"/>
      <c r="D28" s="180"/>
      <c r="E28" s="178" t="s">
        <v>442</v>
      </c>
      <c r="F28" s="178" t="s">
        <v>434</v>
      </c>
      <c r="G28" s="414"/>
      <c r="H28" s="507" t="s">
        <v>514</v>
      </c>
    </row>
    <row r="29" spans="2:8" x14ac:dyDescent="0.25">
      <c r="B29" s="51" t="s">
        <v>138</v>
      </c>
      <c r="C29" s="180"/>
      <c r="D29" s="180"/>
      <c r="E29" s="178" t="s">
        <v>429</v>
      </c>
      <c r="F29" s="178" t="s">
        <v>434</v>
      </c>
      <c r="G29" s="410"/>
      <c r="H29" s="507" t="s">
        <v>528</v>
      </c>
    </row>
    <row r="30" spans="2:8" ht="26.4" x14ac:dyDescent="0.25">
      <c r="B30" s="51" t="s">
        <v>96</v>
      </c>
      <c r="C30" s="180"/>
      <c r="D30" s="178" t="s">
        <v>431</v>
      </c>
      <c r="E30" s="178" t="s">
        <v>442</v>
      </c>
      <c r="F30" s="178" t="s">
        <v>434</v>
      </c>
      <c r="G30" s="409"/>
      <c r="H30" s="504" t="s">
        <v>524</v>
      </c>
    </row>
    <row r="31" spans="2:8" ht="13.8" thickBot="1" x14ac:dyDescent="0.3">
      <c r="B31" s="54" t="s">
        <v>97</v>
      </c>
      <c r="C31" s="184"/>
      <c r="D31" s="185" t="s">
        <v>431</v>
      </c>
      <c r="E31" s="186" t="s">
        <v>442</v>
      </c>
      <c r="F31" s="186" t="s">
        <v>434</v>
      </c>
      <c r="G31" s="413"/>
      <c r="H31" s="123" t="s">
        <v>516</v>
      </c>
    </row>
    <row r="32" spans="2:8" ht="15.75" customHeight="1" x14ac:dyDescent="0.3">
      <c r="B32" s="67"/>
      <c r="H32" s="104"/>
    </row>
  </sheetData>
  <mergeCells count="8">
    <mergeCell ref="J10:L10"/>
    <mergeCell ref="J11:L11"/>
    <mergeCell ref="J12:L12"/>
    <mergeCell ref="J2:M2"/>
    <mergeCell ref="B2:H2"/>
    <mergeCell ref="J3:K3"/>
    <mergeCell ref="M4:M7"/>
    <mergeCell ref="J9:L9"/>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tabColor rgb="FF0070C0"/>
  </sheetPr>
  <dimension ref="A1:AD88"/>
  <sheetViews>
    <sheetView topLeftCell="P25" zoomScaleNormal="100" workbookViewId="0">
      <pane xSplit="15528" topLeftCell="Y1"/>
      <selection activeCell="AC36" sqref="AC36"/>
      <selection pane="topRight" activeCell="AB41" sqref="AB41"/>
    </sheetView>
  </sheetViews>
  <sheetFormatPr defaultColWidth="11.44140625" defaultRowHeight="13.2" x14ac:dyDescent="0.25"/>
  <cols>
    <col min="1" max="1" width="24.44140625" bestFit="1" customWidth="1"/>
    <col min="2" max="2" width="11.33203125" customWidth="1"/>
    <col min="3" max="3" width="20" bestFit="1" customWidth="1"/>
    <col min="4" max="9" width="11.109375" style="4" customWidth="1"/>
    <col min="10" max="11" width="8.88671875" style="4" bestFit="1" customWidth="1"/>
    <col min="12" max="12" width="9.44140625" style="4" bestFit="1" customWidth="1"/>
    <col min="13" max="13" width="9.109375" style="4" bestFit="1" customWidth="1"/>
    <col min="14" max="16" width="9.33203125" style="4" bestFit="1" customWidth="1"/>
    <col min="17" max="20" width="9.44140625" style="4" bestFit="1" customWidth="1"/>
    <col min="21" max="21" width="10" style="4" bestFit="1" customWidth="1"/>
    <col min="22" max="22" width="9.88671875" style="4" bestFit="1" customWidth="1"/>
    <col min="23" max="23" width="10" style="4" bestFit="1" customWidth="1"/>
    <col min="24" max="25" width="9.88671875" style="4" bestFit="1" customWidth="1"/>
    <col min="26" max="26" width="10.109375" style="4" bestFit="1" customWidth="1"/>
    <col min="27" max="28" width="10" style="4" bestFit="1" customWidth="1"/>
    <col min="29" max="29" width="10.44140625" style="4" bestFit="1" customWidth="1"/>
  </cols>
  <sheetData>
    <row r="1" spans="1:30" ht="21" x14ac:dyDescent="0.4">
      <c r="A1" s="594" t="s">
        <v>111</v>
      </c>
      <c r="B1" s="594"/>
      <c r="C1" s="594"/>
      <c r="D1" s="594"/>
      <c r="E1" s="594"/>
      <c r="F1" s="594"/>
      <c r="G1" s="594"/>
      <c r="H1" s="594"/>
      <c r="I1" s="594"/>
      <c r="J1" s="594"/>
      <c r="K1" s="594"/>
      <c r="L1" s="594"/>
    </row>
    <row r="2" spans="1:30" x14ac:dyDescent="0.25">
      <c r="A2" s="74"/>
      <c r="B2" s="74"/>
      <c r="C2" s="74"/>
      <c r="D2" s="74"/>
      <c r="E2" s="74"/>
      <c r="F2" s="74"/>
      <c r="G2" s="74"/>
      <c r="H2" s="74"/>
      <c r="I2" s="74"/>
      <c r="J2" s="74"/>
      <c r="K2" s="74"/>
      <c r="L2" s="74"/>
    </row>
    <row r="3" spans="1:30" x14ac:dyDescent="0.25">
      <c r="A3" s="74" t="s">
        <v>9</v>
      </c>
      <c r="B3" s="74"/>
      <c r="C3" s="74"/>
      <c r="D3" s="74"/>
      <c r="E3" s="74" t="s">
        <v>1</v>
      </c>
      <c r="F3" s="74"/>
      <c r="G3" s="74"/>
      <c r="H3" s="74"/>
      <c r="I3" s="74"/>
      <c r="J3" s="74"/>
      <c r="K3" s="74"/>
      <c r="L3" s="74"/>
    </row>
    <row r="4" spans="1:30" x14ac:dyDescent="0.25">
      <c r="A4" s="74"/>
      <c r="B4" s="74"/>
      <c r="C4" s="74"/>
      <c r="D4" s="74"/>
      <c r="E4" s="74"/>
      <c r="F4" s="74"/>
      <c r="G4" s="74"/>
      <c r="H4" s="74"/>
      <c r="I4" s="74"/>
      <c r="J4" s="74"/>
      <c r="K4" s="74"/>
      <c r="L4" s="74"/>
    </row>
    <row r="5" spans="1:30" x14ac:dyDescent="0.25">
      <c r="A5" s="74"/>
      <c r="B5" s="74"/>
      <c r="C5" s="74"/>
      <c r="D5" s="74"/>
      <c r="E5" s="74"/>
      <c r="F5" s="74"/>
      <c r="G5" s="74"/>
      <c r="H5" s="74"/>
      <c r="I5" s="74"/>
      <c r="J5" s="74"/>
      <c r="K5" s="74"/>
      <c r="L5" s="74"/>
    </row>
    <row r="6" spans="1:30" x14ac:dyDescent="0.25">
      <c r="A6" s="74"/>
      <c r="B6" s="74"/>
      <c r="C6" s="74"/>
      <c r="D6" s="74"/>
      <c r="E6" s="74"/>
      <c r="F6" s="74"/>
      <c r="G6" s="74"/>
      <c r="H6" s="74"/>
      <c r="I6" s="74"/>
      <c r="J6" s="74"/>
      <c r="K6" s="74"/>
      <c r="L6" s="74"/>
    </row>
    <row r="7" spans="1:30" x14ac:dyDescent="0.25">
      <c r="A7" s="74"/>
      <c r="B7" s="74"/>
      <c r="C7" s="74"/>
      <c r="D7" s="74"/>
      <c r="E7" s="74"/>
      <c r="F7" s="74"/>
      <c r="G7" s="74"/>
      <c r="H7" s="74"/>
      <c r="I7" s="74"/>
      <c r="J7" s="74"/>
      <c r="K7" s="74"/>
      <c r="L7" s="74"/>
    </row>
    <row r="8" spans="1:30" x14ac:dyDescent="0.25">
      <c r="A8" s="74"/>
      <c r="B8" s="74"/>
      <c r="C8" s="74"/>
      <c r="D8" s="74"/>
      <c r="E8" s="74"/>
      <c r="F8" s="74"/>
      <c r="G8" s="74"/>
      <c r="H8" s="74"/>
      <c r="I8" s="74"/>
      <c r="J8" s="74"/>
      <c r="K8" s="74"/>
      <c r="L8" s="74"/>
    </row>
    <row r="9" spans="1:30" x14ac:dyDescent="0.25">
      <c r="A9" s="74"/>
      <c r="B9" s="74"/>
      <c r="C9" s="74"/>
      <c r="D9" s="74"/>
      <c r="E9" s="74"/>
      <c r="F9" s="74"/>
      <c r="G9" s="74"/>
      <c r="H9" s="74"/>
      <c r="I9" s="74"/>
      <c r="J9" s="74"/>
      <c r="K9" s="74"/>
      <c r="L9" s="74"/>
    </row>
    <row r="10" spans="1:30" x14ac:dyDescent="0.25">
      <c r="A10" s="74"/>
      <c r="B10" s="74"/>
      <c r="C10" s="74"/>
      <c r="D10" s="74"/>
      <c r="E10" s="74"/>
      <c r="F10" s="74"/>
      <c r="G10" s="74"/>
      <c r="H10" s="74"/>
      <c r="I10" s="74"/>
      <c r="J10" s="74"/>
      <c r="K10" s="74"/>
      <c r="L10" s="74"/>
    </row>
    <row r="11" spans="1:30" x14ac:dyDescent="0.25">
      <c r="A11" s="74"/>
      <c r="B11" s="74"/>
      <c r="C11" s="74"/>
      <c r="D11" s="74"/>
      <c r="E11" s="74"/>
      <c r="F11" s="74"/>
      <c r="G11" s="74"/>
      <c r="H11" s="74"/>
      <c r="I11" s="74"/>
      <c r="J11" s="74"/>
      <c r="K11" s="74"/>
      <c r="L11" s="74"/>
    </row>
    <row r="12" spans="1:30" x14ac:dyDescent="0.25">
      <c r="A12" s="74"/>
      <c r="B12" s="74"/>
      <c r="C12" s="74"/>
      <c r="D12" s="74"/>
      <c r="E12" s="74"/>
      <c r="F12" s="74"/>
      <c r="G12" s="74"/>
      <c r="H12" s="74"/>
      <c r="I12" s="74"/>
      <c r="J12" s="74"/>
      <c r="K12" s="74"/>
      <c r="L12" s="74"/>
      <c r="Z12" s="1"/>
    </row>
    <row r="13" spans="1:30" x14ac:dyDescent="0.25">
      <c r="A13" s="74"/>
      <c r="B13" s="74"/>
      <c r="C13" s="74"/>
      <c r="D13" s="74"/>
      <c r="E13" s="74"/>
      <c r="F13" s="74"/>
      <c r="G13" s="74"/>
      <c r="H13" s="74"/>
      <c r="I13" s="74"/>
      <c r="J13" s="74"/>
      <c r="K13" s="74"/>
      <c r="L13" s="74"/>
    </row>
    <row r="14" spans="1:30" x14ac:dyDescent="0.25">
      <c r="A14" s="74"/>
      <c r="B14" s="74"/>
      <c r="C14" s="74"/>
      <c r="D14" s="74"/>
      <c r="E14" s="74"/>
      <c r="F14" s="74"/>
      <c r="G14" s="74"/>
      <c r="H14" s="74"/>
      <c r="I14" s="74"/>
      <c r="J14" s="74"/>
      <c r="K14" s="74"/>
      <c r="L14" s="74"/>
    </row>
    <row r="15" spans="1:30" x14ac:dyDescent="0.25">
      <c r="A15" s="74"/>
      <c r="B15" s="74"/>
      <c r="C15" s="74"/>
      <c r="D15" s="74"/>
      <c r="E15" s="74"/>
      <c r="F15" s="74"/>
      <c r="G15" s="74"/>
      <c r="H15" s="74"/>
      <c r="I15" s="74"/>
      <c r="J15" s="74"/>
      <c r="K15" s="74"/>
      <c r="L15" s="74"/>
      <c r="AD15" s="110"/>
    </row>
    <row r="16" spans="1:30" x14ac:dyDescent="0.25">
      <c r="A16" s="74" t="s">
        <v>19</v>
      </c>
      <c r="B16" s="74"/>
      <c r="C16" s="74"/>
      <c r="D16" s="74"/>
      <c r="E16" s="74" t="s">
        <v>41</v>
      </c>
      <c r="F16" s="74"/>
      <c r="G16" s="74"/>
      <c r="H16" s="74"/>
      <c r="I16" s="74"/>
      <c r="J16" s="74"/>
      <c r="K16" s="74"/>
      <c r="L16" s="74"/>
      <c r="AD16" s="110"/>
    </row>
    <row r="17" spans="4:30" x14ac:dyDescent="0.25">
      <c r="AD17" s="110"/>
    </row>
    <row r="18" spans="4:30" x14ac:dyDescent="0.25">
      <c r="AD18" s="110"/>
    </row>
    <row r="19" spans="4:30" x14ac:dyDescent="0.25">
      <c r="AD19" s="110"/>
    </row>
    <row r="20" spans="4:30" x14ac:dyDescent="0.25">
      <c r="AD20" s="110"/>
    </row>
    <row r="21" spans="4:30" x14ac:dyDescent="0.25">
      <c r="AD21" s="110"/>
    </row>
    <row r="22" spans="4:30" x14ac:dyDescent="0.25">
      <c r="AD22" s="110"/>
    </row>
    <row r="23" spans="4:30" x14ac:dyDescent="0.25">
      <c r="AD23" s="110"/>
    </row>
    <row r="24" spans="4:30" x14ac:dyDescent="0.25">
      <c r="AD24" s="110"/>
    </row>
    <row r="25" spans="4:30" x14ac:dyDescent="0.25">
      <c r="AD25" s="110"/>
    </row>
    <row r="26" spans="4:30" x14ac:dyDescent="0.25">
      <c r="K26" s="193"/>
      <c r="AD26" s="110"/>
    </row>
    <row r="27" spans="4:30" x14ac:dyDescent="0.25">
      <c r="K27" s="193"/>
      <c r="AD27" s="110"/>
    </row>
    <row r="31" spans="4:30" x14ac:dyDescent="0.25">
      <c r="D31" s="242">
        <v>1E-3</v>
      </c>
      <c r="E31" s="243">
        <f>1/((1+$B$59+$D31)^(E35-2021))</f>
        <v>0.92250922509225108</v>
      </c>
      <c r="F31" s="243">
        <f t="shared" ref="F31:AC31" si="0">1/((1+$B$59+$D31)^(F35-2021))</f>
        <v>0.85102327038030556</v>
      </c>
      <c r="G31" s="243">
        <f t="shared" si="0"/>
        <v>0.78507681769400894</v>
      </c>
      <c r="H31" s="243">
        <f t="shared" si="0"/>
        <v>0.72424060672879054</v>
      </c>
      <c r="I31" s="243">
        <f t="shared" si="0"/>
        <v>0.66811864089371831</v>
      </c>
      <c r="J31" s="243">
        <f t="shared" si="0"/>
        <v>0.61634560968055208</v>
      </c>
      <c r="K31" s="243">
        <f t="shared" si="0"/>
        <v>0.56858451077541716</v>
      </c>
      <c r="L31" s="243">
        <f t="shared" si="0"/>
        <v>0.52452445643488677</v>
      </c>
      <c r="M31" s="243">
        <f t="shared" si="0"/>
        <v>0.48387864984768159</v>
      </c>
      <c r="N31" s="243">
        <f t="shared" si="0"/>
        <v>0.44638251830966935</v>
      </c>
      <c r="O31" s="243">
        <f t="shared" si="0"/>
        <v>0.41179199106058068</v>
      </c>
      <c r="P31" s="243">
        <f t="shared" si="0"/>
        <v>0.37988191057249149</v>
      </c>
      <c r="Q31" s="243">
        <f t="shared" si="0"/>
        <v>0.35044456694879283</v>
      </c>
      <c r="R31" s="243">
        <f t="shared" si="0"/>
        <v>0.32328834589372041</v>
      </c>
      <c r="S31" s="243">
        <f t="shared" si="0"/>
        <v>0.29823648145177167</v>
      </c>
      <c r="T31" s="243">
        <f t="shared" si="0"/>
        <v>0.27512590539831339</v>
      </c>
      <c r="U31" s="243">
        <f t="shared" si="0"/>
        <v>0.25380618579180203</v>
      </c>
      <c r="V31" s="243">
        <f t="shared" si="0"/>
        <v>0.2341385477784152</v>
      </c>
      <c r="W31" s="243">
        <f t="shared" si="0"/>
        <v>0.21599497027529083</v>
      </c>
      <c r="X31" s="243">
        <f t="shared" si="0"/>
        <v>0.19925735265248232</v>
      </c>
      <c r="Y31" s="243">
        <f t="shared" si="0"/>
        <v>0.18381674598937486</v>
      </c>
      <c r="Z31" s="243">
        <f t="shared" si="0"/>
        <v>0.16957264390163737</v>
      </c>
      <c r="AA31" s="243">
        <f t="shared" si="0"/>
        <v>0.1564323283225437</v>
      </c>
      <c r="AB31" s="243">
        <f t="shared" si="0"/>
        <v>0.14431026598020638</v>
      </c>
      <c r="AC31" s="243">
        <f t="shared" si="0"/>
        <v>0.13312755164225684</v>
      </c>
    </row>
    <row r="32" spans="4:30" x14ac:dyDescent="0.25">
      <c r="D32" s="244">
        <v>5.0000000000000001E-3</v>
      </c>
      <c r="E32" s="243">
        <f>1/((1+$B$59+$D32)^(E35-2021))</f>
        <v>0.91911764705882371</v>
      </c>
      <c r="F32" s="243">
        <f t="shared" ref="F32:AC32" si="1">1/((1+$B$59+$D32)^(F35-2021))</f>
        <v>0.84477724913494834</v>
      </c>
      <c r="G32" s="243">
        <f t="shared" si="1"/>
        <v>0.77644967751373939</v>
      </c>
      <c r="H32" s="243">
        <f t="shared" si="1"/>
        <v>0.71364860065601055</v>
      </c>
      <c r="I32" s="243">
        <f t="shared" si="1"/>
        <v>0.65592702266177449</v>
      </c>
      <c r="J32" s="243">
        <f t="shared" si="1"/>
        <v>0.60287410171118994</v>
      </c>
      <c r="K32" s="243">
        <f t="shared" si="1"/>
        <v>0.55411222583749076</v>
      </c>
      <c r="L32" s="243">
        <f t="shared" si="1"/>
        <v>0.509294325218282</v>
      </c>
      <c r="M32" s="243">
        <f t="shared" si="1"/>
        <v>0.46810140185503862</v>
      </c>
      <c r="N32" s="243">
        <f t="shared" si="1"/>
        <v>0.43024025905793994</v>
      </c>
      <c r="O32" s="243">
        <f t="shared" si="1"/>
        <v>0.39544141457531257</v>
      </c>
      <c r="P32" s="243">
        <f t="shared" si="1"/>
        <v>0.36345718251407405</v>
      </c>
      <c r="Q32" s="243">
        <f t="shared" si="1"/>
        <v>0.33405991039896515</v>
      </c>
      <c r="R32" s="243">
        <f t="shared" si="1"/>
        <v>0.30704035882257835</v>
      </c>
      <c r="S32" s="243">
        <f t="shared" si="1"/>
        <v>0.28220621215310515</v>
      </c>
      <c r="T32" s="243">
        <f t="shared" si="1"/>
        <v>0.25938070969954519</v>
      </c>
      <c r="U32" s="243">
        <f t="shared" si="1"/>
        <v>0.23840138759149374</v>
      </c>
      <c r="V32" s="243">
        <f t="shared" si="1"/>
        <v>0.21911892241865238</v>
      </c>
      <c r="W32" s="243">
        <f t="shared" si="1"/>
        <v>0.2013960683994967</v>
      </c>
      <c r="X32" s="243">
        <f t="shared" si="1"/>
        <v>0.18510668051424331</v>
      </c>
      <c r="Y32" s="243">
        <f t="shared" si="1"/>
        <v>0.17013481664912072</v>
      </c>
      <c r="Z32" s="243">
        <f t="shared" si="1"/>
        <v>0.15637391236132422</v>
      </c>
      <c r="AA32" s="243">
        <f t="shared" si="1"/>
        <v>0.143726022390923</v>
      </c>
      <c r="AB32" s="243">
        <f t="shared" si="1"/>
        <v>0.13210112352106895</v>
      </c>
      <c r="AC32" s="243">
        <f t="shared" si="1"/>
        <v>0.1214164738245119</v>
      </c>
    </row>
    <row r="33" spans="1:30" x14ac:dyDescent="0.25">
      <c r="D33" s="123" t="s">
        <v>264</v>
      </c>
      <c r="E33" s="243">
        <f>1/((1+$B$59)^(E35-2021))</f>
        <v>0.92336103416435833</v>
      </c>
      <c r="F33" s="243">
        <f t="shared" ref="F33:AC33" si="2">1/((1+$B$59)^(F35-2021))</f>
        <v>0.85259559941307328</v>
      </c>
      <c r="G33" s="243">
        <f t="shared" si="2"/>
        <v>0.78725355439803635</v>
      </c>
      <c r="H33" s="243">
        <f t="shared" si="2"/>
        <v>0.72691925613853769</v>
      </c>
      <c r="I33" s="243">
        <f t="shared" si="2"/>
        <v>0.67120891610206623</v>
      </c>
      <c r="J33" s="243">
        <f t="shared" si="2"/>
        <v>0.61976815891234194</v>
      </c>
      <c r="K33" s="243">
        <f t="shared" si="2"/>
        <v>0.57226976815544039</v>
      </c>
      <c r="L33" s="243">
        <f t="shared" si="2"/>
        <v>0.52841160494500505</v>
      </c>
      <c r="M33" s="243">
        <f t="shared" si="2"/>
        <v>0.48791468600646815</v>
      </c>
      <c r="N33" s="243">
        <f t="shared" si="2"/>
        <v>0.45052140905491062</v>
      </c>
      <c r="O33" s="243">
        <f t="shared" si="2"/>
        <v>0.4159939141781262</v>
      </c>
      <c r="P33" s="243">
        <f t="shared" si="2"/>
        <v>0.38411257080159389</v>
      </c>
      <c r="Q33" s="243">
        <f t="shared" si="2"/>
        <v>0.35467458061089008</v>
      </c>
      <c r="R33" s="243">
        <f t="shared" si="2"/>
        <v>0.32749268754468147</v>
      </c>
      <c r="S33" s="243">
        <f t="shared" si="2"/>
        <v>0.30239398665252215</v>
      </c>
      <c r="T33" s="243">
        <f t="shared" si="2"/>
        <v>0.27921882424055605</v>
      </c>
      <c r="U33" s="243">
        <f t="shared" si="2"/>
        <v>0.25781978230891606</v>
      </c>
      <c r="V33" s="243">
        <f t="shared" si="2"/>
        <v>0.23806074082079043</v>
      </c>
      <c r="W33" s="243">
        <f t="shared" si="2"/>
        <v>0.21981601183821831</v>
      </c>
      <c r="X33" s="243">
        <f t="shared" si="2"/>
        <v>0.2029695400168221</v>
      </c>
      <c r="Y33" s="243">
        <f t="shared" si="2"/>
        <v>0.18741416437379693</v>
      </c>
      <c r="Z33" s="243">
        <f t="shared" si="2"/>
        <v>0.1730509366332382</v>
      </c>
      <c r="AA33" s="243">
        <f t="shared" si="2"/>
        <v>0.15978849181277768</v>
      </c>
      <c r="AB33" s="243">
        <f t="shared" si="2"/>
        <v>0.14754246704780949</v>
      </c>
      <c r="AC33" s="243">
        <f t="shared" si="2"/>
        <v>0.13623496495642612</v>
      </c>
    </row>
    <row r="35" spans="1:30" x14ac:dyDescent="0.25">
      <c r="B35" s="42" t="s">
        <v>177</v>
      </c>
      <c r="C35" s="42" t="s">
        <v>196</v>
      </c>
      <c r="D35" s="13">
        <v>2021</v>
      </c>
      <c r="E35" s="13">
        <f>D35+1</f>
        <v>2022</v>
      </c>
      <c r="F35" s="13">
        <f t="shared" ref="F35:AC35" si="3">E35+1</f>
        <v>2023</v>
      </c>
      <c r="G35" s="13">
        <f t="shared" si="3"/>
        <v>2024</v>
      </c>
      <c r="H35" s="13">
        <f t="shared" si="3"/>
        <v>2025</v>
      </c>
      <c r="I35" s="13">
        <f t="shared" si="3"/>
        <v>2026</v>
      </c>
      <c r="J35" s="13">
        <f t="shared" si="3"/>
        <v>2027</v>
      </c>
      <c r="K35" s="13">
        <f t="shared" si="3"/>
        <v>2028</v>
      </c>
      <c r="L35" s="13">
        <f t="shared" si="3"/>
        <v>2029</v>
      </c>
      <c r="M35" s="13">
        <f t="shared" si="3"/>
        <v>2030</v>
      </c>
      <c r="N35" s="13">
        <f t="shared" si="3"/>
        <v>2031</v>
      </c>
      <c r="O35" s="13">
        <f t="shared" si="3"/>
        <v>2032</v>
      </c>
      <c r="P35" s="13">
        <f t="shared" si="3"/>
        <v>2033</v>
      </c>
      <c r="Q35" s="13">
        <f t="shared" si="3"/>
        <v>2034</v>
      </c>
      <c r="R35" s="13">
        <f t="shared" si="3"/>
        <v>2035</v>
      </c>
      <c r="S35" s="13">
        <f t="shared" si="3"/>
        <v>2036</v>
      </c>
      <c r="T35" s="13">
        <f t="shared" si="3"/>
        <v>2037</v>
      </c>
      <c r="U35" s="13">
        <f t="shared" si="3"/>
        <v>2038</v>
      </c>
      <c r="V35" s="13">
        <f t="shared" si="3"/>
        <v>2039</v>
      </c>
      <c r="W35" s="13">
        <f t="shared" si="3"/>
        <v>2040</v>
      </c>
      <c r="X35" s="13">
        <f t="shared" si="3"/>
        <v>2041</v>
      </c>
      <c r="Y35" s="13">
        <f t="shared" si="3"/>
        <v>2042</v>
      </c>
      <c r="Z35" s="13">
        <f t="shared" si="3"/>
        <v>2043</v>
      </c>
      <c r="AA35" s="13">
        <f t="shared" si="3"/>
        <v>2044</v>
      </c>
      <c r="AB35" s="13">
        <f t="shared" si="3"/>
        <v>2045</v>
      </c>
      <c r="AC35" s="13">
        <f t="shared" si="3"/>
        <v>2046</v>
      </c>
    </row>
    <row r="36" spans="1:30" s="19" customFormat="1" x14ac:dyDescent="0.25">
      <c r="A36" s="39" t="s">
        <v>10</v>
      </c>
      <c r="B36" s="61">
        <f>OP!N34</f>
        <v>0.30535230352303522</v>
      </c>
      <c r="C36" s="61">
        <f>OP!N35</f>
        <v>0.27082576426013394</v>
      </c>
      <c r="D36" s="195">
        <v>0.35</v>
      </c>
      <c r="E36" s="195">
        <v>3.4000000000000002E-2</v>
      </c>
      <c r="F36" s="195">
        <v>9.5000000000000001E-2</v>
      </c>
      <c r="G36" s="195">
        <v>9.5000000000000001E-2</v>
      </c>
      <c r="H36" s="195">
        <v>9.5000000000000001E-2</v>
      </c>
      <c r="I36" s="195">
        <v>9.5000000000000001E-2</v>
      </c>
      <c r="J36" s="195">
        <v>9.5000000000000001E-2</v>
      </c>
      <c r="K36" s="61">
        <v>0.08</v>
      </c>
      <c r="L36" s="61">
        <v>0.06</v>
      </c>
      <c r="M36" s="61">
        <v>0.05</v>
      </c>
      <c r="N36" s="61">
        <v>0.04</v>
      </c>
      <c r="O36" s="61">
        <v>3.5000000000000003E-2</v>
      </c>
      <c r="P36" s="61">
        <v>3.5000000000000003E-2</v>
      </c>
      <c r="Q36" s="61">
        <v>3.5000000000000003E-2</v>
      </c>
      <c r="R36" s="61">
        <v>3.5000000000000003E-2</v>
      </c>
      <c r="S36" s="61">
        <v>3.5000000000000003E-2</v>
      </c>
      <c r="T36" s="61">
        <v>3.5000000000000003E-2</v>
      </c>
      <c r="U36" s="61">
        <v>3.5000000000000003E-2</v>
      </c>
      <c r="V36" s="61">
        <v>3.5000000000000003E-2</v>
      </c>
      <c r="W36" s="61">
        <v>3.5000000000000003E-2</v>
      </c>
      <c r="X36" s="61">
        <v>3.5000000000000003E-2</v>
      </c>
      <c r="Y36" s="61">
        <v>3.5000000000000003E-2</v>
      </c>
      <c r="Z36" s="61">
        <v>3.5000000000000003E-2</v>
      </c>
      <c r="AA36" s="61">
        <v>3.5000000000000003E-2</v>
      </c>
      <c r="AB36" s="61">
        <v>3.5000000000000003E-2</v>
      </c>
      <c r="AC36" s="61">
        <v>3.5000000000000003E-2</v>
      </c>
    </row>
    <row r="37" spans="1:30" s="7" customFormat="1" x14ac:dyDescent="0.25">
      <c r="A37" s="14" t="s">
        <v>9</v>
      </c>
      <c r="B37" s="85">
        <f>OP!C34</f>
        <v>1926.7</v>
      </c>
      <c r="C37" s="85">
        <f>OP!C35</f>
        <v>2448.5</v>
      </c>
      <c r="D37" s="1">
        <f>OP!C34*(1+D36)</f>
        <v>2601.0450000000001</v>
      </c>
      <c r="E37" s="1">
        <f t="shared" ref="E37:AC37" si="4">D37*(1+E36)</f>
        <v>2689.4805300000003</v>
      </c>
      <c r="F37" s="1">
        <f t="shared" si="4"/>
        <v>2944.9811803500002</v>
      </c>
      <c r="G37" s="1">
        <f t="shared" si="4"/>
        <v>3224.7543924832503</v>
      </c>
      <c r="H37" s="1">
        <f t="shared" si="4"/>
        <v>3531.1060597691589</v>
      </c>
      <c r="I37" s="1">
        <f t="shared" si="4"/>
        <v>3866.5611354472289</v>
      </c>
      <c r="J37" s="1">
        <f t="shared" si="4"/>
        <v>4233.884443314716</v>
      </c>
      <c r="K37" s="1">
        <f t="shared" si="4"/>
        <v>4572.5951987798935</v>
      </c>
      <c r="L37" s="1">
        <f t="shared" si="4"/>
        <v>4846.950910706687</v>
      </c>
      <c r="M37" s="1">
        <f t="shared" si="4"/>
        <v>5089.2984562420215</v>
      </c>
      <c r="N37" s="1">
        <f t="shared" si="4"/>
        <v>5292.8703944917024</v>
      </c>
      <c r="O37" s="1">
        <f t="shared" si="4"/>
        <v>5478.120858298912</v>
      </c>
      <c r="P37" s="1">
        <f t="shared" si="4"/>
        <v>5669.8550883393737</v>
      </c>
      <c r="Q37" s="1">
        <f t="shared" si="4"/>
        <v>5868.3000164312516</v>
      </c>
      <c r="R37" s="1">
        <f t="shared" si="4"/>
        <v>6073.6905170063446</v>
      </c>
      <c r="S37" s="1">
        <f t="shared" si="4"/>
        <v>6286.2696851015662</v>
      </c>
      <c r="T37" s="1">
        <f t="shared" si="4"/>
        <v>6506.2891240801209</v>
      </c>
      <c r="U37" s="1">
        <f t="shared" si="4"/>
        <v>6734.0092434229246</v>
      </c>
      <c r="V37" s="1">
        <f t="shared" si="4"/>
        <v>6969.6995669427261</v>
      </c>
      <c r="W37" s="1">
        <f t="shared" si="4"/>
        <v>7213.6390517857208</v>
      </c>
      <c r="X37" s="1">
        <f t="shared" si="4"/>
        <v>7466.1164185982207</v>
      </c>
      <c r="Y37" s="1">
        <f t="shared" si="4"/>
        <v>7727.4304932491577</v>
      </c>
      <c r="Z37" s="1">
        <f t="shared" si="4"/>
        <v>7997.8905605128775</v>
      </c>
      <c r="AA37" s="1">
        <f t="shared" si="4"/>
        <v>8277.8167301308276</v>
      </c>
      <c r="AB37" s="1">
        <f t="shared" si="4"/>
        <v>8567.5403156854063</v>
      </c>
      <c r="AC37" s="1">
        <f t="shared" si="4"/>
        <v>8867.4042267343957</v>
      </c>
    </row>
    <row r="38" spans="1:30" s="19" customFormat="1" x14ac:dyDescent="0.25">
      <c r="A38" s="39" t="s">
        <v>1</v>
      </c>
      <c r="B38" s="99">
        <f>+OP!D34</f>
        <v>0.1554471375927752</v>
      </c>
      <c r="C38" s="99">
        <f>+OP!D35</f>
        <v>0.10855625893404125</v>
      </c>
      <c r="D38" s="195">
        <f>108166.4/365513.2</f>
        <v>0.29593021537936248</v>
      </c>
      <c r="E38" s="195">
        <f>108162.8/377959.8</f>
        <v>0.28617540807249875</v>
      </c>
      <c r="F38" s="195">
        <v>0.27</v>
      </c>
      <c r="G38" s="195">
        <v>0.27500000000000002</v>
      </c>
      <c r="H38" s="195">
        <v>0.26</v>
      </c>
      <c r="I38" s="195">
        <v>0.255</v>
      </c>
      <c r="J38" s="195">
        <v>0.25</v>
      </c>
      <c r="K38" s="61">
        <v>0.25</v>
      </c>
      <c r="L38" s="61">
        <v>0.25</v>
      </c>
      <c r="M38" s="61">
        <v>0.25</v>
      </c>
      <c r="N38" s="61">
        <v>0.25</v>
      </c>
      <c r="O38" s="61">
        <v>0.25</v>
      </c>
      <c r="P38" s="61">
        <v>0.25</v>
      </c>
      <c r="Q38" s="61">
        <v>0.25</v>
      </c>
      <c r="R38" s="61">
        <v>0.25</v>
      </c>
      <c r="S38" s="61">
        <v>0.25</v>
      </c>
      <c r="T38" s="61">
        <v>0.25</v>
      </c>
      <c r="U38" s="61">
        <v>0.25</v>
      </c>
      <c r="V38" s="61">
        <v>0.25</v>
      </c>
      <c r="W38" s="61">
        <v>0.25</v>
      </c>
      <c r="X38" s="61">
        <v>0.25</v>
      </c>
      <c r="Y38" s="61">
        <v>0.25</v>
      </c>
      <c r="Z38" s="61">
        <v>0.25</v>
      </c>
      <c r="AA38" s="61">
        <v>0.25</v>
      </c>
      <c r="AB38" s="61">
        <v>0.25</v>
      </c>
      <c r="AC38" s="61">
        <v>0.25</v>
      </c>
    </row>
    <row r="39" spans="1:30" x14ac:dyDescent="0.25">
      <c r="A39" s="11" t="s">
        <v>3</v>
      </c>
      <c r="B39" s="85">
        <v>63930</v>
      </c>
      <c r="C39" s="85">
        <v>66288</v>
      </c>
      <c r="D39" s="1">
        <f t="shared" ref="D39:AC39" si="5">D37*D38</f>
        <v>769.72780706141396</v>
      </c>
      <c r="E39" s="1">
        <f t="shared" si="5"/>
        <v>769.66318817579031</v>
      </c>
      <c r="F39" s="1">
        <f t="shared" si="5"/>
        <v>795.14491869450012</v>
      </c>
      <c r="G39" s="1">
        <f t="shared" si="5"/>
        <v>886.80745793289395</v>
      </c>
      <c r="H39" s="1">
        <f t="shared" si="5"/>
        <v>918.08757553998134</v>
      </c>
      <c r="I39" s="1">
        <f t="shared" si="5"/>
        <v>985.97308953904337</v>
      </c>
      <c r="J39" s="1">
        <f t="shared" si="5"/>
        <v>1058.471110828679</v>
      </c>
      <c r="K39" s="1">
        <f t="shared" si="5"/>
        <v>1143.1487996949734</v>
      </c>
      <c r="L39" s="1">
        <f t="shared" si="5"/>
        <v>1211.7377276766717</v>
      </c>
      <c r="M39" s="1">
        <f t="shared" si="5"/>
        <v>1272.3246140605054</v>
      </c>
      <c r="N39" s="1">
        <f t="shared" si="5"/>
        <v>1323.2175986229256</v>
      </c>
      <c r="O39" s="1">
        <f t="shared" si="5"/>
        <v>1369.530214574728</v>
      </c>
      <c r="P39" s="1">
        <f t="shared" si="5"/>
        <v>1417.4637720848434</v>
      </c>
      <c r="Q39" s="1">
        <f t="shared" si="5"/>
        <v>1467.0750041078129</v>
      </c>
      <c r="R39" s="1">
        <f t="shared" si="5"/>
        <v>1518.4226292515862</v>
      </c>
      <c r="S39" s="1">
        <f t="shared" si="5"/>
        <v>1571.5674212753916</v>
      </c>
      <c r="T39" s="1">
        <f t="shared" si="5"/>
        <v>1626.5722810200302</v>
      </c>
      <c r="U39" s="1">
        <f t="shared" si="5"/>
        <v>1683.5023108557311</v>
      </c>
      <c r="V39" s="1">
        <f t="shared" si="5"/>
        <v>1742.4248917356815</v>
      </c>
      <c r="W39" s="1">
        <f t="shared" si="5"/>
        <v>1803.4097629464302</v>
      </c>
      <c r="X39" s="1">
        <f t="shared" si="5"/>
        <v>1866.5291046495552</v>
      </c>
      <c r="Y39" s="1">
        <f t="shared" si="5"/>
        <v>1931.8576233122894</v>
      </c>
      <c r="Z39" s="1">
        <f t="shared" si="5"/>
        <v>1999.4726401282194</v>
      </c>
      <c r="AA39" s="1">
        <f t="shared" si="5"/>
        <v>2069.4541825327069</v>
      </c>
      <c r="AB39" s="1">
        <f t="shared" si="5"/>
        <v>2141.8850789213516</v>
      </c>
      <c r="AC39" s="1">
        <f t="shared" si="5"/>
        <v>2216.8510566835989</v>
      </c>
    </row>
    <row r="40" spans="1:30" x14ac:dyDescent="0.25">
      <c r="A40" s="11" t="s">
        <v>21</v>
      </c>
      <c r="B40" s="85">
        <f>OP!H34</f>
        <v>67.099999999999994</v>
      </c>
      <c r="C40" s="85">
        <f>OP!H35</f>
        <v>120</v>
      </c>
      <c r="D40" s="1">
        <v>11000</v>
      </c>
      <c r="E40" s="1">
        <f>D40*(1+E36*$H$59)</f>
        <v>11374</v>
      </c>
      <c r="F40" s="1">
        <f>E40*(1+F36*$H$59)</f>
        <v>12454.529999999999</v>
      </c>
      <c r="G40" s="1">
        <f>F40*(1+G36*$H$59)</f>
        <v>13637.710349999998</v>
      </c>
      <c r="H40" s="1">
        <f>G40*(1+H36*$H$59)</f>
        <v>14933.292833249998</v>
      </c>
      <c r="I40" s="1">
        <f t="shared" ref="I40:AC40" si="6">H40*(1+I36*$I$59)</f>
        <v>16351.955652408747</v>
      </c>
      <c r="J40" s="1">
        <f t="shared" si="6"/>
        <v>17905.391439387578</v>
      </c>
      <c r="K40" s="1">
        <f t="shared" si="6"/>
        <v>19337.822754538585</v>
      </c>
      <c r="L40" s="1">
        <f t="shared" si="6"/>
        <v>20498.092119810903</v>
      </c>
      <c r="M40" s="1">
        <f t="shared" si="6"/>
        <v>21522.996725801448</v>
      </c>
      <c r="N40" s="1">
        <f t="shared" si="6"/>
        <v>22383.916594833507</v>
      </c>
      <c r="O40" s="1">
        <f t="shared" si="6"/>
        <v>23167.353675652677</v>
      </c>
      <c r="P40" s="1">
        <f t="shared" si="6"/>
        <v>23978.211054300518</v>
      </c>
      <c r="Q40" s="1">
        <f t="shared" si="6"/>
        <v>24817.448441201035</v>
      </c>
      <c r="R40" s="1">
        <f t="shared" si="6"/>
        <v>25686.059136643071</v>
      </c>
      <c r="S40" s="1">
        <f t="shared" si="6"/>
        <v>26585.071206425575</v>
      </c>
      <c r="T40" s="1">
        <f t="shared" si="6"/>
        <v>27515.548698650469</v>
      </c>
      <c r="U40" s="1">
        <f t="shared" si="6"/>
        <v>28478.592903103232</v>
      </c>
      <c r="V40" s="1">
        <f t="shared" si="6"/>
        <v>29475.343654711844</v>
      </c>
      <c r="W40" s="1">
        <f t="shared" si="6"/>
        <v>30506.980682626756</v>
      </c>
      <c r="X40" s="1">
        <f t="shared" si="6"/>
        <v>31574.725006518689</v>
      </c>
      <c r="Y40" s="1">
        <f t="shared" si="6"/>
        <v>32679.840381746839</v>
      </c>
      <c r="Z40" s="1">
        <f t="shared" si="6"/>
        <v>33823.634795107973</v>
      </c>
      <c r="AA40" s="1">
        <f t="shared" si="6"/>
        <v>35007.462012936747</v>
      </c>
      <c r="AB40" s="1">
        <f t="shared" si="6"/>
        <v>36232.723183389528</v>
      </c>
      <c r="AC40" s="1">
        <f t="shared" si="6"/>
        <v>37500.868494808157</v>
      </c>
      <c r="AD40" s="1"/>
    </row>
    <row r="41" spans="1:30" s="7" customFormat="1" x14ac:dyDescent="0.25">
      <c r="A41" s="14" t="s">
        <v>22</v>
      </c>
      <c r="B41" s="85">
        <f>+B39+B40</f>
        <v>63997.1</v>
      </c>
      <c r="C41" s="85">
        <f>+C39+C40</f>
        <v>66408</v>
      </c>
      <c r="D41" s="1">
        <f>D39+D40</f>
        <v>11769.727807061414</v>
      </c>
      <c r="E41" s="1">
        <f t="shared" ref="E41:AC41" si="7">E39+E40</f>
        <v>12143.663188175789</v>
      </c>
      <c r="F41" s="1">
        <f t="shared" si="7"/>
        <v>13249.674918694498</v>
      </c>
      <c r="G41" s="1">
        <f t="shared" si="7"/>
        <v>14524.517807932891</v>
      </c>
      <c r="H41" s="1">
        <f t="shared" si="7"/>
        <v>15851.380408789979</v>
      </c>
      <c r="I41" s="1">
        <f t="shared" si="7"/>
        <v>17337.928741947791</v>
      </c>
      <c r="J41" s="1">
        <f t="shared" si="7"/>
        <v>18963.862550216258</v>
      </c>
      <c r="K41" s="1">
        <f t="shared" si="7"/>
        <v>20480.971554233558</v>
      </c>
      <c r="L41" s="1">
        <f t="shared" si="7"/>
        <v>21709.829847487574</v>
      </c>
      <c r="M41" s="1">
        <f t="shared" si="7"/>
        <v>22795.321339861952</v>
      </c>
      <c r="N41" s="1">
        <f t="shared" si="7"/>
        <v>23707.134193456433</v>
      </c>
      <c r="O41" s="1">
        <f t="shared" si="7"/>
        <v>24536.883890227404</v>
      </c>
      <c r="P41" s="1">
        <f t="shared" si="7"/>
        <v>25395.674826385362</v>
      </c>
      <c r="Q41" s="1">
        <f t="shared" si="7"/>
        <v>26284.523445308849</v>
      </c>
      <c r="R41" s="1">
        <f t="shared" si="7"/>
        <v>27204.481765894656</v>
      </c>
      <c r="S41" s="1">
        <f t="shared" si="7"/>
        <v>28156.638627700966</v>
      </c>
      <c r="T41" s="1">
        <f t="shared" si="7"/>
        <v>29142.120979670501</v>
      </c>
      <c r="U41" s="1">
        <f t="shared" si="7"/>
        <v>30162.095213958964</v>
      </c>
      <c r="V41" s="1">
        <f t="shared" si="7"/>
        <v>31217.768546447525</v>
      </c>
      <c r="W41" s="1">
        <f t="shared" si="7"/>
        <v>32310.390445573186</v>
      </c>
      <c r="X41" s="1">
        <f t="shared" si="7"/>
        <v>33441.254111168244</v>
      </c>
      <c r="Y41" s="1">
        <f t="shared" si="7"/>
        <v>34611.69800505913</v>
      </c>
      <c r="Z41" s="1">
        <f t="shared" si="7"/>
        <v>35823.10743523619</v>
      </c>
      <c r="AA41" s="1">
        <f t="shared" si="7"/>
        <v>37076.916195469457</v>
      </c>
      <c r="AB41" s="1">
        <f t="shared" si="7"/>
        <v>38374.608262310881</v>
      </c>
      <c r="AC41" s="1">
        <f t="shared" si="7"/>
        <v>39717.719551491755</v>
      </c>
    </row>
    <row r="42" spans="1:30" s="19" customFormat="1" x14ac:dyDescent="0.25">
      <c r="A42" s="40" t="s">
        <v>178</v>
      </c>
      <c r="B42" s="41">
        <v>-1385</v>
      </c>
      <c r="C42" s="41">
        <v>-890</v>
      </c>
      <c r="D42" s="41">
        <f t="shared" ref="D42:AC42" si="8">(C48)*$H$60</f>
        <v>-1124.3600000000001</v>
      </c>
      <c r="E42" s="41">
        <f t="shared" si="8"/>
        <v>-1113.1164000000001</v>
      </c>
      <c r="F42" s="41">
        <f t="shared" si="8"/>
        <v>-1113.1164000000001</v>
      </c>
      <c r="G42" s="41">
        <f t="shared" si="8"/>
        <v>-1113.1164000000001</v>
      </c>
      <c r="H42" s="41">
        <f t="shared" si="8"/>
        <v>-1113.1164000000001</v>
      </c>
      <c r="I42" s="41">
        <f t="shared" si="8"/>
        <v>-1113.1164000000001</v>
      </c>
      <c r="J42" s="41">
        <f t="shared" si="8"/>
        <v>-1113.1164000000001</v>
      </c>
      <c r="K42" s="41">
        <f t="shared" si="8"/>
        <v>-1113.1164000000001</v>
      </c>
      <c r="L42" s="41">
        <f t="shared" si="8"/>
        <v>-1113.1164000000001</v>
      </c>
      <c r="M42" s="41">
        <f t="shared" si="8"/>
        <v>-1113.1164000000001</v>
      </c>
      <c r="N42" s="41">
        <f t="shared" si="8"/>
        <v>-1113.1164000000001</v>
      </c>
      <c r="O42" s="41">
        <f t="shared" si="8"/>
        <v>-1113.1164000000001</v>
      </c>
      <c r="P42" s="41">
        <f t="shared" si="8"/>
        <v>-1113.1164000000001</v>
      </c>
      <c r="Q42" s="41">
        <f t="shared" si="8"/>
        <v>-1113.1164000000001</v>
      </c>
      <c r="R42" s="41">
        <f t="shared" si="8"/>
        <v>-1113.1164000000001</v>
      </c>
      <c r="S42" s="41">
        <f t="shared" si="8"/>
        <v>-1113.1164000000001</v>
      </c>
      <c r="T42" s="41">
        <f t="shared" si="8"/>
        <v>-1113.1164000000001</v>
      </c>
      <c r="U42" s="41">
        <f t="shared" si="8"/>
        <v>-1113.1164000000001</v>
      </c>
      <c r="V42" s="41">
        <f t="shared" si="8"/>
        <v>-1113.1164000000001</v>
      </c>
      <c r="W42" s="41">
        <f t="shared" si="8"/>
        <v>-1113.1164000000001</v>
      </c>
      <c r="X42" s="41">
        <f t="shared" si="8"/>
        <v>-1113.1164000000001</v>
      </c>
      <c r="Y42" s="41">
        <f t="shared" si="8"/>
        <v>-1113.1164000000001</v>
      </c>
      <c r="Z42" s="41">
        <f t="shared" si="8"/>
        <v>-1113.1164000000001</v>
      </c>
      <c r="AA42" s="41">
        <f t="shared" si="8"/>
        <v>-1113.1164000000001</v>
      </c>
      <c r="AB42" s="41">
        <f t="shared" si="8"/>
        <v>-1113.1164000000001</v>
      </c>
      <c r="AC42" s="41">
        <f t="shared" si="8"/>
        <v>-1113.1164000000001</v>
      </c>
    </row>
    <row r="43" spans="1:30" x14ac:dyDescent="0.25">
      <c r="A43" s="14" t="s">
        <v>23</v>
      </c>
      <c r="B43" s="85">
        <f>-422-2817</f>
        <v>-3239</v>
      </c>
      <c r="C43" s="85">
        <f>87-3634</f>
        <v>-3547</v>
      </c>
      <c r="D43" s="1">
        <f>-C43*(1+D36)</f>
        <v>4788.4500000000007</v>
      </c>
      <c r="E43" s="1">
        <f>D43*(1+E36*0.5)</f>
        <v>4869.85365</v>
      </c>
      <c r="F43" s="1">
        <f t="shared" ref="F43:AC43" si="9">E43*(1+F36*0.5)</f>
        <v>5101.1716983750002</v>
      </c>
      <c r="G43" s="1">
        <f t="shared" si="9"/>
        <v>5343.4773540478136</v>
      </c>
      <c r="H43" s="1">
        <f t="shared" si="9"/>
        <v>5597.2925283650857</v>
      </c>
      <c r="I43" s="1">
        <f t="shared" si="9"/>
        <v>5863.1639234624281</v>
      </c>
      <c r="J43" s="1">
        <f t="shared" si="9"/>
        <v>6141.664209826894</v>
      </c>
      <c r="K43" s="1">
        <f t="shared" si="9"/>
        <v>6387.3307782199699</v>
      </c>
      <c r="L43" s="1">
        <f t="shared" si="9"/>
        <v>6578.9507015665695</v>
      </c>
      <c r="M43" s="1">
        <f t="shared" si="9"/>
        <v>6743.4244691057329</v>
      </c>
      <c r="N43" s="1">
        <f t="shared" si="9"/>
        <v>6878.2929584878475</v>
      </c>
      <c r="O43" s="1">
        <f t="shared" si="9"/>
        <v>6998.6630852613853</v>
      </c>
      <c r="P43" s="1">
        <f t="shared" si="9"/>
        <v>7121.1396892534603</v>
      </c>
      <c r="Q43" s="1">
        <f t="shared" si="9"/>
        <v>7245.7596338153962</v>
      </c>
      <c r="R43" s="1">
        <f t="shared" si="9"/>
        <v>7372.5604274071666</v>
      </c>
      <c r="S43" s="1">
        <f t="shared" si="9"/>
        <v>7501.5802348867928</v>
      </c>
      <c r="T43" s="1">
        <f t="shared" si="9"/>
        <v>7632.8578889973123</v>
      </c>
      <c r="U43" s="1">
        <f t="shared" si="9"/>
        <v>7766.4329020547657</v>
      </c>
      <c r="V43" s="1">
        <f t="shared" si="9"/>
        <v>7902.3454778407249</v>
      </c>
      <c r="W43" s="1">
        <f t="shared" si="9"/>
        <v>8040.6365237029386</v>
      </c>
      <c r="X43" s="1">
        <f t="shared" si="9"/>
        <v>8181.3476628677408</v>
      </c>
      <c r="Y43" s="1">
        <f t="shared" si="9"/>
        <v>8324.5212469679263</v>
      </c>
      <c r="Z43" s="1">
        <f t="shared" si="9"/>
        <v>8470.200368789865</v>
      </c>
      <c r="AA43" s="1">
        <f t="shared" si="9"/>
        <v>8618.4288752436878</v>
      </c>
      <c r="AB43" s="1">
        <f t="shared" si="9"/>
        <v>8769.2513805604522</v>
      </c>
      <c r="AC43" s="1">
        <f t="shared" si="9"/>
        <v>8922.7132797202612</v>
      </c>
    </row>
    <row r="44" spans="1:30" x14ac:dyDescent="0.25">
      <c r="A44" s="14" t="s">
        <v>18</v>
      </c>
      <c r="B44" s="85">
        <f>B39-B42-B43</f>
        <v>68554</v>
      </c>
      <c r="C44" s="85">
        <f>C39-C42-C43</f>
        <v>70725</v>
      </c>
      <c r="D44" s="1">
        <f>D39-D42-D43</f>
        <v>-2894.3621929385868</v>
      </c>
      <c r="E44" s="1">
        <f t="shared" ref="E44:AC44" si="10">E39-E42-E43</f>
        <v>-2987.0740618242098</v>
      </c>
      <c r="F44" s="1">
        <f t="shared" si="10"/>
        <v>-3192.9103796805002</v>
      </c>
      <c r="G44" s="1">
        <f t="shared" si="10"/>
        <v>-3343.5534961149197</v>
      </c>
      <c r="H44" s="1">
        <f t="shared" si="10"/>
        <v>-3566.0885528251042</v>
      </c>
      <c r="I44" s="1">
        <f t="shared" si="10"/>
        <v>-3764.0744339233847</v>
      </c>
      <c r="J44" s="1">
        <f t="shared" si="10"/>
        <v>-3970.0766989982149</v>
      </c>
      <c r="K44" s="1">
        <f t="shared" si="10"/>
        <v>-4131.0655785249965</v>
      </c>
      <c r="L44" s="1">
        <f t="shared" si="10"/>
        <v>-4254.0965738898976</v>
      </c>
      <c r="M44" s="1">
        <f t="shared" si="10"/>
        <v>-4357.9834550452269</v>
      </c>
      <c r="N44" s="1">
        <f t="shared" si="10"/>
        <v>-4441.9589598649218</v>
      </c>
      <c r="O44" s="1">
        <f t="shared" si="10"/>
        <v>-4516.0164706866572</v>
      </c>
      <c r="P44" s="1">
        <f t="shared" si="10"/>
        <v>-4590.5595171686164</v>
      </c>
      <c r="Q44" s="1">
        <f t="shared" si="10"/>
        <v>-4665.5682297075837</v>
      </c>
      <c r="R44" s="1">
        <f t="shared" si="10"/>
        <v>-4741.0213981555808</v>
      </c>
      <c r="S44" s="1">
        <f t="shared" si="10"/>
        <v>-4816.8964136114009</v>
      </c>
      <c r="T44" s="1">
        <f t="shared" si="10"/>
        <v>-4893.169207977282</v>
      </c>
      <c r="U44" s="1">
        <f t="shared" si="10"/>
        <v>-4969.8141911990342</v>
      </c>
      <c r="V44" s="1">
        <f t="shared" si="10"/>
        <v>-5046.8041861050433</v>
      </c>
      <c r="W44" s="1">
        <f t="shared" si="10"/>
        <v>-5124.1103607565083</v>
      </c>
      <c r="X44" s="1">
        <f t="shared" si="10"/>
        <v>-5201.702158218186</v>
      </c>
      <c r="Y44" s="1">
        <f t="shared" si="10"/>
        <v>-5279.547223655637</v>
      </c>
      <c r="Z44" s="1">
        <f t="shared" si="10"/>
        <v>-5357.6113286616455</v>
      </c>
      <c r="AA44" s="1">
        <f t="shared" si="10"/>
        <v>-5435.858292710981</v>
      </c>
      <c r="AB44" s="1">
        <f t="shared" si="10"/>
        <v>-5514.2499016391002</v>
      </c>
      <c r="AC44" s="1">
        <f t="shared" si="10"/>
        <v>-5592.7458230366619</v>
      </c>
    </row>
    <row r="45" spans="1:30" x14ac:dyDescent="0.25">
      <c r="A45" s="14" t="s">
        <v>11</v>
      </c>
      <c r="B45" s="85">
        <v>10481</v>
      </c>
      <c r="C45" s="85">
        <v>9680</v>
      </c>
      <c r="D45" s="1">
        <f>$H$61*D44</f>
        <v>-607.81606051710321</v>
      </c>
      <c r="E45" s="1">
        <f>$H$61*E44</f>
        <v>-627.28555298308402</v>
      </c>
      <c r="F45" s="1">
        <f>$H$61*F44</f>
        <v>-670.51117973290502</v>
      </c>
      <c r="G45" s="1">
        <f t="shared" ref="G45:AC45" si="11">$I$61*G44</f>
        <v>-769.01730410643154</v>
      </c>
      <c r="H45" s="1">
        <f t="shared" si="11"/>
        <v>-820.20036714977402</v>
      </c>
      <c r="I45" s="1">
        <f t="shared" si="11"/>
        <v>-865.73711980237852</v>
      </c>
      <c r="J45" s="1">
        <f t="shared" si="11"/>
        <v>-913.11764076958946</v>
      </c>
      <c r="K45" s="1">
        <f t="shared" si="11"/>
        <v>-950.14508306074924</v>
      </c>
      <c r="L45" s="1">
        <f t="shared" si="11"/>
        <v>-978.44221199467654</v>
      </c>
      <c r="M45" s="1">
        <f t="shared" si="11"/>
        <v>-1002.3361946604023</v>
      </c>
      <c r="N45" s="1">
        <f t="shared" si="11"/>
        <v>-1021.6505607689321</v>
      </c>
      <c r="O45" s="1">
        <f t="shared" si="11"/>
        <v>-1038.6837882579312</v>
      </c>
      <c r="P45" s="1">
        <f t="shared" si="11"/>
        <v>-1055.8286889487817</v>
      </c>
      <c r="Q45" s="1">
        <f t="shared" si="11"/>
        <v>-1073.0806928327443</v>
      </c>
      <c r="R45" s="1">
        <f t="shared" si="11"/>
        <v>-1090.4349215757836</v>
      </c>
      <c r="S45" s="1">
        <f t="shared" si="11"/>
        <v>-1107.8861751306222</v>
      </c>
      <c r="T45" s="1">
        <f t="shared" si="11"/>
        <v>-1125.4289178347749</v>
      </c>
      <c r="U45" s="1">
        <f t="shared" si="11"/>
        <v>-1143.0572639757779</v>
      </c>
      <c r="V45" s="1">
        <f t="shared" si="11"/>
        <v>-1160.7649628041599</v>
      </c>
      <c r="W45" s="1">
        <f t="shared" si="11"/>
        <v>-1178.545382973997</v>
      </c>
      <c r="X45" s="1">
        <f t="shared" si="11"/>
        <v>-1196.3914963901827</v>
      </c>
      <c r="Y45" s="1">
        <f t="shared" si="11"/>
        <v>-1214.2958614407967</v>
      </c>
      <c r="Z45" s="1">
        <f t="shared" si="11"/>
        <v>-1232.2506055921785</v>
      </c>
      <c r="AA45" s="1">
        <f t="shared" si="11"/>
        <v>-1250.2474073235257</v>
      </c>
      <c r="AB45" s="1">
        <f t="shared" si="11"/>
        <v>-1268.2774773769931</v>
      </c>
      <c r="AC45" s="1">
        <f t="shared" si="11"/>
        <v>-1286.3315392984323</v>
      </c>
    </row>
    <row r="46" spans="1:30" x14ac:dyDescent="0.25">
      <c r="A46" s="14" t="s">
        <v>41</v>
      </c>
      <c r="B46" s="85">
        <f t="shared" ref="B46:AC46" si="12">B44-B45</f>
        <v>58073</v>
      </c>
      <c r="C46" s="85">
        <f t="shared" si="12"/>
        <v>61045</v>
      </c>
      <c r="D46" s="21">
        <f>D44-D45</f>
        <v>-2286.5461324214834</v>
      </c>
      <c r="E46" s="21">
        <f t="shared" si="12"/>
        <v>-2359.7885088411258</v>
      </c>
      <c r="F46" s="21">
        <f t="shared" si="12"/>
        <v>-2522.3991999475952</v>
      </c>
      <c r="G46" s="21">
        <f t="shared" si="12"/>
        <v>-2574.5361920084879</v>
      </c>
      <c r="H46" s="21">
        <f t="shared" si="12"/>
        <v>-2745.8881856753301</v>
      </c>
      <c r="I46" s="21">
        <f t="shared" si="12"/>
        <v>-2898.3373141210063</v>
      </c>
      <c r="J46" s="21">
        <f t="shared" si="12"/>
        <v>-3056.9590582286255</v>
      </c>
      <c r="K46" s="21">
        <f t="shared" si="12"/>
        <v>-3180.9204954642473</v>
      </c>
      <c r="L46" s="21">
        <f t="shared" si="12"/>
        <v>-3275.654361895221</v>
      </c>
      <c r="M46" s="21">
        <f t="shared" si="12"/>
        <v>-3355.6472603848247</v>
      </c>
      <c r="N46" s="21">
        <f t="shared" si="12"/>
        <v>-3420.3083990959894</v>
      </c>
      <c r="O46" s="21">
        <f t="shared" si="12"/>
        <v>-3477.332682428726</v>
      </c>
      <c r="P46" s="21">
        <f t="shared" si="12"/>
        <v>-3534.7308282198346</v>
      </c>
      <c r="Q46" s="21">
        <f t="shared" si="12"/>
        <v>-3592.4875368748394</v>
      </c>
      <c r="R46" s="21">
        <f t="shared" si="12"/>
        <v>-3650.5864765797969</v>
      </c>
      <c r="S46" s="21">
        <f t="shared" si="12"/>
        <v>-3709.0102384807788</v>
      </c>
      <c r="T46" s="21">
        <f t="shared" si="12"/>
        <v>-3767.7402901425071</v>
      </c>
      <c r="U46" s="21">
        <f t="shared" si="12"/>
        <v>-3826.7569272232563</v>
      </c>
      <c r="V46" s="21">
        <f t="shared" si="12"/>
        <v>-3886.0392233008834</v>
      </c>
      <c r="W46" s="21">
        <f t="shared" si="12"/>
        <v>-3945.5649777825111</v>
      </c>
      <c r="X46" s="21">
        <f t="shared" si="12"/>
        <v>-4005.3106618280035</v>
      </c>
      <c r="Y46" s="21">
        <f t="shared" si="12"/>
        <v>-4065.2513622148404</v>
      </c>
      <c r="Z46" s="21">
        <f t="shared" si="12"/>
        <v>-4125.360723069467</v>
      </c>
      <c r="AA46" s="21">
        <f t="shared" si="12"/>
        <v>-4185.6108853874557</v>
      </c>
      <c r="AB46" s="21">
        <f t="shared" si="12"/>
        <v>-4245.9724242621069</v>
      </c>
      <c r="AC46" s="21">
        <f t="shared" si="12"/>
        <v>-4306.4142837382296</v>
      </c>
    </row>
    <row r="47" spans="1:30" x14ac:dyDescent="0.25">
      <c r="A47" s="143" t="s">
        <v>182</v>
      </c>
      <c r="B47" s="85">
        <f>OP!I34</f>
        <v>-1217</v>
      </c>
      <c r="C47" s="85">
        <f>OP!I35</f>
        <v>-226.2</v>
      </c>
      <c r="D47" s="1">
        <v>10000</v>
      </c>
      <c r="E47" s="1">
        <f t="shared" ref="E47:AC47" si="13">D47*(1+E36*$H$62)</f>
        <v>10408</v>
      </c>
      <c r="F47" s="1">
        <f t="shared" si="13"/>
        <v>11594.511999999999</v>
      </c>
      <c r="G47" s="1">
        <f t="shared" si="13"/>
        <v>12916.286367999997</v>
      </c>
      <c r="H47" s="1">
        <f t="shared" si="13"/>
        <v>14388.743013951995</v>
      </c>
      <c r="I47" s="1">
        <f t="shared" si="13"/>
        <v>16029.059717542521</v>
      </c>
      <c r="J47" s="1">
        <f t="shared" si="13"/>
        <v>17856.372525342365</v>
      </c>
      <c r="K47" s="1">
        <f t="shared" si="13"/>
        <v>19570.584287775233</v>
      </c>
      <c r="L47" s="1">
        <f t="shared" si="13"/>
        <v>20979.66635649505</v>
      </c>
      <c r="M47" s="1">
        <f t="shared" si="13"/>
        <v>22238.446337884754</v>
      </c>
      <c r="N47" s="1">
        <f t="shared" si="13"/>
        <v>23305.891762103223</v>
      </c>
      <c r="O47" s="1">
        <f t="shared" si="13"/>
        <v>24284.73921611156</v>
      </c>
      <c r="P47" s="1">
        <f t="shared" si="13"/>
        <v>25304.698263188246</v>
      </c>
      <c r="Q47" s="1">
        <f t="shared" si="13"/>
        <v>26367.495590242153</v>
      </c>
      <c r="R47" s="1">
        <f t="shared" si="13"/>
        <v>27474.930405032326</v>
      </c>
      <c r="S47" s="1">
        <f t="shared" si="13"/>
        <v>28628.877482043685</v>
      </c>
      <c r="T47" s="1">
        <f t="shared" si="13"/>
        <v>29831.290336289519</v>
      </c>
      <c r="U47" s="1">
        <f t="shared" si="13"/>
        <v>31084.204530413681</v>
      </c>
      <c r="V47" s="1">
        <f t="shared" si="13"/>
        <v>32389.741120691058</v>
      </c>
      <c r="W47" s="1">
        <f t="shared" si="13"/>
        <v>33750.110247760087</v>
      </c>
      <c r="X47" s="1">
        <f t="shared" si="13"/>
        <v>35167.614878166009</v>
      </c>
      <c r="Y47" s="1">
        <f t="shared" si="13"/>
        <v>36644.654703048982</v>
      </c>
      <c r="Z47" s="1">
        <f t="shared" si="13"/>
        <v>38183.73020057704</v>
      </c>
      <c r="AA47" s="1">
        <f t="shared" si="13"/>
        <v>39787.44686900128</v>
      </c>
      <c r="AB47" s="1">
        <f t="shared" si="13"/>
        <v>41458.519637499332</v>
      </c>
      <c r="AC47" s="1">
        <f t="shared" si="13"/>
        <v>43199.777462274309</v>
      </c>
    </row>
    <row r="48" spans="1:30" s="19" customFormat="1" x14ac:dyDescent="0.25">
      <c r="A48" s="40" t="s">
        <v>262</v>
      </c>
      <c r="B48" s="41">
        <v>108047</v>
      </c>
      <c r="C48" s="41">
        <v>112436</v>
      </c>
      <c r="D48" s="41">
        <f>C48*0.99</f>
        <v>111311.64</v>
      </c>
      <c r="E48" s="41">
        <f>D48</f>
        <v>111311.64</v>
      </c>
      <c r="F48" s="41">
        <f t="shared" ref="F48:AC48" si="14">E48</f>
        <v>111311.64</v>
      </c>
      <c r="G48" s="41">
        <f t="shared" si="14"/>
        <v>111311.64</v>
      </c>
      <c r="H48" s="41">
        <f t="shared" si="14"/>
        <v>111311.64</v>
      </c>
      <c r="I48" s="41">
        <f t="shared" si="14"/>
        <v>111311.64</v>
      </c>
      <c r="J48" s="41">
        <f t="shared" si="14"/>
        <v>111311.64</v>
      </c>
      <c r="K48" s="41">
        <f t="shared" si="14"/>
        <v>111311.64</v>
      </c>
      <c r="L48" s="41">
        <f t="shared" si="14"/>
        <v>111311.64</v>
      </c>
      <c r="M48" s="41">
        <f t="shared" si="14"/>
        <v>111311.64</v>
      </c>
      <c r="N48" s="41">
        <f t="shared" si="14"/>
        <v>111311.64</v>
      </c>
      <c r="O48" s="41">
        <f t="shared" si="14"/>
        <v>111311.64</v>
      </c>
      <c r="P48" s="41">
        <f t="shared" si="14"/>
        <v>111311.64</v>
      </c>
      <c r="Q48" s="41">
        <f t="shared" si="14"/>
        <v>111311.64</v>
      </c>
      <c r="R48" s="41">
        <f t="shared" si="14"/>
        <v>111311.64</v>
      </c>
      <c r="S48" s="41">
        <f t="shared" si="14"/>
        <v>111311.64</v>
      </c>
      <c r="T48" s="41">
        <f t="shared" si="14"/>
        <v>111311.64</v>
      </c>
      <c r="U48" s="41">
        <f t="shared" si="14"/>
        <v>111311.64</v>
      </c>
      <c r="V48" s="41">
        <f t="shared" si="14"/>
        <v>111311.64</v>
      </c>
      <c r="W48" s="41">
        <f t="shared" si="14"/>
        <v>111311.64</v>
      </c>
      <c r="X48" s="41">
        <f t="shared" si="14"/>
        <v>111311.64</v>
      </c>
      <c r="Y48" s="41">
        <f t="shared" si="14"/>
        <v>111311.64</v>
      </c>
      <c r="Z48" s="41">
        <f t="shared" si="14"/>
        <v>111311.64</v>
      </c>
      <c r="AA48" s="41">
        <f t="shared" si="14"/>
        <v>111311.64</v>
      </c>
      <c r="AB48" s="41">
        <f t="shared" si="14"/>
        <v>111311.64</v>
      </c>
      <c r="AC48" s="41">
        <f t="shared" si="14"/>
        <v>111311.64</v>
      </c>
    </row>
    <row r="49" spans="1:29" s="19" customFormat="1" x14ac:dyDescent="0.25">
      <c r="A49" s="14" t="s">
        <v>180</v>
      </c>
      <c r="B49" s="148">
        <f>B48/B41</f>
        <v>1.6883108765865953</v>
      </c>
      <c r="C49" s="148">
        <f t="shared" ref="C49:E49" si="15">C48/C41</f>
        <v>1.6931092639441032</v>
      </c>
      <c r="D49" s="149">
        <f t="shared" si="15"/>
        <v>9.4574523578376226</v>
      </c>
      <c r="E49" s="149">
        <f t="shared" si="15"/>
        <v>9.1662324848060237</v>
      </c>
      <c r="F49" s="2"/>
      <c r="G49" s="2"/>
      <c r="H49" s="2"/>
      <c r="I49" s="2"/>
      <c r="J49" s="2"/>
      <c r="K49" s="2"/>
      <c r="L49" s="2"/>
      <c r="M49" s="2"/>
      <c r="N49" s="2"/>
      <c r="O49" s="2"/>
      <c r="P49" s="2"/>
      <c r="Q49" s="2"/>
      <c r="R49" s="2"/>
      <c r="S49" s="2"/>
      <c r="T49" s="2"/>
      <c r="U49" s="2"/>
      <c r="V49" s="2"/>
      <c r="W49" s="2"/>
      <c r="X49" s="2"/>
      <c r="Y49" s="2"/>
      <c r="Z49" s="2"/>
      <c r="AA49" s="2"/>
      <c r="AB49" s="2"/>
      <c r="AC49" s="2"/>
    </row>
    <row r="50" spans="1:29" x14ac:dyDescent="0.25">
      <c r="A50" s="14" t="s">
        <v>12</v>
      </c>
      <c r="B50" s="86">
        <f>OP!F34</f>
        <v>1189.6999999999998</v>
      </c>
      <c r="C50" s="86">
        <f>OP!F35</f>
        <v>43.8</v>
      </c>
      <c r="D50" s="1">
        <f t="shared" ref="D50:AC50" si="16">D41-D42-D43-D45-D47+D48-C48</f>
        <v>-2410.9061324214854</v>
      </c>
      <c r="E50" s="1">
        <f t="shared" si="16"/>
        <v>-1393.7885088411276</v>
      </c>
      <c r="F50" s="1">
        <f t="shared" si="16"/>
        <v>-1662.381199947602</v>
      </c>
      <c r="G50" s="1">
        <f t="shared" si="16"/>
        <v>-1853.1122100084904</v>
      </c>
      <c r="H50" s="1">
        <f t="shared" si="16"/>
        <v>-2201.3383663773275</v>
      </c>
      <c r="I50" s="1">
        <f t="shared" si="16"/>
        <v>-2575.4413792547857</v>
      </c>
      <c r="J50" s="1">
        <f t="shared" si="16"/>
        <v>-3007.9401441834198</v>
      </c>
      <c r="K50" s="1">
        <f t="shared" si="16"/>
        <v>-3413.6820287009032</v>
      </c>
      <c r="L50" s="1">
        <f t="shared" si="16"/>
        <v>-3757.2285985793715</v>
      </c>
      <c r="M50" s="1">
        <f t="shared" si="16"/>
        <v>-4071.0968724681297</v>
      </c>
      <c r="N50" s="1">
        <f t="shared" si="16"/>
        <v>-4342.2835663657024</v>
      </c>
      <c r="O50" s="1">
        <f t="shared" si="16"/>
        <v>-4594.718222887619</v>
      </c>
      <c r="P50" s="1">
        <f t="shared" si="16"/>
        <v>-4861.2180371075665</v>
      </c>
      <c r="Q50" s="1">
        <f t="shared" si="16"/>
        <v>-5142.5346859159617</v>
      </c>
      <c r="R50" s="1">
        <f t="shared" si="16"/>
        <v>-5439.4577449690551</v>
      </c>
      <c r="S50" s="1">
        <f t="shared" si="16"/>
        <v>-5752.8165140988858</v>
      </c>
      <c r="T50" s="1">
        <f t="shared" si="16"/>
        <v>-6083.481927781555</v>
      </c>
      <c r="U50" s="1">
        <f t="shared" si="16"/>
        <v>-6432.3685545337066</v>
      </c>
      <c r="V50" s="1">
        <f t="shared" si="16"/>
        <v>-6800.4366892801045</v>
      </c>
      <c r="W50" s="1">
        <f t="shared" si="16"/>
        <v>-7188.6945429158368</v>
      </c>
      <c r="X50" s="1">
        <f t="shared" si="16"/>
        <v>-7598.2005334753194</v>
      </c>
      <c r="Y50" s="1">
        <f t="shared" si="16"/>
        <v>-8030.0656835169793</v>
      </c>
      <c r="Z50" s="1">
        <f t="shared" si="16"/>
        <v>-8485.4561285385425</v>
      </c>
      <c r="AA50" s="1">
        <f t="shared" si="16"/>
        <v>-8965.5957414519944</v>
      </c>
      <c r="AB50" s="1">
        <f t="shared" si="16"/>
        <v>-9471.7688783719059</v>
      </c>
      <c r="AC50" s="1">
        <f t="shared" si="16"/>
        <v>-10005.323251204376</v>
      </c>
    </row>
    <row r="51" spans="1:29" x14ac:dyDescent="0.25">
      <c r="A51" s="14" t="s">
        <v>13</v>
      </c>
      <c r="B51" s="86">
        <v>0</v>
      </c>
      <c r="C51" s="86">
        <v>0</v>
      </c>
      <c r="D51" s="1">
        <f t="shared" ref="D51:AC51" si="17">C51*(1+$B$59)+D50</f>
        <v>-2410.9061324214854</v>
      </c>
      <c r="E51" s="1">
        <f t="shared" si="17"/>
        <v>-4004.7998502535961</v>
      </c>
      <c r="F51" s="1">
        <f t="shared" si="17"/>
        <v>-5999.5794377722468</v>
      </c>
      <c r="G51" s="1">
        <f t="shared" si="17"/>
        <v>-8350.6567411158321</v>
      </c>
      <c r="H51" s="1">
        <f t="shared" si="17"/>
        <v>-11245.099617005773</v>
      </c>
      <c r="I51" s="1">
        <f t="shared" si="17"/>
        <v>-14753.884264472037</v>
      </c>
      <c r="J51" s="1">
        <f t="shared" si="17"/>
        <v>-18986.396802606636</v>
      </c>
      <c r="K51" s="1">
        <f t="shared" si="17"/>
        <v>-23975.949765923888</v>
      </c>
      <c r="L51" s="1">
        <f t="shared" si="17"/>
        <v>-29723.18219507494</v>
      </c>
      <c r="M51" s="1">
        <f t="shared" si="17"/>
        <v>-36261.303189734288</v>
      </c>
      <c r="N51" s="1">
        <f t="shared" si="17"/>
        <v>-43613.274920847936</v>
      </c>
      <c r="O51" s="1">
        <f t="shared" si="17"/>
        <v>-51827.894962165934</v>
      </c>
      <c r="P51" s="1">
        <f t="shared" si="17"/>
        <v>-60990.828281133268</v>
      </c>
      <c r="Q51" s="1">
        <f t="shared" si="17"/>
        <v>-71195.601714383287</v>
      </c>
      <c r="R51" s="1">
        <f t="shared" si="17"/>
        <v>-82544.294401646155</v>
      </c>
      <c r="S51" s="1">
        <f t="shared" si="17"/>
        <v>-95148.287351081672</v>
      </c>
      <c r="T51" s="1">
        <f t="shared" si="17"/>
        <v>-109129.077129003</v>
      </c>
      <c r="U51" s="1">
        <f t="shared" si="17"/>
        <v>-124619.15908524394</v>
      </c>
      <c r="V51" s="1">
        <f t="shared" si="17"/>
        <v>-141762.98597859929</v>
      </c>
      <c r="W51" s="1">
        <f t="shared" si="17"/>
        <v>-160718.00835773884</v>
      </c>
      <c r="X51" s="1">
        <f t="shared" si="17"/>
        <v>-181655.80358490648</v>
      </c>
      <c r="Y51" s="1">
        <f t="shared" si="17"/>
        <v>-204763.30096597067</v>
      </c>
      <c r="Z51" s="1">
        <f t="shared" si="17"/>
        <v>-230244.11107468477</v>
      </c>
      <c r="AA51" s="1">
        <f t="shared" si="17"/>
        <v>-258319.96803533559</v>
      </c>
      <c r="AB51" s="1">
        <f t="shared" si="17"/>
        <v>-289232.29426064034</v>
      </c>
      <c r="AC51" s="1">
        <f t="shared" si="17"/>
        <v>-323243.89793547784</v>
      </c>
    </row>
    <row r="52" spans="1:29" x14ac:dyDescent="0.25">
      <c r="A52" s="14"/>
      <c r="B52" s="69"/>
      <c r="C52" s="69"/>
      <c r="K52" s="1"/>
      <c r="L52" s="1"/>
      <c r="M52" s="1"/>
      <c r="N52" s="1"/>
      <c r="O52" s="1"/>
      <c r="P52" s="1"/>
      <c r="Q52" s="1"/>
      <c r="R52" s="1"/>
      <c r="S52" s="1"/>
      <c r="T52" s="1"/>
      <c r="U52" s="1"/>
      <c r="V52" s="1"/>
      <c r="W52" s="1"/>
      <c r="X52" s="1"/>
      <c r="Y52" s="1"/>
      <c r="Z52" s="1"/>
      <c r="AA52" s="1"/>
      <c r="AB52" s="1">
        <f>AB51-AB48</f>
        <v>-400543.93426064035</v>
      </c>
      <c r="AC52" s="1">
        <f>AC50/(B59-AC36)</f>
        <v>-208444.23440009117</v>
      </c>
    </row>
    <row r="53" spans="1:29" x14ac:dyDescent="0.25">
      <c r="A53" s="87" t="s">
        <v>134</v>
      </c>
      <c r="B53" s="88"/>
      <c r="C53" s="95">
        <f ca="1">1000000*C46/OP!$C$8</f>
        <v>155.68434676714932</v>
      </c>
      <c r="D53" s="95">
        <f ca="1">1000000*D46/OP!$C$8</f>
        <v>-5.8314266685066816</v>
      </c>
      <c r="E53" s="95">
        <f ca="1">1000000*E46/OP!$C$8</f>
        <v>-6.0182182407659273</v>
      </c>
      <c r="F53" s="95">
        <f ca="1">1000000*F46/OP!$C$8</f>
        <v>-6.4329277046411892</v>
      </c>
      <c r="G53" s="1"/>
      <c r="H53"/>
      <c r="I53"/>
      <c r="J53"/>
      <c r="K53" s="1"/>
      <c r="L53" s="1"/>
      <c r="M53" s="1"/>
      <c r="N53" s="1"/>
      <c r="O53" s="1"/>
      <c r="P53" s="1"/>
      <c r="Q53" s="1"/>
      <c r="R53" s="1"/>
      <c r="S53" s="1"/>
      <c r="T53" s="1"/>
      <c r="U53" s="1"/>
      <c r="V53" s="1"/>
      <c r="W53" s="1"/>
      <c r="X53" s="1"/>
      <c r="Y53" s="1"/>
      <c r="Z53" s="1"/>
      <c r="AA53" s="1"/>
      <c r="AB53" s="1"/>
      <c r="AC53" s="1"/>
    </row>
    <row r="54" spans="1:29" x14ac:dyDescent="0.25">
      <c r="A54" s="14" t="s">
        <v>153</v>
      </c>
      <c r="B54" s="1"/>
      <c r="C54" s="102">
        <v>3.3</v>
      </c>
      <c r="D54" s="102">
        <v>5.6</v>
      </c>
      <c r="E54" s="102">
        <v>5.6</v>
      </c>
      <c r="F54" s="90"/>
      <c r="G54" s="1"/>
      <c r="H54"/>
      <c r="I54"/>
      <c r="J54"/>
      <c r="K54" s="1"/>
      <c r="L54" s="1"/>
      <c r="M54" s="1"/>
      <c r="N54" s="1"/>
      <c r="O54" s="1"/>
      <c r="P54" s="1"/>
      <c r="Q54" s="1"/>
      <c r="R54" s="1"/>
      <c r="S54" s="1"/>
      <c r="T54" s="1"/>
      <c r="U54" s="1"/>
      <c r="V54" s="1"/>
      <c r="W54" s="1"/>
      <c r="X54" s="1"/>
      <c r="Y54" s="1"/>
      <c r="Z54" s="1"/>
      <c r="AA54" s="1"/>
      <c r="AB54" s="1"/>
      <c r="AC54" s="1"/>
    </row>
    <row r="55" spans="1:29" x14ac:dyDescent="0.25">
      <c r="A55" s="89" t="s">
        <v>135</v>
      </c>
      <c r="B55" s="21"/>
      <c r="C55" s="21"/>
      <c r="D55" s="70">
        <f>$B$61/D46</f>
        <v>36.284193281729813</v>
      </c>
      <c r="E55" s="70">
        <f>$B$61/E46</f>
        <v>35.158015858428179</v>
      </c>
      <c r="F55" s="90">
        <f>$B$61/F46</f>
        <v>32.891495453255992</v>
      </c>
      <c r="G55" s="1"/>
      <c r="H55"/>
      <c r="I55"/>
      <c r="J55"/>
      <c r="K55" s="1"/>
      <c r="L55" s="1"/>
      <c r="M55" s="1"/>
      <c r="N55" s="1"/>
      <c r="O55" s="1"/>
      <c r="P55" s="1"/>
      <c r="Q55" s="1"/>
      <c r="R55" s="1"/>
      <c r="S55" s="1"/>
      <c r="T55" s="1"/>
      <c r="U55" s="1"/>
      <c r="V55" s="1"/>
      <c r="W55" s="1"/>
      <c r="X55" s="1"/>
      <c r="Y55" s="1"/>
      <c r="Z55" s="1"/>
      <c r="AA55" s="1"/>
      <c r="AB55" s="1"/>
      <c r="AC55" s="1"/>
    </row>
    <row r="56" spans="1:29" x14ac:dyDescent="0.25">
      <c r="A56" s="91" t="s">
        <v>136</v>
      </c>
      <c r="B56" s="92"/>
      <c r="C56" s="92"/>
      <c r="D56" s="93">
        <f>($B$61+D48-D51)/D41</f>
        <v>2.6132349719757726</v>
      </c>
      <c r="E56" s="93">
        <f>($B$61+E48-E51)/E41</f>
        <v>2.6640197057985473</v>
      </c>
      <c r="F56" s="94">
        <f>($B$61+F48-F51)/F41</f>
        <v>2.5921947392791949</v>
      </c>
      <c r="G56" s="1"/>
      <c r="H56"/>
      <c r="I56"/>
      <c r="J56"/>
      <c r="K56" s="1"/>
      <c r="L56" s="6"/>
      <c r="M56" s="1"/>
      <c r="N56" s="1"/>
      <c r="O56" s="1"/>
      <c r="P56" s="1"/>
      <c r="Q56" s="1"/>
      <c r="R56" s="1"/>
      <c r="S56" s="1"/>
      <c r="T56" s="1"/>
      <c r="U56" s="1"/>
      <c r="V56" s="1"/>
      <c r="W56" s="1"/>
      <c r="X56" s="1"/>
      <c r="Y56" s="1"/>
      <c r="Z56" s="1"/>
      <c r="AA56" s="1"/>
      <c r="AB56"/>
      <c r="AC56"/>
    </row>
    <row r="57" spans="1:29" x14ac:dyDescent="0.25">
      <c r="A57" s="14"/>
      <c r="B57" s="1"/>
      <c r="C57" s="1"/>
      <c r="D57" s="70"/>
      <c r="E57" s="70"/>
      <c r="F57" s="70"/>
      <c r="G57" s="1"/>
      <c r="H57" s="1"/>
      <c r="I57" s="1"/>
      <c r="J57" s="1"/>
      <c r="K57" s="1"/>
      <c r="L57" s="1"/>
      <c r="M57" s="1"/>
      <c r="N57" s="1"/>
      <c r="O57" s="1"/>
      <c r="P57" s="1"/>
      <c r="Q57" s="1"/>
      <c r="R57" s="1"/>
      <c r="S57" s="1"/>
      <c r="T57" s="1"/>
      <c r="U57" s="1"/>
      <c r="V57" s="1"/>
      <c r="W57" s="1"/>
      <c r="X57" s="1"/>
      <c r="Y57" s="1"/>
      <c r="Z57" s="1"/>
      <c r="AA57" s="1"/>
      <c r="AB57"/>
      <c r="AC57"/>
    </row>
    <row r="58" spans="1:29" x14ac:dyDescent="0.25">
      <c r="A58" s="7"/>
      <c r="B58" s="21"/>
      <c r="C58" s="44" t="s">
        <v>54</v>
      </c>
      <c r="D58" s="44" t="s">
        <v>152</v>
      </c>
      <c r="E58" s="44" t="s">
        <v>112</v>
      </c>
      <c r="F58"/>
      <c r="G58"/>
      <c r="H58" s="44" t="s">
        <v>144</v>
      </c>
      <c r="I58" s="44" t="s">
        <v>145</v>
      </c>
      <c r="J58" s="1"/>
      <c r="K58" s="1"/>
      <c r="L58" s="1"/>
      <c r="M58" s="1"/>
      <c r="N58" s="1"/>
      <c r="O58" s="1"/>
      <c r="P58" s="1"/>
      <c r="Q58" s="1"/>
      <c r="R58" s="1"/>
      <c r="S58" s="1"/>
      <c r="T58" s="1"/>
      <c r="U58" s="1"/>
      <c r="V58" s="1"/>
      <c r="W58" s="1"/>
      <c r="X58" s="1"/>
      <c r="Y58" s="1"/>
      <c r="Z58" s="1"/>
      <c r="AA58" s="1"/>
      <c r="AB58" s="1"/>
      <c r="AC58" s="1"/>
    </row>
    <row r="59" spans="1:29" x14ac:dyDescent="0.25">
      <c r="A59" s="46" t="s">
        <v>106</v>
      </c>
      <c r="B59" s="42">
        <f>SUM(C59:E59)</f>
        <v>8.3000000000000004E-2</v>
      </c>
      <c r="C59" s="43">
        <v>3.0700000000000002E-2</v>
      </c>
      <c r="D59" s="43">
        <v>5.2299999999999999E-2</v>
      </c>
      <c r="E59" s="42">
        <v>0</v>
      </c>
      <c r="F59"/>
      <c r="G59" s="11" t="s">
        <v>143</v>
      </c>
      <c r="H59" s="5">
        <v>1</v>
      </c>
      <c r="I59" s="5">
        <v>1</v>
      </c>
      <c r="J59" s="1"/>
    </row>
    <row r="60" spans="1:29" x14ac:dyDescent="0.25">
      <c r="A60" s="46"/>
      <c r="C60" s="43"/>
      <c r="D60" s="43"/>
      <c r="E60" s="123"/>
      <c r="F60"/>
      <c r="G60" t="s">
        <v>164</v>
      </c>
      <c r="H60" s="595">
        <v>-0.01</v>
      </c>
      <c r="I60" s="595"/>
    </row>
    <row r="61" spans="1:29" x14ac:dyDescent="0.25">
      <c r="A61" s="45" t="s">
        <v>15</v>
      </c>
      <c r="B61" s="4">
        <f>C62+C63</f>
        <v>-82965.481816372878</v>
      </c>
      <c r="C61" s="252" t="s">
        <v>264</v>
      </c>
      <c r="D61" s="245">
        <f>D31</f>
        <v>1E-3</v>
      </c>
      <c r="E61" s="246">
        <f>D32</f>
        <v>5.0000000000000001E-3</v>
      </c>
      <c r="F61"/>
      <c r="G61" t="s">
        <v>165</v>
      </c>
      <c r="H61" s="3">
        <v>0.21</v>
      </c>
      <c r="I61" s="3">
        <v>0.23</v>
      </c>
      <c r="AA61" s="3"/>
      <c r="AB61" s="3"/>
      <c r="AC61" s="3"/>
    </row>
    <row r="62" spans="1:29" x14ac:dyDescent="0.25">
      <c r="A62" s="45" t="s">
        <v>69</v>
      </c>
      <c r="B62" s="3">
        <f>C62/B61</f>
        <v>0.65772038747732087</v>
      </c>
      <c r="C62" s="243">
        <f>AB52/(1+B59)^25</f>
        <v>-54568.088847507388</v>
      </c>
      <c r="D62" s="247">
        <f>SUMPRODUCT(E50:AB50,E31:AB31)</f>
        <v>-39808.983947265006</v>
      </c>
      <c r="E62" s="248">
        <f>SUMPRODUCT(E50:AB50,E32:AB32)</f>
        <v>-38060.961705467249</v>
      </c>
      <c r="F62"/>
      <c r="G62" s="104" t="s">
        <v>166</v>
      </c>
      <c r="H62" s="596">
        <v>1.2</v>
      </c>
      <c r="I62" s="596"/>
    </row>
    <row r="63" spans="1:29" x14ac:dyDescent="0.25">
      <c r="A63" s="45" t="s">
        <v>53</v>
      </c>
      <c r="B63" s="3">
        <f>1-B62</f>
        <v>0.34227961252267913</v>
      </c>
      <c r="C63" s="243">
        <f>AC52/(1+B59)^25</f>
        <v>-28397.392968865493</v>
      </c>
      <c r="D63" s="249">
        <f>(AC50/($B$59+D31-$AC$36))*AC31</f>
        <v>-27183.350771881302</v>
      </c>
      <c r="E63" s="250">
        <f>(AC50/($B$59+D32-$AC$36))*AC32</f>
        <v>-22920.963559162949</v>
      </c>
      <c r="F63"/>
      <c r="G63" t="s">
        <v>167</v>
      </c>
      <c r="H63" s="593">
        <f>SUM(40:40)</f>
        <v>628616.67179785389</v>
      </c>
      <c r="I63" s="593"/>
    </row>
    <row r="64" spans="1:29" x14ac:dyDescent="0.25">
      <c r="A64" s="46" t="s">
        <v>14</v>
      </c>
      <c r="B64" s="47">
        <f ca="1">1000000*B61/OP!C8</f>
        <v>-211.5886123483302</v>
      </c>
      <c r="C64" s="4"/>
      <c r="D64" s="47">
        <f ca="1">1000000*SUM(D62:D63)/OP!C8</f>
        <v>-170.85195952422819</v>
      </c>
      <c r="E64" s="251">
        <f ca="1">1000000*SUM(E62:E63)/OP!C8</f>
        <v>-155.52348594360015</v>
      </c>
      <c r="F64"/>
      <c r="G64" t="s">
        <v>168</v>
      </c>
      <c r="H64" s="593">
        <f>SUM(47:47)</f>
        <v>671402.19331143436</v>
      </c>
      <c r="I64" s="593"/>
    </row>
    <row r="65" spans="1:29" x14ac:dyDescent="0.25">
      <c r="B65" s="48">
        <f ca="1">B64/OP!C7-1</f>
        <v>-4.1832196832906607</v>
      </c>
      <c r="C65" s="2"/>
      <c r="D65" s="10">
        <f ca="1">D64/B64-1</f>
        <v>-0.19252762410974567</v>
      </c>
      <c r="E65" s="122">
        <f ca="1">E64/B64-1</f>
        <v>-0.26497232427817141</v>
      </c>
      <c r="F65"/>
      <c r="G65" s="110" t="s">
        <v>169</v>
      </c>
      <c r="H65" s="593">
        <f>SUM(47:47)+(OP!E12*OP!E7)</f>
        <v>672224.59331143438</v>
      </c>
      <c r="I65" s="593"/>
    </row>
    <row r="66" spans="1:29" x14ac:dyDescent="0.25">
      <c r="B66" s="4"/>
      <c r="C66" s="4"/>
      <c r="G66" s="2"/>
      <c r="I66" s="6"/>
    </row>
    <row r="67" spans="1:29" x14ac:dyDescent="0.25">
      <c r="A67" t="s">
        <v>265</v>
      </c>
      <c r="B67" s="253">
        <f>B62*D68+B63*D69</f>
        <v>21.120318905427418</v>
      </c>
      <c r="C67" s="110"/>
      <c r="E67" s="254">
        <v>1</v>
      </c>
      <c r="F67" s="254">
        <v>2</v>
      </c>
      <c r="G67" s="254">
        <v>3</v>
      </c>
      <c r="H67" s="4">
        <v>4</v>
      </c>
      <c r="I67" s="254">
        <v>5</v>
      </c>
      <c r="J67" s="254">
        <v>6</v>
      </c>
      <c r="K67" s="254">
        <v>7</v>
      </c>
      <c r="L67" s="4">
        <v>8</v>
      </c>
      <c r="M67" s="254">
        <v>9</v>
      </c>
      <c r="N67" s="254">
        <v>10</v>
      </c>
      <c r="O67" s="254">
        <v>11</v>
      </c>
      <c r="P67" s="4">
        <v>12</v>
      </c>
      <c r="Q67" s="254">
        <v>13</v>
      </c>
      <c r="R67" s="254">
        <v>14</v>
      </c>
      <c r="S67" s="254">
        <v>15</v>
      </c>
      <c r="T67" s="4">
        <v>16</v>
      </c>
      <c r="U67" s="254">
        <v>17</v>
      </c>
      <c r="V67" s="254">
        <v>18</v>
      </c>
      <c r="W67" s="254">
        <v>19</v>
      </c>
      <c r="X67" s="4">
        <v>20</v>
      </c>
      <c r="Y67" s="254">
        <v>21</v>
      </c>
      <c r="Z67" s="254">
        <v>22</v>
      </c>
      <c r="AA67" s="254">
        <v>23</v>
      </c>
      <c r="AB67" s="4">
        <v>24</v>
      </c>
      <c r="AC67" s="254">
        <v>25</v>
      </c>
    </row>
    <row r="68" spans="1:29" x14ac:dyDescent="0.25">
      <c r="A68" s="242">
        <v>1E-3</v>
      </c>
      <c r="B68" s="255">
        <f>-$B$67*A68</f>
        <v>-2.112031890542742E-2</v>
      </c>
      <c r="C68" s="110"/>
      <c r="D68" s="243">
        <f>SUM(E68:AB68)/SUMPRODUCT(E50:AB50,E33:AB33)</f>
        <v>12.311003856227083</v>
      </c>
      <c r="E68" s="256">
        <f>E67*E50*E33</f>
        <v>-1286.9699989299424</v>
      </c>
      <c r="F68" s="256">
        <f t="shared" ref="F68:AC68" si="18">F67*F50*F33</f>
        <v>-2834.6777912446996</v>
      </c>
      <c r="G68" s="256">
        <f t="shared" si="18"/>
        <v>-4376.6075220827533</v>
      </c>
      <c r="H68" s="256">
        <f t="shared" si="18"/>
        <v>-6400.7809911849226</v>
      </c>
      <c r="I68" s="256">
        <f t="shared" si="18"/>
        <v>-8643.2960832700755</v>
      </c>
      <c r="J68" s="256">
        <f t="shared" si="18"/>
        <v>-11185.353151674495</v>
      </c>
      <c r="K68" s="256">
        <f t="shared" si="18"/>
        <v>-13674.829161847416</v>
      </c>
      <c r="L68" s="256">
        <f t="shared" si="18"/>
        <v>-15882.905551364782</v>
      </c>
      <c r="M68" s="256">
        <f t="shared" si="18"/>
        <v>-17877.131570089819</v>
      </c>
      <c r="N68" s="256">
        <f t="shared" si="18"/>
        <v>-19562.917108350586</v>
      </c>
      <c r="O68" s="256">
        <f t="shared" si="18"/>
        <v>-21025.122998930434</v>
      </c>
      <c r="P68" s="256">
        <f t="shared" si="18"/>
        <v>-22407.059489525585</v>
      </c>
      <c r="Q68" s="256">
        <f t="shared" si="18"/>
        <v>-23711.042329054588</v>
      </c>
      <c r="R68" s="256">
        <f t="shared" si="18"/>
        <v>-24939.356899599079</v>
      </c>
      <c r="S68" s="256">
        <f t="shared" si="18"/>
        <v>-26094.256802682412</v>
      </c>
      <c r="T68" s="256">
        <f t="shared" si="18"/>
        <v>-27177.962738621394</v>
      </c>
      <c r="U68" s="256">
        <f t="shared" si="18"/>
        <v>-28192.661627830155</v>
      </c>
      <c r="V68" s="256">
        <f t="shared" si="18"/>
        <v>-29140.505930788291</v>
      </c>
      <c r="W68" s="256">
        <f t="shared" si="18"/>
        <v>-30023.613130191534</v>
      </c>
      <c r="X68" s="256">
        <f t="shared" si="18"/>
        <v>-30844.065344701157</v>
      </c>
      <c r="Y68" s="256">
        <f t="shared" si="18"/>
        <v>-31603.909048803776</v>
      </c>
      <c r="Z68" s="256">
        <f t="shared" si="18"/>
        <v>-32305.154877684614</v>
      </c>
      <c r="AA68" s="256">
        <f t="shared" si="18"/>
        <v>-32949.777499782555</v>
      </c>
      <c r="AB68" s="256">
        <f t="shared" si="18"/>
        <v>-33539.715542919708</v>
      </c>
      <c r="AC68" s="256">
        <f t="shared" si="18"/>
        <v>-34076.871562638589</v>
      </c>
    </row>
    <row r="69" spans="1:29" ht="14.4" x14ac:dyDescent="0.3">
      <c r="A69" s="242">
        <v>5.0000000000000001E-3</v>
      </c>
      <c r="B69" s="255">
        <f>-$B$67*A69</f>
        <v>-0.10560159452713709</v>
      </c>
      <c r="C69" s="110"/>
      <c r="D69" s="257">
        <f>(1+B59)/B59+AC67</f>
        <v>38.048192771084338</v>
      </c>
      <c r="E69" s="3"/>
      <c r="F69" s="48"/>
      <c r="H69" s="6"/>
    </row>
    <row r="70" spans="1:29" x14ac:dyDescent="0.25">
      <c r="D70" s="136"/>
      <c r="E70" s="10"/>
      <c r="F70" s="9"/>
      <c r="H70" s="6"/>
    </row>
    <row r="71" spans="1:29" x14ac:dyDescent="0.25">
      <c r="C71" s="110"/>
      <c r="D71" s="137"/>
      <c r="E71" s="137"/>
      <c r="F71" s="137"/>
    </row>
    <row r="72" spans="1:29" x14ac:dyDescent="0.25">
      <c r="C72" s="110"/>
      <c r="D72" s="48"/>
      <c r="E72" s="3"/>
      <c r="F72" s="3"/>
    </row>
    <row r="73" spans="1:29" x14ac:dyDescent="0.25">
      <c r="C73" s="110"/>
      <c r="D73" s="3"/>
      <c r="E73" s="48"/>
      <c r="F73" s="3"/>
    </row>
    <row r="74" spans="1:29" x14ac:dyDescent="0.25">
      <c r="C74" s="110"/>
      <c r="D74" s="3"/>
      <c r="E74" s="3"/>
      <c r="F74" s="3"/>
      <c r="J74" s="9"/>
    </row>
    <row r="75" spans="1:29" x14ac:dyDescent="0.25">
      <c r="C75" s="110"/>
      <c r="D75" s="3"/>
      <c r="E75" s="3"/>
      <c r="F75" s="3"/>
    </row>
    <row r="76" spans="1:29" x14ac:dyDescent="0.25">
      <c r="C76" s="110"/>
      <c r="D76" s="3"/>
      <c r="E76" s="3"/>
      <c r="F76" s="3"/>
    </row>
    <row r="77" spans="1:29" x14ac:dyDescent="0.25">
      <c r="C77" s="110"/>
      <c r="D77" s="3"/>
      <c r="E77" s="3"/>
      <c r="F77" s="3"/>
    </row>
    <row r="78" spans="1:29" x14ac:dyDescent="0.25">
      <c r="C78" s="110"/>
      <c r="D78" s="3"/>
      <c r="E78" s="3"/>
      <c r="F78" s="48"/>
    </row>
    <row r="79" spans="1:29" x14ac:dyDescent="0.25">
      <c r="F79" s="8"/>
    </row>
    <row r="81" spans="4:9" x14ac:dyDescent="0.25">
      <c r="G81" s="10"/>
    </row>
    <row r="82" spans="4:9" x14ac:dyDescent="0.25">
      <c r="D82" s="3"/>
      <c r="E82" s="3"/>
      <c r="F82" s="3"/>
      <c r="G82" s="9"/>
    </row>
    <row r="83" spans="4:9" x14ac:dyDescent="0.25">
      <c r="D83" s="3"/>
      <c r="E83" s="3"/>
      <c r="F83" s="3"/>
      <c r="G83" s="9"/>
    </row>
    <row r="84" spans="4:9" x14ac:dyDescent="0.25">
      <c r="D84" s="3"/>
      <c r="E84" s="3"/>
      <c r="F84" s="3"/>
      <c r="H84" s="9"/>
    </row>
    <row r="85" spans="4:9" x14ac:dyDescent="0.25">
      <c r="I85" s="10"/>
    </row>
    <row r="86" spans="4:9" x14ac:dyDescent="0.25">
      <c r="D86" s="3"/>
      <c r="E86" s="3"/>
      <c r="F86" s="3"/>
    </row>
    <row r="87" spans="4:9" x14ac:dyDescent="0.25">
      <c r="D87" s="3"/>
      <c r="E87" s="3"/>
      <c r="F87" s="3"/>
    </row>
    <row r="88" spans="4:9" x14ac:dyDescent="0.25">
      <c r="D88" s="3"/>
      <c r="E88" s="3"/>
      <c r="F88" s="3"/>
    </row>
  </sheetData>
  <mergeCells count="6">
    <mergeCell ref="H65:I65"/>
    <mergeCell ref="H64:I64"/>
    <mergeCell ref="A1:L1"/>
    <mergeCell ref="H60:I60"/>
    <mergeCell ref="H62:I62"/>
    <mergeCell ref="H63:I63"/>
  </mergeCells>
  <phoneticPr fontId="0" type="noConversion"/>
  <hyperlinks>
    <hyperlink ref="A61" r:id="rId1" xr:uid="{00000000-0004-0000-0600-000000000000}"/>
  </hyperlinks>
  <pageMargins left="0.75" right="0.75" top="1" bottom="1" header="0" footer="0"/>
  <pageSetup orientation="portrait" r:id="rId2"/>
  <headerFooter alignWithMargins="0"/>
  <drawing r:id="rId3"/>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sheetPr>
  <dimension ref="A1:AG85"/>
  <sheetViews>
    <sheetView topLeftCell="A56" zoomScale="102" zoomScaleNormal="115" workbookViewId="0">
      <selection activeCell="J65" sqref="J65"/>
    </sheetView>
  </sheetViews>
  <sheetFormatPr defaultColWidth="11.44140625" defaultRowHeight="14.4" x14ac:dyDescent="0.3"/>
  <cols>
    <col min="1" max="1" width="14.44140625" style="278" customWidth="1"/>
    <col min="2" max="2" width="6.6640625" style="278" customWidth="1"/>
    <col min="3" max="3" width="35.44140625" style="278" customWidth="1"/>
    <col min="4" max="5" width="12.44140625" style="278" customWidth="1"/>
    <col min="6" max="6" width="22" style="279" customWidth="1"/>
    <col min="7" max="7" width="14" style="279" customWidth="1"/>
    <col min="8" max="8" width="13" style="279" customWidth="1"/>
    <col min="9" max="9" width="11.109375" style="279" customWidth="1"/>
    <col min="10" max="12" width="9.33203125" style="279" customWidth="1"/>
    <col min="13" max="13" width="9.109375" style="279" bestFit="1" customWidth="1"/>
    <col min="14" max="19" width="10.6640625" style="279" customWidth="1"/>
    <col min="20" max="20" width="14.6640625" style="279" customWidth="1"/>
    <col min="21" max="25" width="10.6640625" style="279" bestFit="1" customWidth="1"/>
    <col min="26" max="26" width="12.6640625" style="279" customWidth="1"/>
    <col min="27" max="28" width="10.6640625" style="279" bestFit="1" customWidth="1"/>
    <col min="29" max="29" width="10.44140625" style="279" bestFit="1" customWidth="1"/>
    <col min="30" max="30" width="11.44140625" style="278"/>
    <col min="31" max="31" width="12.44140625" style="278" bestFit="1" customWidth="1"/>
    <col min="32" max="32" width="11.44140625" style="278"/>
    <col min="33" max="33" width="143.109375" style="278" customWidth="1"/>
    <col min="34" max="16384" width="11.44140625" style="278"/>
  </cols>
  <sheetData>
    <row r="1" spans="1:33" ht="21" x14ac:dyDescent="0.4">
      <c r="C1" s="603" t="s">
        <v>271</v>
      </c>
      <c r="D1" s="603"/>
      <c r="E1" s="603"/>
      <c r="F1" s="603"/>
      <c r="G1" s="603"/>
      <c r="H1" s="603"/>
      <c r="I1" s="603"/>
      <c r="J1" s="603"/>
      <c r="K1" s="603"/>
      <c r="L1" s="603"/>
    </row>
    <row r="2" spans="1:33" x14ac:dyDescent="0.3">
      <c r="C2" s="280" t="s">
        <v>446</v>
      </c>
      <c r="D2" s="280"/>
      <c r="E2" s="280"/>
      <c r="F2" s="280"/>
      <c r="G2" s="280"/>
      <c r="H2" s="280" t="s">
        <v>263</v>
      </c>
      <c r="I2" s="280"/>
      <c r="J2" s="280"/>
      <c r="K2" s="280"/>
      <c r="L2" s="280"/>
    </row>
    <row r="3" spans="1:33" x14ac:dyDescent="0.3">
      <c r="D3" s="418">
        <f>D19/D6</f>
        <v>6.1971246172211558E-2</v>
      </c>
      <c r="E3" s="418">
        <f>E19/E6</f>
        <v>4.6314069838676745E-2</v>
      </c>
      <c r="F3" s="418">
        <f>F19/F6</f>
        <v>4.3473778266547525E-2</v>
      </c>
      <c r="G3" s="279">
        <v>0</v>
      </c>
      <c r="H3" s="279">
        <v>0.25</v>
      </c>
      <c r="I3" s="279">
        <f>H3+1</f>
        <v>1.25</v>
      </c>
      <c r="J3" s="279">
        <f t="shared" ref="J3:P3" si="0">I3+1</f>
        <v>2.25</v>
      </c>
      <c r="K3" s="279">
        <f t="shared" si="0"/>
        <v>3.25</v>
      </c>
      <c r="L3" s="279">
        <f t="shared" si="0"/>
        <v>4.25</v>
      </c>
      <c r="M3" s="279">
        <f t="shared" si="0"/>
        <v>5.25</v>
      </c>
      <c r="N3" s="279">
        <f t="shared" si="0"/>
        <v>6.25</v>
      </c>
      <c r="O3" s="279">
        <f t="shared" si="0"/>
        <v>7.25</v>
      </c>
      <c r="P3" s="279">
        <f t="shared" si="0"/>
        <v>8.25</v>
      </c>
      <c r="Q3" s="279">
        <f t="shared" ref="Q3:AF3" si="1">P3+1</f>
        <v>9.25</v>
      </c>
      <c r="R3" s="279">
        <f t="shared" si="1"/>
        <v>10.25</v>
      </c>
      <c r="S3" s="279">
        <f t="shared" si="1"/>
        <v>11.25</v>
      </c>
      <c r="T3" s="279">
        <f t="shared" si="1"/>
        <v>12.25</v>
      </c>
      <c r="U3" s="279">
        <f t="shared" si="1"/>
        <v>13.25</v>
      </c>
      <c r="V3" s="279">
        <f t="shared" si="1"/>
        <v>14.25</v>
      </c>
      <c r="W3" s="279">
        <f t="shared" si="1"/>
        <v>15.25</v>
      </c>
      <c r="X3" s="279">
        <f t="shared" si="1"/>
        <v>16.25</v>
      </c>
      <c r="Y3" s="279">
        <f t="shared" si="1"/>
        <v>17.25</v>
      </c>
      <c r="Z3" s="279">
        <f t="shared" si="1"/>
        <v>18.25</v>
      </c>
      <c r="AA3" s="279">
        <f t="shared" si="1"/>
        <v>19.25</v>
      </c>
      <c r="AB3" s="279">
        <f t="shared" si="1"/>
        <v>20.25</v>
      </c>
      <c r="AC3" s="279">
        <f t="shared" si="1"/>
        <v>21.25</v>
      </c>
      <c r="AD3" s="279">
        <f t="shared" si="1"/>
        <v>22.25</v>
      </c>
      <c r="AE3" s="279">
        <f t="shared" si="1"/>
        <v>23.25</v>
      </c>
      <c r="AF3" s="279">
        <f t="shared" si="1"/>
        <v>24.25</v>
      </c>
    </row>
    <row r="4" spans="1:33" x14ac:dyDescent="0.3">
      <c r="A4" s="281" t="s">
        <v>272</v>
      </c>
      <c r="B4" s="281" t="s">
        <v>273</v>
      </c>
      <c r="C4" s="282" t="s">
        <v>274</v>
      </c>
      <c r="D4" s="283" t="s">
        <v>196</v>
      </c>
      <c r="E4" s="283" t="s">
        <v>275</v>
      </c>
      <c r="F4" s="283" t="s">
        <v>359</v>
      </c>
      <c r="G4" s="284" t="s">
        <v>417</v>
      </c>
      <c r="H4" s="284" t="s">
        <v>497</v>
      </c>
      <c r="I4" s="284">
        <v>2025</v>
      </c>
      <c r="J4" s="284">
        <f t="shared" ref="J4:P4" si="2">+I4+1</f>
        <v>2026</v>
      </c>
      <c r="K4" s="284">
        <f t="shared" si="2"/>
        <v>2027</v>
      </c>
      <c r="L4" s="284">
        <f t="shared" si="2"/>
        <v>2028</v>
      </c>
      <c r="M4" s="284">
        <f t="shared" si="2"/>
        <v>2029</v>
      </c>
      <c r="N4" s="284">
        <f t="shared" si="2"/>
        <v>2030</v>
      </c>
      <c r="O4" s="284">
        <f t="shared" si="2"/>
        <v>2031</v>
      </c>
      <c r="P4" s="284">
        <f t="shared" si="2"/>
        <v>2032</v>
      </c>
      <c r="Q4" s="284">
        <f t="shared" ref="Q4:AF4" si="3">+P4+1</f>
        <v>2033</v>
      </c>
      <c r="R4" s="284">
        <f t="shared" si="3"/>
        <v>2034</v>
      </c>
      <c r="S4" s="284">
        <f t="shared" si="3"/>
        <v>2035</v>
      </c>
      <c r="T4" s="284">
        <f t="shared" si="3"/>
        <v>2036</v>
      </c>
      <c r="U4" s="284">
        <f t="shared" si="3"/>
        <v>2037</v>
      </c>
      <c r="V4" s="284">
        <f t="shared" si="3"/>
        <v>2038</v>
      </c>
      <c r="W4" s="284">
        <f t="shared" si="3"/>
        <v>2039</v>
      </c>
      <c r="X4" s="284">
        <f t="shared" si="3"/>
        <v>2040</v>
      </c>
      <c r="Y4" s="284">
        <f t="shared" si="3"/>
        <v>2041</v>
      </c>
      <c r="Z4" s="284">
        <f t="shared" si="3"/>
        <v>2042</v>
      </c>
      <c r="AA4" s="284">
        <f t="shared" si="3"/>
        <v>2043</v>
      </c>
      <c r="AB4" s="284">
        <f t="shared" si="3"/>
        <v>2044</v>
      </c>
      <c r="AC4" s="284">
        <f t="shared" si="3"/>
        <v>2045</v>
      </c>
      <c r="AD4" s="284">
        <f t="shared" si="3"/>
        <v>2046</v>
      </c>
      <c r="AE4" s="284">
        <f t="shared" si="3"/>
        <v>2047</v>
      </c>
      <c r="AF4" s="284">
        <f t="shared" si="3"/>
        <v>2048</v>
      </c>
      <c r="AG4" s="278" t="s">
        <v>276</v>
      </c>
    </row>
    <row r="5" spans="1:33" s="288" customFormat="1" ht="13.2" customHeight="1" x14ac:dyDescent="0.25">
      <c r="A5" s="604" t="s">
        <v>277</v>
      </c>
      <c r="B5" s="285">
        <v>1</v>
      </c>
      <c r="C5" s="286" t="s">
        <v>278</v>
      </c>
      <c r="D5" s="419">
        <f>[2]Cifras_en_Millones!F6</f>
        <v>0.30535230352303522</v>
      </c>
      <c r="E5" s="419">
        <f>E6/D6-1</f>
        <v>0.27082576426013394</v>
      </c>
      <c r="F5" s="419">
        <f>F6/E6-1</f>
        <v>0.18840106187461725</v>
      </c>
      <c r="G5" s="419">
        <f>G6/F6-1</f>
        <v>0.24486218984122621</v>
      </c>
      <c r="H5" s="477">
        <f>H6/G6-1</f>
        <v>0.11338100102145043</v>
      </c>
      <c r="I5" s="287">
        <v>0.14499999999999999</v>
      </c>
      <c r="J5" s="287">
        <v>0.13</v>
      </c>
      <c r="K5" s="287">
        <v>0.17</v>
      </c>
      <c r="L5" s="490">
        <f>+K5-($K$5-$AF$5)/($AF$4-$K$4)</f>
        <v>0.16285714285714287</v>
      </c>
      <c r="M5" s="490">
        <f t="shared" ref="M5:AE5" si="4">+L5-($K$5-$AF$5)/($AF$4-$K$4)</f>
        <v>0.15571428571428572</v>
      </c>
      <c r="N5" s="490">
        <f t="shared" si="4"/>
        <v>0.14857142857142858</v>
      </c>
      <c r="O5" s="490">
        <f t="shared" si="4"/>
        <v>0.14142857142857143</v>
      </c>
      <c r="P5" s="490">
        <f t="shared" si="4"/>
        <v>0.13428571428571429</v>
      </c>
      <c r="Q5" s="490">
        <f t="shared" si="4"/>
        <v>0.12714285714285714</v>
      </c>
      <c r="R5" s="490">
        <f t="shared" si="4"/>
        <v>0.12</v>
      </c>
      <c r="S5" s="490">
        <f t="shared" si="4"/>
        <v>0.11285714285714285</v>
      </c>
      <c r="T5" s="490">
        <f t="shared" si="4"/>
        <v>0.10571428571428571</v>
      </c>
      <c r="U5" s="490">
        <f t="shared" si="4"/>
        <v>9.857142857142856E-2</v>
      </c>
      <c r="V5" s="490">
        <f t="shared" si="4"/>
        <v>9.1428571428571415E-2</v>
      </c>
      <c r="W5" s="490">
        <f t="shared" si="4"/>
        <v>8.4285714285714269E-2</v>
      </c>
      <c r="X5" s="490">
        <f t="shared" si="4"/>
        <v>7.7142857142857124E-2</v>
      </c>
      <c r="Y5" s="490">
        <f t="shared" si="4"/>
        <v>6.9999999999999979E-2</v>
      </c>
      <c r="Z5" s="490">
        <f t="shared" si="4"/>
        <v>6.2857142857142834E-2</v>
      </c>
      <c r="AA5" s="490">
        <f t="shared" si="4"/>
        <v>5.5714285714285688E-2</v>
      </c>
      <c r="AB5" s="490">
        <f t="shared" si="4"/>
        <v>4.8571428571428543E-2</v>
      </c>
      <c r="AC5" s="490">
        <f t="shared" si="4"/>
        <v>4.1428571428571398E-2</v>
      </c>
      <c r="AD5" s="490">
        <f t="shared" si="4"/>
        <v>3.4285714285714253E-2</v>
      </c>
      <c r="AE5" s="490">
        <f t="shared" si="4"/>
        <v>2.7142857142857107E-2</v>
      </c>
      <c r="AF5" s="287">
        <v>0.02</v>
      </c>
    </row>
    <row r="6" spans="1:33" s="291" customFormat="1" x14ac:dyDescent="0.3">
      <c r="A6" s="604"/>
      <c r="B6" s="285">
        <v>2</v>
      </c>
      <c r="C6" s="289" t="s">
        <v>279</v>
      </c>
      <c r="D6" s="432">
        <v>1926.7</v>
      </c>
      <c r="E6" s="432">
        <v>2448.5</v>
      </c>
      <c r="F6" s="432">
        <v>2909.8</v>
      </c>
      <c r="G6" s="432">
        <v>3622.3</v>
      </c>
      <c r="H6" s="432">
        <v>4033</v>
      </c>
      <c r="I6" s="420">
        <f>H6*(1+I5)</f>
        <v>4617.7849999999999</v>
      </c>
      <c r="J6" s="420">
        <f t="shared" ref="J6:O6" si="5">I6*(1+J5)</f>
        <v>5218.0970499999994</v>
      </c>
      <c r="K6" s="420">
        <f t="shared" si="5"/>
        <v>6105.173548499999</v>
      </c>
      <c r="L6" s="420">
        <f t="shared" si="5"/>
        <v>7099.4446692557131</v>
      </c>
      <c r="M6" s="420">
        <f>L6*(1+M5)</f>
        <v>8204.9296248969604</v>
      </c>
      <c r="N6" s="420">
        <f t="shared" si="5"/>
        <v>9423.9477405959369</v>
      </c>
      <c r="O6" s="420">
        <f t="shared" si="5"/>
        <v>10756.763206765934</v>
      </c>
      <c r="P6" s="420">
        <f>O6*(1+P5)</f>
        <v>12201.242837388789</v>
      </c>
      <c r="Q6" s="420">
        <f t="shared" ref="Q6" si="6">P6*(1+Q5)</f>
        <v>13752.543712428222</v>
      </c>
      <c r="R6" s="420">
        <f t="shared" ref="R6" si="7">Q6*(1+R5)</f>
        <v>15402.84895791961</v>
      </c>
      <c r="S6" s="420">
        <f t="shared" ref="S6" si="8">R6*(1+S5)</f>
        <v>17141.170483170536</v>
      </c>
      <c r="T6" s="420">
        <f t="shared" ref="T6" si="9">S6*(1+T5)</f>
        <v>18953.237077105707</v>
      </c>
      <c r="U6" s="420">
        <f t="shared" ref="U6" si="10">T6*(1+U5)</f>
        <v>20821.484731848981</v>
      </c>
      <c r="V6" s="420">
        <f>U6*(1+V5)</f>
        <v>22725.163335903744</v>
      </c>
      <c r="W6" s="420">
        <f t="shared" ref="W6" si="11">V6*(1+W5)</f>
        <v>24640.569959929919</v>
      </c>
      <c r="X6" s="420">
        <f t="shared" ref="X6" si="12">W6*(1+X5)</f>
        <v>26541.413928267371</v>
      </c>
      <c r="Y6" s="420">
        <f t="shared" ref="Y6" si="13">X6*(1+Y5)</f>
        <v>28399.312903246089</v>
      </c>
      <c r="Z6" s="420">
        <f t="shared" ref="Z6" si="14">Y6*(1+Z5)</f>
        <v>30184.412571450124</v>
      </c>
      <c r="AA6" s="420">
        <f t="shared" ref="AA6" si="15">Z6*(1+AA5)</f>
        <v>31866.115557573772</v>
      </c>
      <c r="AB6" s="420">
        <f t="shared" ref="AB6" si="16">AA6*(1+AB5)</f>
        <v>33413.89831322735</v>
      </c>
      <c r="AC6" s="420">
        <f t="shared" ref="AC6" si="17">AB6*(1+AC5)</f>
        <v>34798.18838620391</v>
      </c>
      <c r="AD6" s="420">
        <f t="shared" ref="AD6" si="18">AC6*(1+AD5)</f>
        <v>35991.269130873756</v>
      </c>
      <c r="AE6" s="420">
        <f t="shared" ref="AE6" si="19">AD6*(1+AE5)</f>
        <v>36968.175007283186</v>
      </c>
      <c r="AF6" s="420">
        <f t="shared" ref="AF6" si="20">AE6*(1+AF5)</f>
        <v>37707.53850742885</v>
      </c>
    </row>
    <row r="7" spans="1:33" s="288" customFormat="1" x14ac:dyDescent="0.3">
      <c r="A7" s="604"/>
      <c r="B7" s="285">
        <v>3</v>
      </c>
      <c r="C7" s="286" t="s">
        <v>280</v>
      </c>
      <c r="D7" s="466">
        <f>+D8/D6</f>
        <v>0.1554471375927752</v>
      </c>
      <c r="E7" s="466">
        <f t="shared" ref="E7:H7" si="21">+E8/E6</f>
        <v>0.10855625893404125</v>
      </c>
      <c r="F7" s="466">
        <f t="shared" si="21"/>
        <v>0.13444222970650901</v>
      </c>
      <c r="G7" s="466">
        <f t="shared" si="21"/>
        <v>0.16500565938768186</v>
      </c>
      <c r="H7" s="466">
        <f t="shared" si="21"/>
        <v>0.14877262583684603</v>
      </c>
      <c r="I7" s="489">
        <v>0.16</v>
      </c>
      <c r="J7" s="489">
        <v>0.17499999999999999</v>
      </c>
      <c r="K7" s="489">
        <v>0.19</v>
      </c>
      <c r="L7" s="489">
        <v>0.19</v>
      </c>
      <c r="M7" s="489">
        <v>0.19</v>
      </c>
      <c r="N7" s="489">
        <v>0.19</v>
      </c>
      <c r="O7" s="489">
        <v>0.19</v>
      </c>
      <c r="P7" s="489">
        <v>0.19</v>
      </c>
      <c r="Q7" s="489">
        <v>0.19</v>
      </c>
      <c r="R7" s="489">
        <v>0.19</v>
      </c>
      <c r="S7" s="489">
        <v>0.19</v>
      </c>
      <c r="T7" s="489">
        <v>0.19</v>
      </c>
      <c r="U7" s="489">
        <v>0.19</v>
      </c>
      <c r="V7" s="489">
        <v>0.19</v>
      </c>
      <c r="W7" s="489">
        <v>0.19</v>
      </c>
      <c r="X7" s="489">
        <v>0.19</v>
      </c>
      <c r="Y7" s="489">
        <v>0.19</v>
      </c>
      <c r="Z7" s="489">
        <v>0.19</v>
      </c>
      <c r="AA7" s="489">
        <v>0.19</v>
      </c>
      <c r="AB7" s="489">
        <v>0.19</v>
      </c>
      <c r="AC7" s="489">
        <v>0.19</v>
      </c>
      <c r="AD7" s="489">
        <v>0.19</v>
      </c>
      <c r="AE7" s="489">
        <v>0.19</v>
      </c>
      <c r="AF7" s="489">
        <v>0.19</v>
      </c>
    </row>
    <row r="8" spans="1:33" x14ac:dyDescent="0.3">
      <c r="A8" s="604"/>
      <c r="B8" s="285">
        <v>4</v>
      </c>
      <c r="C8" s="292" t="s">
        <v>3</v>
      </c>
      <c r="D8" s="432">
        <f>+Cifras_en_Millones!F11</f>
        <v>299.5</v>
      </c>
      <c r="E8" s="432">
        <f>+Cifras_en_Millones!E11</f>
        <v>265.8</v>
      </c>
      <c r="F8" s="432">
        <f>+Cifras_en_Millones!D11</f>
        <v>391.2</v>
      </c>
      <c r="G8" s="432">
        <f>+Cifras_en_Millones!C11</f>
        <v>597.70000000000005</v>
      </c>
      <c r="H8" s="478">
        <v>600</v>
      </c>
      <c r="I8" s="290">
        <f t="shared" ref="I8:P8" si="22">I7*I6</f>
        <v>738.84559999999999</v>
      </c>
      <c r="J8" s="290">
        <f t="shared" si="22"/>
        <v>913.16698374999987</v>
      </c>
      <c r="K8" s="290">
        <f>K7*K6</f>
        <v>1159.9829742149998</v>
      </c>
      <c r="L8" s="290">
        <f t="shared" si="22"/>
        <v>1348.8944871585854</v>
      </c>
      <c r="M8" s="290">
        <f t="shared" si="22"/>
        <v>1558.9366287304224</v>
      </c>
      <c r="N8" s="290">
        <f t="shared" si="22"/>
        <v>1790.550070713228</v>
      </c>
      <c r="O8" s="290">
        <f t="shared" si="22"/>
        <v>2043.7850092855276</v>
      </c>
      <c r="P8" s="290">
        <f t="shared" si="22"/>
        <v>2318.2361391038698</v>
      </c>
      <c r="Q8" s="290">
        <f t="shared" ref="Q8:AF8" si="23">Q7*Q6</f>
        <v>2612.983305361362</v>
      </c>
      <c r="R8" s="290">
        <f t="shared" si="23"/>
        <v>2926.5413020047258</v>
      </c>
      <c r="S8" s="290">
        <f t="shared" si="23"/>
        <v>3256.8223918024019</v>
      </c>
      <c r="T8" s="290">
        <f t="shared" si="23"/>
        <v>3601.1150446500842</v>
      </c>
      <c r="U8" s="290">
        <f t="shared" si="23"/>
        <v>3956.0820990513066</v>
      </c>
      <c r="V8" s="290">
        <f t="shared" si="23"/>
        <v>4317.7810338217114</v>
      </c>
      <c r="W8" s="290">
        <f t="shared" si="23"/>
        <v>4681.7082923866847</v>
      </c>
      <c r="X8" s="290">
        <f t="shared" si="23"/>
        <v>5042.8686463708009</v>
      </c>
      <c r="Y8" s="290">
        <f t="shared" si="23"/>
        <v>5395.869451616757</v>
      </c>
      <c r="Z8" s="290">
        <f t="shared" si="23"/>
        <v>5735.0383885755236</v>
      </c>
      <c r="AA8" s="290">
        <f t="shared" si="23"/>
        <v>6054.561955939017</v>
      </c>
      <c r="AB8" s="290">
        <f t="shared" si="23"/>
        <v>6348.6406795131961</v>
      </c>
      <c r="AC8" s="290">
        <f t="shared" si="23"/>
        <v>6611.6557933787426</v>
      </c>
      <c r="AD8" s="290">
        <f t="shared" si="23"/>
        <v>6838.3411348660138</v>
      </c>
      <c r="AE8" s="290">
        <f>AE7*AE6</f>
        <v>7023.9532513838058</v>
      </c>
      <c r="AF8" s="290">
        <f t="shared" si="23"/>
        <v>7164.4323164114812</v>
      </c>
    </row>
    <row r="9" spans="1:33" x14ac:dyDescent="0.3">
      <c r="A9" s="604"/>
      <c r="B9" s="285" t="s">
        <v>281</v>
      </c>
      <c r="C9" s="294" t="s">
        <v>282</v>
      </c>
      <c r="D9" s="487">
        <f>-Cifras_en_Millones!F17</f>
        <v>-67.099999999999994</v>
      </c>
      <c r="E9" s="487">
        <f>-Cifras_en_Millones!E17</f>
        <v>-120</v>
      </c>
      <c r="F9" s="487">
        <f>-Cifras_en_Millones!D17</f>
        <v>-172.3</v>
      </c>
      <c r="G9" s="487">
        <f>-Cifras_en_Millones!C17</f>
        <v>-202.5</v>
      </c>
      <c r="H9" s="479">
        <v>-234.4</v>
      </c>
      <c r="I9" s="303">
        <f>H9*0.7+0.3*(-$D$50*AVERAGE((D22:H22)))</f>
        <v>-225.20387251954298</v>
      </c>
      <c r="J9" s="303">
        <f t="shared" ref="J9:AF9" si="24">I9*0.7+0.3*(-$D$50*AVERAGE((E22:I22)))</f>
        <v>-198.23646002429604</v>
      </c>
      <c r="K9" s="303">
        <f t="shared" si="24"/>
        <v>-186.03182340814445</v>
      </c>
      <c r="L9" s="303">
        <f t="shared" si="24"/>
        <v>-178.86901811711286</v>
      </c>
      <c r="M9" s="303">
        <f t="shared" si="24"/>
        <v>-185.97652230163365</v>
      </c>
      <c r="N9" s="303">
        <f t="shared" si="24"/>
        <v>-205.74671986476574</v>
      </c>
      <c r="O9" s="303">
        <f t="shared" si="24"/>
        <v>-231.20896009045256</v>
      </c>
      <c r="P9" s="303">
        <f t="shared" si="24"/>
        <v>-262.42709784151918</v>
      </c>
      <c r="Q9" s="303">
        <f t="shared" si="24"/>
        <v>-299.02237344123296</v>
      </c>
      <c r="R9" s="303">
        <f t="shared" si="24"/>
        <v>-340.72875214839598</v>
      </c>
      <c r="S9" s="303">
        <f t="shared" si="24"/>
        <v>-387.33048258541186</v>
      </c>
      <c r="T9" s="303">
        <f t="shared" si="24"/>
        <v>-438.61482941258691</v>
      </c>
      <c r="U9" s="303">
        <f t="shared" si="24"/>
        <v>-494.33601647088869</v>
      </c>
      <c r="V9" s="303">
        <f t="shared" si="24"/>
        <v>-554.18782151999358</v>
      </c>
      <c r="W9" s="303">
        <f t="shared" si="24"/>
        <v>-617.78324051476886</v>
      </c>
      <c r="X9" s="303">
        <f t="shared" si="24"/>
        <v>-684.64030371378203</v>
      </c>
      <c r="Y9" s="303">
        <f t="shared" si="24"/>
        <v>-754.17355800527525</v>
      </c>
      <c r="Z9" s="303">
        <f t="shared" si="24"/>
        <v>-825.69098592802277</v>
      </c>
      <c r="AA9" s="303">
        <f t="shared" si="24"/>
        <v>-898.39625241333476</v>
      </c>
      <c r="AB9" s="303">
        <f t="shared" si="24"/>
        <v>-971.39618569454751</v>
      </c>
      <c r="AC9" s="303">
        <f t="shared" si="24"/>
        <v>-1043.713333504498</v>
      </c>
      <c r="AD9" s="303">
        <f t="shared" si="24"/>
        <v>-1114.3033106606058</v>
      </c>
      <c r="AE9" s="303">
        <f t="shared" si="24"/>
        <v>-1182.0764888322242</v>
      </c>
      <c r="AF9" s="303">
        <f t="shared" si="24"/>
        <v>-1245.9233923706638</v>
      </c>
    </row>
    <row r="10" spans="1:33" x14ac:dyDescent="0.3">
      <c r="A10" s="604"/>
      <c r="B10" s="285" t="s">
        <v>283</v>
      </c>
      <c r="C10" s="294" t="s">
        <v>284</v>
      </c>
      <c r="D10" s="487">
        <f>-D19</f>
        <v>-119.4</v>
      </c>
      <c r="E10" s="487">
        <f>-E19</f>
        <v>-113.4</v>
      </c>
      <c r="F10" s="487">
        <f>-F19</f>
        <v>-126.5</v>
      </c>
      <c r="G10" s="487">
        <f>-G19</f>
        <v>-150.80000000000001</v>
      </c>
      <c r="H10" s="479">
        <v>-170.4</v>
      </c>
      <c r="I10" s="303">
        <f>-$D$51*I6</f>
        <v>-195.68033852022222</v>
      </c>
      <c r="J10" s="303">
        <f>-$D$51*J6</f>
        <v>-221.1187825278511</v>
      </c>
      <c r="K10" s="303">
        <f>-$D$51*K6</f>
        <v>-258.7089755575858</v>
      </c>
      <c r="L10" s="303">
        <f t="shared" ref="L10:P10" si="25">-$E$51*L6</f>
        <v>-70.994446692557133</v>
      </c>
      <c r="M10" s="303">
        <f t="shared" si="25"/>
        <v>-82.049296248969611</v>
      </c>
      <c r="N10" s="303">
        <f t="shared" si="25"/>
        <v>-94.239477405959377</v>
      </c>
      <c r="O10" s="303">
        <f t="shared" si="25"/>
        <v>-107.56763206765935</v>
      </c>
      <c r="P10" s="303">
        <f t="shared" si="25"/>
        <v>-122.01242837388789</v>
      </c>
      <c r="Q10" s="303">
        <f t="shared" ref="Q10:T10" si="26">-$E$51*Q6</f>
        <v>-137.52543712428221</v>
      </c>
      <c r="R10" s="303">
        <f t="shared" si="26"/>
        <v>-154.0284895791961</v>
      </c>
      <c r="S10" s="303">
        <f t="shared" si="26"/>
        <v>-171.41170483170535</v>
      </c>
      <c r="T10" s="303">
        <f t="shared" si="26"/>
        <v>-189.53237077105706</v>
      </c>
      <c r="U10" s="303">
        <f>-$E$51*U6</f>
        <v>-208.2148473184898</v>
      </c>
      <c r="V10" s="303">
        <f t="shared" ref="V10:AF10" si="27">-$E$51*V6</f>
        <v>-227.25163335903744</v>
      </c>
      <c r="W10" s="303">
        <f t="shared" si="27"/>
        <v>-246.4056995992992</v>
      </c>
      <c r="X10" s="303">
        <f t="shared" si="27"/>
        <v>-265.41413928267372</v>
      </c>
      <c r="Y10" s="303">
        <f t="shared" si="27"/>
        <v>-283.9931290324609</v>
      </c>
      <c r="Z10" s="303">
        <f t="shared" si="27"/>
        <v>-301.84412571450127</v>
      </c>
      <c r="AA10" s="303">
        <f t="shared" si="27"/>
        <v>-318.66115557573772</v>
      </c>
      <c r="AB10" s="303">
        <f t="shared" si="27"/>
        <v>-334.13898313227349</v>
      </c>
      <c r="AC10" s="303">
        <f t="shared" si="27"/>
        <v>-347.98188386203913</v>
      </c>
      <c r="AD10" s="303">
        <f t="shared" si="27"/>
        <v>-359.91269130873758</v>
      </c>
      <c r="AE10" s="303">
        <f t="shared" si="27"/>
        <v>-369.68175007283185</v>
      </c>
      <c r="AF10" s="303">
        <f t="shared" si="27"/>
        <v>-377.07538507428848</v>
      </c>
    </row>
    <row r="11" spans="1:33" s="291" customFormat="1" x14ac:dyDescent="0.3">
      <c r="A11" s="604"/>
      <c r="B11" s="285">
        <v>6</v>
      </c>
      <c r="C11" s="295" t="s">
        <v>22</v>
      </c>
      <c r="D11" s="432">
        <f>-D9+D8</f>
        <v>366.6</v>
      </c>
      <c r="E11" s="432">
        <f>-E9+E8</f>
        <v>385.8</v>
      </c>
      <c r="F11" s="432">
        <f>-F9+F8</f>
        <v>563.5</v>
      </c>
      <c r="G11" s="432">
        <f>-G9+G8</f>
        <v>800.2</v>
      </c>
      <c r="H11" s="478">
        <f t="shared" ref="H11:P11" si="28">-H9+H8</f>
        <v>834.4</v>
      </c>
      <c r="I11" s="290">
        <f t="shared" si="28"/>
        <v>964.04947251954297</v>
      </c>
      <c r="J11" s="290">
        <f t="shared" si="28"/>
        <v>1111.403443774296</v>
      </c>
      <c r="K11" s="290">
        <f>-K9+K8</f>
        <v>1346.0147976231442</v>
      </c>
      <c r="L11" s="290">
        <f t="shared" si="28"/>
        <v>1527.7635052756982</v>
      </c>
      <c r="M11" s="290">
        <f t="shared" si="28"/>
        <v>1744.913151032056</v>
      </c>
      <c r="N11" s="290">
        <f t="shared" si="28"/>
        <v>1996.2967905779938</v>
      </c>
      <c r="O11" s="290">
        <f t="shared" si="28"/>
        <v>2274.9939693759802</v>
      </c>
      <c r="P11" s="290">
        <f t="shared" si="28"/>
        <v>2580.6632369453891</v>
      </c>
      <c r="Q11" s="290">
        <f t="shared" ref="Q11:AF11" si="29">-Q9+Q8</f>
        <v>2912.005678802595</v>
      </c>
      <c r="R11" s="290">
        <f t="shared" si="29"/>
        <v>3267.2700541531217</v>
      </c>
      <c r="S11" s="290">
        <f t="shared" si="29"/>
        <v>3644.1528743878139</v>
      </c>
      <c r="T11" s="290">
        <f t="shared" si="29"/>
        <v>4039.7298740626711</v>
      </c>
      <c r="U11" s="290">
        <f t="shared" si="29"/>
        <v>4450.418115522195</v>
      </c>
      <c r="V11" s="290">
        <f t="shared" si="29"/>
        <v>4871.9688553417054</v>
      </c>
      <c r="W11" s="290">
        <f t="shared" si="29"/>
        <v>5299.4915329014539</v>
      </c>
      <c r="X11" s="290">
        <f t="shared" si="29"/>
        <v>5727.5089500845825</v>
      </c>
      <c r="Y11" s="290">
        <f t="shared" si="29"/>
        <v>6150.0430096220325</v>
      </c>
      <c r="Z11" s="290">
        <f t="shared" si="29"/>
        <v>6560.7293745035468</v>
      </c>
      <c r="AA11" s="290">
        <f t="shared" si="29"/>
        <v>6952.9582083523519</v>
      </c>
      <c r="AB11" s="290">
        <f t="shared" si="29"/>
        <v>7320.0368652077432</v>
      </c>
      <c r="AC11" s="290">
        <f t="shared" si="29"/>
        <v>7655.3691268832408</v>
      </c>
      <c r="AD11" s="290">
        <f t="shared" si="29"/>
        <v>7952.6444455266192</v>
      </c>
      <c r="AE11" s="290">
        <f t="shared" si="29"/>
        <v>8206.0297402160304</v>
      </c>
      <c r="AF11" s="290">
        <f t="shared" si="29"/>
        <v>8410.3557087821446</v>
      </c>
    </row>
    <row r="12" spans="1:33" s="288" customFormat="1" x14ac:dyDescent="0.3">
      <c r="A12" s="604"/>
      <c r="B12" s="285">
        <v>7</v>
      </c>
      <c r="C12" s="289" t="s">
        <v>285</v>
      </c>
      <c r="D12" s="432">
        <f>+Cifras_en_Millones!F14</f>
        <v>1.6</v>
      </c>
      <c r="E12" s="432">
        <f>+Cifras_en_Millones!E14</f>
        <v>17.100000000000001</v>
      </c>
      <c r="F12" s="432">
        <f>+Cifras_en_Millones!D14</f>
        <v>6</v>
      </c>
      <c r="G12" s="432">
        <f>+Cifras_en_Millones!C14</f>
        <v>-114.7</v>
      </c>
      <c r="H12" s="480">
        <v>-115.2</v>
      </c>
      <c r="I12" s="296">
        <f t="shared" ref="I12:P12" si="30">-$D$53*H37+H36*$D$54</f>
        <v>-118.292</v>
      </c>
      <c r="J12" s="296">
        <f t="shared" si="30"/>
        <v>-117.95445558519802</v>
      </c>
      <c r="K12" s="296">
        <f t="shared" si="30"/>
        <v>-117.51857835417694</v>
      </c>
      <c r="L12" s="296">
        <f t="shared" si="30"/>
        <v>-116.91286376049149</v>
      </c>
      <c r="M12" s="296">
        <f t="shared" si="30"/>
        <v>-116.5076798362613</v>
      </c>
      <c r="N12" s="296">
        <f t="shared" si="30"/>
        <v>-116.01221559206158</v>
      </c>
      <c r="O12" s="296">
        <f t="shared" si="30"/>
        <v>-115.40013369329775</v>
      </c>
      <c r="P12" s="296">
        <f t="shared" si="30"/>
        <v>-114.6515729061515</v>
      </c>
      <c r="Q12" s="296">
        <f t="shared" ref="Q12:AF12" si="31">-$D$53*P37+P36*$D$54</f>
        <v>-113.74957256499583</v>
      </c>
      <c r="R12" s="296">
        <f t="shared" si="31"/>
        <v>-100.17736676898173</v>
      </c>
      <c r="S12" s="296">
        <f t="shared" si="31"/>
        <v>-98.898810826671621</v>
      </c>
      <c r="T12" s="296">
        <f t="shared" si="31"/>
        <v>-74.925157981253037</v>
      </c>
      <c r="U12" s="296">
        <f t="shared" si="31"/>
        <v>-50.705340139278192</v>
      </c>
      <c r="V12" s="296">
        <f t="shared" si="31"/>
        <v>-26.232946073570691</v>
      </c>
      <c r="W12" s="296">
        <f t="shared" si="31"/>
        <v>-1.5050131967272176</v>
      </c>
      <c r="X12" s="296">
        <f t="shared" si="31"/>
        <v>12.816574375691431</v>
      </c>
      <c r="Y12" s="296">
        <f t="shared" si="31"/>
        <v>15.528976431187317</v>
      </c>
      <c r="Z12" s="296">
        <f t="shared" si="31"/>
        <v>18.439204912714281</v>
      </c>
      <c r="AA12" s="296">
        <f t="shared" si="31"/>
        <v>21.53151427896772</v>
      </c>
      <c r="AB12" s="296">
        <f t="shared" si="31"/>
        <v>24.784385968182328</v>
      </c>
      <c r="AC12" s="296">
        <f t="shared" si="31"/>
        <v>28.170249472263325</v>
      </c>
      <c r="AD12" s="296">
        <f t="shared" si="31"/>
        <v>31.655278758898532</v>
      </c>
      <c r="AE12" s="296">
        <f t="shared" si="31"/>
        <v>35.199294380544259</v>
      </c>
      <c r="AF12" s="296">
        <f t="shared" si="31"/>
        <v>38.755798110782699</v>
      </c>
    </row>
    <row r="13" spans="1:33" x14ac:dyDescent="0.3">
      <c r="A13" s="604"/>
      <c r="B13" s="285">
        <v>8</v>
      </c>
      <c r="C13" s="289" t="s">
        <v>286</v>
      </c>
      <c r="D13" s="432">
        <f>+Cifras_en_Millones!F15</f>
        <v>0</v>
      </c>
      <c r="E13" s="432">
        <f>+Cifras_en_Millones!E15</f>
        <v>-8.1</v>
      </c>
      <c r="F13" s="432">
        <f>+Cifras_en_Millones!D15</f>
        <v>-5.6</v>
      </c>
      <c r="G13" s="432">
        <f>+Cifras_en_Millones!C15</f>
        <v>2</v>
      </c>
      <c r="H13" s="478">
        <v>6.2</v>
      </c>
      <c r="I13" s="290">
        <f>+AVERAGE(D13:H13)*(1+I5)</f>
        <v>-1.2594999999999998</v>
      </c>
      <c r="J13" s="290">
        <f t="shared" ref="J13:AF13" si="32">+AVERAGE(E13:I13)*(1+J5)</f>
        <v>-1.5276469999999998</v>
      </c>
      <c r="K13" s="290">
        <f t="shared" si="32"/>
        <v>-4.3792397999999781E-2</v>
      </c>
      <c r="L13" s="290">
        <f t="shared" si="32"/>
        <v>1.2486900942937142</v>
      </c>
      <c r="M13" s="290">
        <f t="shared" si="32"/>
        <v>1.067360089514747</v>
      </c>
      <c r="N13" s="290">
        <f t="shared" si="32"/>
        <v>-0.11827740805999906</v>
      </c>
      <c r="O13" s="290">
        <f t="shared" si="32"/>
        <v>0.14298296252029194</v>
      </c>
      <c r="P13" s="290">
        <f t="shared" si="32"/>
        <v>0.52108254062096893</v>
      </c>
      <c r="Q13" s="290">
        <f t="shared" si="32"/>
        <v>0.64514011486971201</v>
      </c>
      <c r="R13" s="290">
        <f t="shared" si="32"/>
        <v>0.50585657908032156</v>
      </c>
      <c r="S13" s="290">
        <f t="shared" si="32"/>
        <v>0.37765581447296542</v>
      </c>
      <c r="T13" s="290">
        <f t="shared" si="32"/>
        <v>0.48490392598592491</v>
      </c>
      <c r="U13" s="290">
        <f t="shared" si="32"/>
        <v>0.55689639194228224</v>
      </c>
      <c r="V13" s="290">
        <f t="shared" si="32"/>
        <v>0.56109313123780613</v>
      </c>
      <c r="W13" s="290">
        <f t="shared" si="32"/>
        <v>0.53919486703541397</v>
      </c>
      <c r="X13" s="290">
        <f t="shared" si="32"/>
        <v>0.54282487843671201</v>
      </c>
      <c r="Y13" s="290">
        <f t="shared" si="32"/>
        <v>0.57457142365256186</v>
      </c>
      <c r="Z13" s="290">
        <f t="shared" si="32"/>
        <v>0.5897965814499293</v>
      </c>
      <c r="AA13" s="290">
        <f t="shared" si="32"/>
        <v>0.59277953475982315</v>
      </c>
      <c r="AB13" s="290">
        <f t="shared" si="32"/>
        <v>0.5954139392672797</v>
      </c>
      <c r="AC13" s="290">
        <f t="shared" si="32"/>
        <v>0.60306761561881062</v>
      </c>
      <c r="AD13" s="290">
        <f t="shared" si="32"/>
        <v>0.6113929898850986</v>
      </c>
      <c r="AE13" s="290">
        <f t="shared" si="32"/>
        <v>0.61473486435579927</v>
      </c>
      <c r="AF13" s="290">
        <f t="shared" si="32"/>
        <v>0.61554734455290949</v>
      </c>
    </row>
    <row r="14" spans="1:33" x14ac:dyDescent="0.3">
      <c r="A14" s="604"/>
      <c r="B14" s="285">
        <v>9</v>
      </c>
      <c r="C14" s="295" t="s">
        <v>287</v>
      </c>
      <c r="D14" s="432">
        <f>D8-D12-D13</f>
        <v>297.89999999999998</v>
      </c>
      <c r="E14" s="432">
        <f t="shared" ref="E14:H14" si="33">E8-E12-E13</f>
        <v>256.8</v>
      </c>
      <c r="F14" s="432">
        <f t="shared" si="33"/>
        <v>390.8</v>
      </c>
      <c r="G14" s="432">
        <f t="shared" si="33"/>
        <v>710.40000000000009</v>
      </c>
      <c r="H14" s="432">
        <f t="shared" si="33"/>
        <v>709</v>
      </c>
      <c r="I14" s="290">
        <f t="shared" ref="I14" si="34">I8-I12-I13</f>
        <v>858.39710000000002</v>
      </c>
      <c r="J14" s="290">
        <f t="shared" ref="J14" si="35">J8-J12-J13</f>
        <v>1032.6490863351978</v>
      </c>
      <c r="K14" s="290">
        <f t="shared" ref="K14" si="36">K8-K12-K13</f>
        <v>1277.5453449671768</v>
      </c>
      <c r="L14" s="290">
        <f t="shared" ref="L14" si="37">L8-L12-L13</f>
        <v>1464.5586608247831</v>
      </c>
      <c r="M14" s="290">
        <f t="shared" ref="M14" si="38">M8-M12-M13</f>
        <v>1674.376948477169</v>
      </c>
      <c r="N14" s="290">
        <f t="shared" ref="N14" si="39">N8-N12-N13</f>
        <v>1906.6805637133496</v>
      </c>
      <c r="O14" s="290">
        <f t="shared" ref="O14" si="40">O8-O12-O13</f>
        <v>2159.0421600163049</v>
      </c>
      <c r="P14" s="290">
        <f t="shared" ref="P14" si="41">P8-P12-P13</f>
        <v>2432.3666294694003</v>
      </c>
      <c r="Q14" s="290">
        <f t="shared" ref="Q14" si="42">Q8-Q12-Q13</f>
        <v>2726.0877378114883</v>
      </c>
      <c r="R14" s="290">
        <f t="shared" ref="R14" si="43">R8-R12-R13</f>
        <v>3026.2128121946271</v>
      </c>
      <c r="S14" s="290">
        <f t="shared" ref="S14" si="44">S8-S12-S13</f>
        <v>3355.3435468146008</v>
      </c>
      <c r="T14" s="290">
        <f t="shared" ref="T14" si="45">T8-T12-T13</f>
        <v>3675.5552987053511</v>
      </c>
      <c r="U14" s="290">
        <f t="shared" ref="U14" si="46">U8-U12-U13</f>
        <v>4006.2305427986425</v>
      </c>
      <c r="V14" s="290">
        <f t="shared" ref="V14" si="47">V8-V12-V13</f>
        <v>4343.4528867640447</v>
      </c>
      <c r="W14" s="290">
        <f t="shared" ref="W14" si="48">W8-W12-W13</f>
        <v>4682.6741107163762</v>
      </c>
      <c r="X14" s="290">
        <f t="shared" ref="X14" si="49">X8-X12-X13</f>
        <v>5029.5092471166727</v>
      </c>
      <c r="Y14" s="290">
        <f t="shared" ref="Y14" si="50">Y8-Y12-Y13</f>
        <v>5379.7659037619169</v>
      </c>
      <c r="Z14" s="290">
        <f t="shared" ref="Z14" si="51">Z8-Z12-Z13</f>
        <v>5716.0093870813589</v>
      </c>
      <c r="AA14" s="290">
        <f t="shared" ref="AA14" si="52">AA8-AA12-AA13</f>
        <v>6032.4376621252895</v>
      </c>
      <c r="AB14" s="290">
        <f t="shared" ref="AB14" si="53">AB8-AB12-AB13</f>
        <v>6323.2608796057466</v>
      </c>
      <c r="AC14" s="290">
        <f t="shared" ref="AC14" si="54">AC8-AC12-AC13</f>
        <v>6582.8824762908607</v>
      </c>
      <c r="AD14" s="290">
        <f t="shared" ref="AD14" si="55">AD8-AD12-AD13</f>
        <v>6806.0744631172302</v>
      </c>
      <c r="AE14" s="290">
        <f t="shared" ref="AE14" si="56">AE8-AE12-AE13</f>
        <v>6988.1392221389051</v>
      </c>
      <c r="AF14" s="290">
        <f t="shared" ref="AF14" si="57">AF8-AF12-AF13</f>
        <v>7125.060970956145</v>
      </c>
    </row>
    <row r="15" spans="1:33" x14ac:dyDescent="0.3">
      <c r="A15" s="604"/>
      <c r="B15" s="285">
        <v>10</v>
      </c>
      <c r="C15" s="289" t="s">
        <v>288</v>
      </c>
      <c r="D15" s="487">
        <f>-Cifras_en_Millones!F21</f>
        <v>251.8</v>
      </c>
      <c r="E15" s="487">
        <f>-Cifras_en_Millones!E21</f>
        <v>-39.9</v>
      </c>
      <c r="F15" s="487">
        <f>-Cifras_en_Millones!D21</f>
        <v>-49.6</v>
      </c>
      <c r="G15" s="487">
        <f>-Cifras_en_Millones!C21</f>
        <v>-168.9</v>
      </c>
      <c r="H15" s="479">
        <v>-132.80000000000001</v>
      </c>
      <c r="I15" s="303">
        <f>(1*$D$52)*I14</f>
        <v>-166.58651045740805</v>
      </c>
      <c r="J15" s="303">
        <f t="shared" ref="J15:AF15" si="58">(1*$D$52)*J14</f>
        <v>-200.40306266133854</v>
      </c>
      <c r="K15" s="303">
        <f t="shared" si="58"/>
        <v>-247.92933360234738</v>
      </c>
      <c r="L15" s="303">
        <f t="shared" si="58"/>
        <v>-284.22243815475991</v>
      </c>
      <c r="M15" s="303">
        <f t="shared" si="58"/>
        <v>-324.94123411779333</v>
      </c>
      <c r="N15" s="303">
        <f t="shared" si="58"/>
        <v>-370.02368911308133</v>
      </c>
      <c r="O15" s="303">
        <f t="shared" si="58"/>
        <v>-418.99873539593858</v>
      </c>
      <c r="P15" s="303">
        <f t="shared" si="58"/>
        <v>-472.04198261661719</v>
      </c>
      <c r="Q15" s="303">
        <f t="shared" si="58"/>
        <v>-529.04354341684677</v>
      </c>
      <c r="R15" s="303">
        <f t="shared" si="58"/>
        <v>-587.28790239971966</v>
      </c>
      <c r="S15" s="303">
        <f t="shared" si="58"/>
        <v>-651.16130151141829</v>
      </c>
      <c r="T15" s="303">
        <f t="shared" si="58"/>
        <v>-713.30382081272239</v>
      </c>
      <c r="U15" s="303">
        <f t="shared" si="58"/>
        <v>-777.47695817322028</v>
      </c>
      <c r="V15" s="303">
        <f t="shared" si="58"/>
        <v>-842.92067126295933</v>
      </c>
      <c r="W15" s="303">
        <f t="shared" si="58"/>
        <v>-908.75230090302898</v>
      </c>
      <c r="X15" s="303">
        <f t="shared" si="58"/>
        <v>-976.06153933934775</v>
      </c>
      <c r="Y15" s="303">
        <f t="shared" si="58"/>
        <v>-1044.0347817874056</v>
      </c>
      <c r="Z15" s="303">
        <f t="shared" si="58"/>
        <v>-1109.2885303732635</v>
      </c>
      <c r="AA15" s="303">
        <f t="shared" si="58"/>
        <v>-1170.6968018476491</v>
      </c>
      <c r="AB15" s="303">
        <f t="shared" si="58"/>
        <v>-1227.135977795547</v>
      </c>
      <c r="AC15" s="303">
        <f t="shared" si="58"/>
        <v>-1277.519950238084</v>
      </c>
      <c r="AD15" s="303">
        <f t="shared" si="58"/>
        <v>-1320.8341392625584</v>
      </c>
      <c r="AE15" s="303">
        <f t="shared" si="58"/>
        <v>-1356.1668924634835</v>
      </c>
      <c r="AF15" s="303">
        <f t="shared" si="58"/>
        <v>-1382.7388791829046</v>
      </c>
    </row>
    <row r="16" spans="1:33" x14ac:dyDescent="0.3">
      <c r="A16" s="604"/>
      <c r="B16" s="285">
        <v>11</v>
      </c>
      <c r="C16" s="295" t="s">
        <v>289</v>
      </c>
      <c r="D16" s="432">
        <f>D14+D15</f>
        <v>549.70000000000005</v>
      </c>
      <c r="E16" s="432">
        <f>E14+E15</f>
        <v>216.9</v>
      </c>
      <c r="F16" s="432">
        <f>F14+F15</f>
        <v>341.2</v>
      </c>
      <c r="G16" s="432">
        <f t="shared" ref="G16:P16" si="59">G14+G15</f>
        <v>541.50000000000011</v>
      </c>
      <c r="H16" s="478">
        <f t="shared" si="59"/>
        <v>576.20000000000005</v>
      </c>
      <c r="I16" s="290">
        <f t="shared" si="59"/>
        <v>691.81058954259197</v>
      </c>
      <c r="J16" s="290">
        <f t="shared" si="59"/>
        <v>832.24602367385933</v>
      </c>
      <c r="K16" s="290">
        <f t="shared" si="59"/>
        <v>1029.6160113648293</v>
      </c>
      <c r="L16" s="290">
        <f t="shared" si="59"/>
        <v>1180.3362226700233</v>
      </c>
      <c r="M16" s="290">
        <f t="shared" si="59"/>
        <v>1349.4357143593757</v>
      </c>
      <c r="N16" s="290">
        <f t="shared" si="59"/>
        <v>1536.6568746002681</v>
      </c>
      <c r="O16" s="290">
        <f t="shared" si="59"/>
        <v>1740.0434246203663</v>
      </c>
      <c r="P16" s="290">
        <f t="shared" si="59"/>
        <v>1960.3246468527832</v>
      </c>
      <c r="Q16" s="290">
        <f t="shared" ref="Q16:AF16" si="60">Q14+Q15</f>
        <v>2197.0441943946416</v>
      </c>
      <c r="R16" s="290">
        <f t="shared" si="60"/>
        <v>2438.9249097949073</v>
      </c>
      <c r="S16" s="290">
        <f t="shared" si="60"/>
        <v>2704.1822453031828</v>
      </c>
      <c r="T16" s="290">
        <f t="shared" si="60"/>
        <v>2962.2514778926288</v>
      </c>
      <c r="U16" s="290">
        <f t="shared" si="60"/>
        <v>3228.7535846254223</v>
      </c>
      <c r="V16" s="290">
        <f t="shared" si="60"/>
        <v>3500.5322155010854</v>
      </c>
      <c r="W16" s="290">
        <f t="shared" si="60"/>
        <v>3773.921809813347</v>
      </c>
      <c r="X16" s="290">
        <f t="shared" si="60"/>
        <v>4053.4477077773249</v>
      </c>
      <c r="Y16" s="290">
        <f t="shared" si="60"/>
        <v>4335.7311219745116</v>
      </c>
      <c r="Z16" s="290">
        <f t="shared" si="60"/>
        <v>4606.7208567080952</v>
      </c>
      <c r="AA16" s="290">
        <f t="shared" si="60"/>
        <v>4861.7408602776404</v>
      </c>
      <c r="AB16" s="290">
        <f t="shared" si="60"/>
        <v>5096.1249018101998</v>
      </c>
      <c r="AC16" s="290">
        <f t="shared" si="60"/>
        <v>5305.362526052777</v>
      </c>
      <c r="AD16" s="290">
        <f t="shared" si="60"/>
        <v>5485.2403238546722</v>
      </c>
      <c r="AE16" s="290">
        <f t="shared" si="60"/>
        <v>5631.9723296754219</v>
      </c>
      <c r="AF16" s="290">
        <f t="shared" si="60"/>
        <v>5742.3220917732406</v>
      </c>
    </row>
    <row r="17" spans="1:33" x14ac:dyDescent="0.3">
      <c r="C17" s="297"/>
      <c r="D17" s="431"/>
      <c r="E17" s="431"/>
      <c r="F17" s="431"/>
      <c r="G17" s="431"/>
      <c r="H17" s="298"/>
      <c r="I17" s="298"/>
      <c r="J17" s="298"/>
      <c r="K17" s="298"/>
      <c r="L17" s="298"/>
      <c r="M17" s="298"/>
      <c r="N17" s="298"/>
      <c r="O17" s="298"/>
      <c r="P17" s="298"/>
      <c r="Q17" s="298"/>
      <c r="R17" s="298"/>
      <c r="S17" s="298"/>
      <c r="T17" s="298"/>
      <c r="U17" s="298"/>
      <c r="V17" s="298"/>
      <c r="W17" s="298"/>
      <c r="X17" s="298"/>
      <c r="Y17" s="298"/>
      <c r="Z17" s="298"/>
      <c r="AA17" s="298"/>
      <c r="AB17" s="298"/>
      <c r="AC17" s="298"/>
      <c r="AD17" s="298"/>
      <c r="AE17" s="298"/>
      <c r="AF17" s="298"/>
    </row>
    <row r="18" spans="1:33" ht="14.7" customHeight="1" x14ac:dyDescent="0.3">
      <c r="A18" s="597" t="s">
        <v>290</v>
      </c>
      <c r="B18" s="285">
        <v>12</v>
      </c>
      <c r="C18" s="289" t="s">
        <v>291</v>
      </c>
      <c r="D18" s="432">
        <f>+D16-D9</f>
        <v>616.80000000000007</v>
      </c>
      <c r="E18" s="432">
        <f>+E16-E9-11.6+87.1</f>
        <v>412.4</v>
      </c>
      <c r="F18" s="432">
        <f t="shared" ref="F18:H18" si="61">+F16-F9</f>
        <v>513.5</v>
      </c>
      <c r="G18" s="432">
        <f t="shared" si="61"/>
        <v>744.00000000000011</v>
      </c>
      <c r="H18" s="432">
        <f t="shared" si="61"/>
        <v>810.6</v>
      </c>
      <c r="I18" s="296">
        <f t="shared" ref="I18:P18" si="62">I11+I12+I13+I15</f>
        <v>677.91146206213489</v>
      </c>
      <c r="J18" s="296">
        <f t="shared" si="62"/>
        <v>791.51827852775932</v>
      </c>
      <c r="K18" s="296">
        <f t="shared" si="62"/>
        <v>980.52309326861985</v>
      </c>
      <c r="L18" s="296">
        <f t="shared" si="62"/>
        <v>1127.8768934547406</v>
      </c>
      <c r="M18" s="296">
        <f t="shared" si="62"/>
        <v>1304.5315971675161</v>
      </c>
      <c r="N18" s="296">
        <f t="shared" si="62"/>
        <v>1510.1426084647906</v>
      </c>
      <c r="O18" s="296">
        <f t="shared" si="62"/>
        <v>1740.738083249264</v>
      </c>
      <c r="P18" s="296">
        <f t="shared" si="62"/>
        <v>1994.4907639632415</v>
      </c>
      <c r="Q18" s="296">
        <f t="shared" ref="Q18:AF18" si="63">Q11+Q12+Q13+Q15</f>
        <v>2269.857702935622</v>
      </c>
      <c r="R18" s="296">
        <f t="shared" si="63"/>
        <v>2580.3106415635007</v>
      </c>
      <c r="S18" s="296">
        <f t="shared" si="63"/>
        <v>2894.4704178641969</v>
      </c>
      <c r="T18" s="296">
        <f t="shared" si="63"/>
        <v>3251.9857991946819</v>
      </c>
      <c r="U18" s="296">
        <f t="shared" si="63"/>
        <v>3622.7927136016383</v>
      </c>
      <c r="V18" s="296">
        <f t="shared" si="63"/>
        <v>4003.3763311364128</v>
      </c>
      <c r="W18" s="296">
        <f t="shared" si="63"/>
        <v>4389.7734136687332</v>
      </c>
      <c r="X18" s="296">
        <f t="shared" si="63"/>
        <v>4764.8068099993634</v>
      </c>
      <c r="Y18" s="296">
        <f t="shared" si="63"/>
        <v>5122.1117756894673</v>
      </c>
      <c r="Z18" s="296">
        <f t="shared" si="63"/>
        <v>5470.4698456244478</v>
      </c>
      <c r="AA18" s="296">
        <f t="shared" si="63"/>
        <v>5804.3857003184303</v>
      </c>
      <c r="AB18" s="296">
        <f t="shared" si="63"/>
        <v>6118.2806873196459</v>
      </c>
      <c r="AC18" s="296">
        <f t="shared" si="63"/>
        <v>6406.6224937330389</v>
      </c>
      <c r="AD18" s="296">
        <f t="shared" si="63"/>
        <v>6664.0769780128448</v>
      </c>
      <c r="AE18" s="296">
        <f t="shared" si="63"/>
        <v>6885.676876997446</v>
      </c>
      <c r="AF18" s="296">
        <f t="shared" si="63"/>
        <v>7066.9881750545746</v>
      </c>
    </row>
    <row r="19" spans="1:33" x14ac:dyDescent="0.3">
      <c r="A19" s="598"/>
      <c r="B19" s="285">
        <v>13</v>
      </c>
      <c r="C19" s="299" t="s">
        <v>292</v>
      </c>
      <c r="D19" s="432">
        <v>119.4</v>
      </c>
      <c r="E19" s="432">
        <v>113.4</v>
      </c>
      <c r="F19" s="432">
        <v>126.5</v>
      </c>
      <c r="G19" s="432">
        <v>150.80000000000001</v>
      </c>
      <c r="H19" s="481">
        <v>170.4</v>
      </c>
      <c r="I19" s="300">
        <f>-I10</f>
        <v>195.68033852022222</v>
      </c>
      <c r="J19" s="300">
        <f t="shared" ref="J19:AF19" si="64">-J10</f>
        <v>221.1187825278511</v>
      </c>
      <c r="K19" s="300">
        <f t="shared" si="64"/>
        <v>258.7089755575858</v>
      </c>
      <c r="L19" s="300">
        <f t="shared" si="64"/>
        <v>70.994446692557133</v>
      </c>
      <c r="M19" s="300">
        <f t="shared" si="64"/>
        <v>82.049296248969611</v>
      </c>
      <c r="N19" s="300">
        <f t="shared" si="64"/>
        <v>94.239477405959377</v>
      </c>
      <c r="O19" s="300">
        <f t="shared" si="64"/>
        <v>107.56763206765935</v>
      </c>
      <c r="P19" s="300">
        <f t="shared" si="64"/>
        <v>122.01242837388789</v>
      </c>
      <c r="Q19" s="300">
        <f t="shared" si="64"/>
        <v>137.52543712428221</v>
      </c>
      <c r="R19" s="300">
        <f t="shared" si="64"/>
        <v>154.0284895791961</v>
      </c>
      <c r="S19" s="300">
        <f t="shared" si="64"/>
        <v>171.41170483170535</v>
      </c>
      <c r="T19" s="300">
        <f t="shared" si="64"/>
        <v>189.53237077105706</v>
      </c>
      <c r="U19" s="300">
        <f t="shared" si="64"/>
        <v>208.2148473184898</v>
      </c>
      <c r="V19" s="300">
        <f t="shared" si="64"/>
        <v>227.25163335903744</v>
      </c>
      <c r="W19" s="300">
        <f t="shared" si="64"/>
        <v>246.4056995992992</v>
      </c>
      <c r="X19" s="300">
        <f t="shared" si="64"/>
        <v>265.41413928267372</v>
      </c>
      <c r="Y19" s="300">
        <f t="shared" si="64"/>
        <v>283.9931290324609</v>
      </c>
      <c r="Z19" s="300">
        <f t="shared" si="64"/>
        <v>301.84412571450127</v>
      </c>
      <c r="AA19" s="300">
        <f t="shared" si="64"/>
        <v>318.66115557573772</v>
      </c>
      <c r="AB19" s="300">
        <f t="shared" si="64"/>
        <v>334.13898313227349</v>
      </c>
      <c r="AC19" s="300">
        <f t="shared" si="64"/>
        <v>347.98188386203913</v>
      </c>
      <c r="AD19" s="300">
        <f t="shared" si="64"/>
        <v>359.91269130873758</v>
      </c>
      <c r="AE19" s="300">
        <f t="shared" si="64"/>
        <v>369.68175007283185</v>
      </c>
      <c r="AF19" s="300">
        <f t="shared" si="64"/>
        <v>377.07538507428848</v>
      </c>
    </row>
    <row r="20" spans="1:33" x14ac:dyDescent="0.3">
      <c r="A20" s="598"/>
      <c r="B20" s="285">
        <v>14</v>
      </c>
      <c r="C20" s="299" t="s">
        <v>293</v>
      </c>
      <c r="D20" s="432">
        <f>-239.8-142.3-114.5+194.5+18.6+22.9</f>
        <v>-260.60000000000002</v>
      </c>
      <c r="E20" s="432">
        <f>48.7-75.5-112.2+58+8.7-11</f>
        <v>-83.3</v>
      </c>
      <c r="F20" s="432">
        <f>2.8-199.9+49.3+295.1+11.1-128.9</f>
        <v>29.5</v>
      </c>
      <c r="G20" s="432">
        <f>-149.5-260.1-252.6+466.5-2.6+52</f>
        <v>-146.30000000000004</v>
      </c>
      <c r="H20" s="480">
        <f>-100.3-35+12.4+211.7-8-72.3</f>
        <v>8.4999999999999858</v>
      </c>
      <c r="I20" s="296">
        <f>$D$56*(I6-H6)</f>
        <v>-27.693465632825511</v>
      </c>
      <c r="J20" s="296">
        <f>$D$56*(J6-I6)</f>
        <v>-28.428774892731553</v>
      </c>
      <c r="K20" s="296">
        <f>$D$56*(K6-J6)</f>
        <v>-42.008981976105638</v>
      </c>
      <c r="L20" s="296">
        <f>$E$56*(L6-K6)</f>
        <v>-17.257227856093042</v>
      </c>
      <c r="M20" s="296">
        <f t="shared" ref="M20:P20" si="65">$E$56*(M6-L6)</f>
        <v>-19.187528806512685</v>
      </c>
      <c r="N20" s="296">
        <f t="shared" si="65"/>
        <v>-21.158085500193312</v>
      </c>
      <c r="O20" s="296">
        <f t="shared" si="65"/>
        <v>-23.133227657601484</v>
      </c>
      <c r="P20" s="296">
        <f t="shared" si="65"/>
        <v>-25.071344826144546</v>
      </c>
      <c r="Q20" s="296">
        <f t="shared" ref="Q20:AF20" si="66">$E$56*(Q6-P6)</f>
        <v>-26.925405068150933</v>
      </c>
      <c r="R20" s="296">
        <f t="shared" si="66"/>
        <v>-28.643790470253165</v>
      </c>
      <c r="S20" s="296">
        <f t="shared" si="66"/>
        <v>-30.171459295333264</v>
      </c>
      <c r="T20" s="296">
        <f t="shared" si="66"/>
        <v>-31.451427532346898</v>
      </c>
      <c r="U20" s="296">
        <f t="shared" si="66"/>
        <v>-32.426543219932746</v>
      </c>
      <c r="V20" s="296">
        <f t="shared" si="66"/>
        <v>-33.041506234207269</v>
      </c>
      <c r="W20" s="296">
        <f t="shared" si="66"/>
        <v>-33.245065513685915</v>
      </c>
      <c r="X20" s="296">
        <f t="shared" si="66"/>
        <v>-32.992306419949898</v>
      </c>
      <c r="Y20" s="296">
        <f t="shared" si="66"/>
        <v>-32.246924682314003</v>
      </c>
      <c r="Z20" s="296">
        <f t="shared" si="66"/>
        <v>-30.983371715170154</v>
      </c>
      <c r="AA20" s="296">
        <f t="shared" si="66"/>
        <v>-29.188750444395406</v>
      </c>
      <c r="AB20" s="296">
        <f t="shared" si="66"/>
        <v>-26.864342258823335</v>
      </c>
      <c r="AC20" s="296">
        <f t="shared" si="66"/>
        <v>-24.026655013500633</v>
      </c>
      <c r="AD20" s="296">
        <f t="shared" si="66"/>
        <v>-20.70789931606928</v>
      </c>
      <c r="AE20" s="296">
        <f t="shared" si="66"/>
        <v>-16.955825178086275</v>
      </c>
      <c r="AF20" s="296">
        <f t="shared" si="66"/>
        <v>-12.832882424256894</v>
      </c>
    </row>
    <row r="21" spans="1:33" x14ac:dyDescent="0.3">
      <c r="A21" s="598"/>
      <c r="B21" s="285">
        <v>15</v>
      </c>
      <c r="C21" s="301" t="s">
        <v>294</v>
      </c>
      <c r="D21" s="488">
        <f>D18+D19+D20</f>
        <v>475.6</v>
      </c>
      <c r="E21" s="488">
        <f>E18+E19+E20</f>
        <v>442.49999999999994</v>
      </c>
      <c r="F21" s="488">
        <f>F18+F19+F20</f>
        <v>669.5</v>
      </c>
      <c r="G21" s="488">
        <f t="shared" ref="G21:P21" si="67">G18+G19+G20</f>
        <v>748.50000000000011</v>
      </c>
      <c r="H21" s="302">
        <f t="shared" si="67"/>
        <v>989.5</v>
      </c>
      <c r="I21" s="302">
        <f t="shared" si="67"/>
        <v>845.89833494953155</v>
      </c>
      <c r="J21" s="302">
        <f t="shared" si="67"/>
        <v>984.20828616287884</v>
      </c>
      <c r="K21" s="302">
        <f t="shared" si="67"/>
        <v>1197.2230868501001</v>
      </c>
      <c r="L21" s="302">
        <f t="shared" si="67"/>
        <v>1181.6141122912047</v>
      </c>
      <c r="M21" s="302">
        <f t="shared" si="67"/>
        <v>1367.3933646099729</v>
      </c>
      <c r="N21" s="302">
        <f t="shared" si="67"/>
        <v>1583.2240003705567</v>
      </c>
      <c r="O21" s="302">
        <f t="shared" si="67"/>
        <v>1825.1724876593219</v>
      </c>
      <c r="P21" s="302">
        <f t="shared" si="67"/>
        <v>2091.4318475109849</v>
      </c>
      <c r="Q21" s="302">
        <f t="shared" ref="Q21:AF21" si="68">Q18+Q19+Q20</f>
        <v>2380.4577349917531</v>
      </c>
      <c r="R21" s="302">
        <f t="shared" si="68"/>
        <v>2705.6953406724438</v>
      </c>
      <c r="S21" s="302">
        <f t="shared" si="68"/>
        <v>3035.710663400569</v>
      </c>
      <c r="T21" s="302">
        <f t="shared" si="68"/>
        <v>3410.0667424333924</v>
      </c>
      <c r="U21" s="302">
        <f t="shared" si="68"/>
        <v>3798.5810177001954</v>
      </c>
      <c r="V21" s="302">
        <f t="shared" si="68"/>
        <v>4197.586458261243</v>
      </c>
      <c r="W21" s="302">
        <f t="shared" si="68"/>
        <v>4602.9340477543465</v>
      </c>
      <c r="X21" s="302">
        <f t="shared" si="68"/>
        <v>4997.2286428620873</v>
      </c>
      <c r="Y21" s="302">
        <f t="shared" si="68"/>
        <v>5373.8579800396146</v>
      </c>
      <c r="Z21" s="302">
        <f t="shared" si="68"/>
        <v>5741.3305996237787</v>
      </c>
      <c r="AA21" s="302">
        <f t="shared" si="68"/>
        <v>6093.8581054497727</v>
      </c>
      <c r="AB21" s="302">
        <f t="shared" si="68"/>
        <v>6425.5553281930961</v>
      </c>
      <c r="AC21" s="302">
        <f t="shared" si="68"/>
        <v>6730.5777225815782</v>
      </c>
      <c r="AD21" s="302">
        <f t="shared" si="68"/>
        <v>7003.281770005513</v>
      </c>
      <c r="AE21" s="302">
        <f t="shared" si="68"/>
        <v>7238.4028018921917</v>
      </c>
      <c r="AF21" s="302">
        <f t="shared" si="68"/>
        <v>7431.230677704606</v>
      </c>
    </row>
    <row r="22" spans="1:33" x14ac:dyDescent="0.3">
      <c r="A22" s="598"/>
      <c r="B22" s="285">
        <v>16</v>
      </c>
      <c r="C22" s="299" t="s">
        <v>295</v>
      </c>
      <c r="D22" s="432">
        <f>+Cifras_en_Millones!F35+11.3</f>
        <v>-1205.7</v>
      </c>
      <c r="E22" s="432">
        <f>+Cifras_en_Millones!E35</f>
        <v>-226.2</v>
      </c>
      <c r="F22" s="432">
        <f>+Cifras_en_Millones!D35</f>
        <v>-509.1</v>
      </c>
      <c r="G22" s="432">
        <f>+Cifras_en_Millones!C35</f>
        <v>-192</v>
      </c>
      <c r="H22" s="479">
        <f>-358.8+166.8</f>
        <v>-192</v>
      </c>
      <c r="I22" s="303">
        <f>$D$57*I6</f>
        <v>-424.7852017475829</v>
      </c>
      <c r="J22" s="303">
        <f t="shared" ref="J22:AF22" si="69">$D$57*J6</f>
        <v>-480.00727797476867</v>
      </c>
      <c r="K22" s="303">
        <f t="shared" si="69"/>
        <v>-561.60851523047927</v>
      </c>
      <c r="L22" s="303">
        <f t="shared" si="69"/>
        <v>-653.07047342515739</v>
      </c>
      <c r="M22" s="303">
        <f t="shared" si="69"/>
        <v>-754.76287571564626</v>
      </c>
      <c r="N22" s="303">
        <f t="shared" si="69"/>
        <v>-866.89907439339936</v>
      </c>
      <c r="O22" s="303">
        <f t="shared" si="69"/>
        <v>-989.50337205760866</v>
      </c>
      <c r="P22" s="303">
        <f t="shared" si="69"/>
        <v>-1122.3795391624876</v>
      </c>
      <c r="Q22" s="303">
        <f t="shared" si="69"/>
        <v>-1265.0820805702897</v>
      </c>
      <c r="R22" s="303">
        <f t="shared" si="69"/>
        <v>-1416.8919302387246</v>
      </c>
      <c r="S22" s="303">
        <f t="shared" si="69"/>
        <v>-1576.7983052228092</v>
      </c>
      <c r="T22" s="303">
        <f t="shared" si="69"/>
        <v>-1743.4884117749348</v>
      </c>
      <c r="U22" s="303">
        <f t="shared" si="69"/>
        <v>-1915.3465552213208</v>
      </c>
      <c r="V22" s="303">
        <f t="shared" si="69"/>
        <v>-2090.4639545558416</v>
      </c>
      <c r="W22" s="303">
        <f t="shared" si="69"/>
        <v>-2266.6602021541198</v>
      </c>
      <c r="X22" s="303">
        <f t="shared" si="69"/>
        <v>-2441.5168463202949</v>
      </c>
      <c r="Y22" s="303">
        <f t="shared" si="69"/>
        <v>-2612.4230255627158</v>
      </c>
      <c r="Z22" s="303">
        <f t="shared" si="69"/>
        <v>-2776.6324728838003</v>
      </c>
      <c r="AA22" s="303">
        <f t="shared" si="69"/>
        <v>-2931.3305678016118</v>
      </c>
      <c r="AB22" s="303">
        <f t="shared" si="69"/>
        <v>-3073.7094810948324</v>
      </c>
      <c r="AC22" s="303">
        <f t="shared" si="69"/>
        <v>-3201.0488738830468</v>
      </c>
      <c r="AD22" s="303">
        <f t="shared" si="69"/>
        <v>-3310.7991209876081</v>
      </c>
      <c r="AE22" s="303">
        <f t="shared" si="69"/>
        <v>-3400.6636685572716</v>
      </c>
      <c r="AF22" s="303">
        <f t="shared" si="69"/>
        <v>-3468.6769419284174</v>
      </c>
    </row>
    <row r="23" spans="1:33" x14ac:dyDescent="0.3">
      <c r="A23" s="598"/>
      <c r="B23" s="285">
        <v>17</v>
      </c>
      <c r="C23" s="299" t="s">
        <v>296</v>
      </c>
      <c r="D23" s="432">
        <v>-11.3</v>
      </c>
      <c r="E23" s="432">
        <v>10.1</v>
      </c>
      <c r="F23" s="432">
        <v>0.2</v>
      </c>
      <c r="G23" s="432">
        <v>1.9</v>
      </c>
      <c r="H23" s="478">
        <v>-15.5</v>
      </c>
      <c r="I23" s="290">
        <f t="shared" ref="I23:P23" si="70">H23*1.04</f>
        <v>-16.12</v>
      </c>
      <c r="J23" s="290">
        <f t="shared" si="70"/>
        <v>-16.764800000000001</v>
      </c>
      <c r="K23" s="290">
        <f t="shared" si="70"/>
        <v>-17.435392</v>
      </c>
      <c r="L23" s="290">
        <f t="shared" si="70"/>
        <v>-18.132807679999999</v>
      </c>
      <c r="M23" s="290">
        <f t="shared" si="70"/>
        <v>-18.858119987199998</v>
      </c>
      <c r="N23" s="290">
        <f t="shared" si="70"/>
        <v>-19.612444786687998</v>
      </c>
      <c r="O23" s="290">
        <f t="shared" si="70"/>
        <v>-20.396942578155517</v>
      </c>
      <c r="P23" s="290">
        <f t="shared" si="70"/>
        <v>-21.21282028128174</v>
      </c>
      <c r="Q23" s="290">
        <f>P23*0.98</f>
        <v>-20.788563875656106</v>
      </c>
      <c r="R23" s="290">
        <f t="shared" ref="R23:AF23" si="71">Q23*0.98</f>
        <v>-20.372792598142983</v>
      </c>
      <c r="S23" s="290">
        <f t="shared" si="71"/>
        <v>-19.965336746180121</v>
      </c>
      <c r="T23" s="290">
        <f t="shared" si="71"/>
        <v>-19.566030011256519</v>
      </c>
      <c r="U23" s="290">
        <f t="shared" si="71"/>
        <v>-19.174709411031387</v>
      </c>
      <c r="V23" s="290">
        <f t="shared" si="71"/>
        <v>-18.791215222810759</v>
      </c>
      <c r="W23" s="290">
        <f t="shared" si="71"/>
        <v>-18.415390918354543</v>
      </c>
      <c r="X23" s="290">
        <f t="shared" si="71"/>
        <v>-18.04708309998745</v>
      </c>
      <c r="Y23" s="290">
        <f t="shared" si="71"/>
        <v>-17.6861414379877</v>
      </c>
      <c r="Z23" s="290">
        <f t="shared" si="71"/>
        <v>-17.332418609227947</v>
      </c>
      <c r="AA23" s="290">
        <f t="shared" si="71"/>
        <v>-16.985770237043386</v>
      </c>
      <c r="AB23" s="290">
        <f t="shared" si="71"/>
        <v>-16.646054832302518</v>
      </c>
      <c r="AC23" s="290">
        <f t="shared" si="71"/>
        <v>-16.313133735656468</v>
      </c>
      <c r="AD23" s="290">
        <f t="shared" si="71"/>
        <v>-15.986871060943338</v>
      </c>
      <c r="AE23" s="290">
        <f t="shared" si="71"/>
        <v>-15.66713363972447</v>
      </c>
      <c r="AF23" s="290">
        <f t="shared" si="71"/>
        <v>-15.353790966929981</v>
      </c>
    </row>
    <row r="24" spans="1:33" x14ac:dyDescent="0.3">
      <c r="A24" s="598"/>
      <c r="B24" s="285">
        <v>18</v>
      </c>
      <c r="C24" s="301" t="s">
        <v>297</v>
      </c>
      <c r="D24" s="501">
        <f>D22+D23</f>
        <v>-1217</v>
      </c>
      <c r="E24" s="501">
        <f>E22+E23</f>
        <v>-216.1</v>
      </c>
      <c r="F24" s="501">
        <f>F22+F23</f>
        <v>-508.90000000000003</v>
      </c>
      <c r="G24" s="501">
        <f t="shared" ref="G24:P24" si="72">G22+G23</f>
        <v>-190.1</v>
      </c>
      <c r="H24" s="304">
        <f t="shared" si="72"/>
        <v>-207.5</v>
      </c>
      <c r="I24" s="304">
        <f t="shared" si="72"/>
        <v>-440.90520174758291</v>
      </c>
      <c r="J24" s="304">
        <f t="shared" si="72"/>
        <v>-496.77207797476865</v>
      </c>
      <c r="K24" s="304">
        <f t="shared" si="72"/>
        <v>-579.04390723047925</v>
      </c>
      <c r="L24" s="304">
        <f t="shared" si="72"/>
        <v>-671.20328110515743</v>
      </c>
      <c r="M24" s="304">
        <f t="shared" si="72"/>
        <v>-773.62099570284624</v>
      </c>
      <c r="N24" s="304">
        <f t="shared" si="72"/>
        <v>-886.51151918008736</v>
      </c>
      <c r="O24" s="304">
        <f t="shared" si="72"/>
        <v>-1009.9003146357642</v>
      </c>
      <c r="P24" s="304">
        <f t="shared" si="72"/>
        <v>-1143.5923594437693</v>
      </c>
      <c r="Q24" s="304">
        <f t="shared" ref="Q24:AF24" si="73">Q22+Q23</f>
        <v>-1285.8706444459458</v>
      </c>
      <c r="R24" s="304">
        <f t="shared" si="73"/>
        <v>-1437.2647228368676</v>
      </c>
      <c r="S24" s="304">
        <f t="shared" si="73"/>
        <v>-1596.7636419689893</v>
      </c>
      <c r="T24" s="304">
        <f t="shared" si="73"/>
        <v>-1763.0544417861913</v>
      </c>
      <c r="U24" s="304">
        <f t="shared" si="73"/>
        <v>-1934.5212646323523</v>
      </c>
      <c r="V24" s="304">
        <f t="shared" si="73"/>
        <v>-2109.2551697786525</v>
      </c>
      <c r="W24" s="304">
        <f t="shared" si="73"/>
        <v>-2285.0755930724745</v>
      </c>
      <c r="X24" s="304">
        <f t="shared" si="73"/>
        <v>-2459.5639294202824</v>
      </c>
      <c r="Y24" s="304">
        <f t="shared" si="73"/>
        <v>-2630.1091670007036</v>
      </c>
      <c r="Z24" s="304">
        <f t="shared" si="73"/>
        <v>-2793.9648914930285</v>
      </c>
      <c r="AA24" s="304">
        <f t="shared" si="73"/>
        <v>-2948.316338038655</v>
      </c>
      <c r="AB24" s="304">
        <f t="shared" si="73"/>
        <v>-3090.355535927135</v>
      </c>
      <c r="AC24" s="304">
        <f t="shared" si="73"/>
        <v>-3217.362007618703</v>
      </c>
      <c r="AD24" s="304">
        <f t="shared" si="73"/>
        <v>-3326.7859920485516</v>
      </c>
      <c r="AE24" s="304">
        <f t="shared" si="73"/>
        <v>-3416.330802196996</v>
      </c>
      <c r="AF24" s="304">
        <f t="shared" si="73"/>
        <v>-3484.0307328953472</v>
      </c>
    </row>
    <row r="25" spans="1:33" s="288" customFormat="1" x14ac:dyDescent="0.3">
      <c r="A25" s="598"/>
      <c r="B25" s="285">
        <v>19</v>
      </c>
      <c r="C25" s="299" t="s">
        <v>298</v>
      </c>
      <c r="D25" s="432">
        <v>0</v>
      </c>
      <c r="E25" s="432">
        <v>0</v>
      </c>
      <c r="F25" s="432">
        <v>0</v>
      </c>
      <c r="G25" s="432">
        <v>0</v>
      </c>
      <c r="H25" s="480">
        <v>0</v>
      </c>
      <c r="I25" s="296">
        <v>0</v>
      </c>
      <c r="J25" s="296">
        <v>0</v>
      </c>
      <c r="K25" s="296">
        <v>0</v>
      </c>
      <c r="L25" s="296">
        <v>0</v>
      </c>
      <c r="M25" s="296">
        <v>0</v>
      </c>
      <c r="N25" s="296">
        <v>0</v>
      </c>
      <c r="O25" s="296">
        <v>0</v>
      </c>
      <c r="P25" s="296">
        <v>0</v>
      </c>
      <c r="Q25" s="296">
        <v>0</v>
      </c>
      <c r="R25" s="296">
        <v>0</v>
      </c>
      <c r="S25" s="296">
        <v>0</v>
      </c>
      <c r="T25" s="296">
        <v>0</v>
      </c>
      <c r="U25" s="296">
        <v>0</v>
      </c>
      <c r="V25" s="296">
        <v>0</v>
      </c>
      <c r="W25" s="296">
        <v>0</v>
      </c>
      <c r="X25" s="296">
        <v>0</v>
      </c>
      <c r="Y25" s="296">
        <v>0</v>
      </c>
      <c r="Z25" s="296">
        <v>0</v>
      </c>
      <c r="AA25" s="296">
        <v>0</v>
      </c>
      <c r="AB25" s="296">
        <v>0</v>
      </c>
      <c r="AC25" s="296">
        <v>0</v>
      </c>
      <c r="AD25" s="296">
        <v>0</v>
      </c>
      <c r="AE25" s="296">
        <v>0</v>
      </c>
      <c r="AF25" s="296">
        <v>0</v>
      </c>
      <c r="AG25" s="305"/>
    </row>
    <row r="26" spans="1:33" x14ac:dyDescent="0.3">
      <c r="A26" s="598"/>
      <c r="B26" s="285">
        <v>20</v>
      </c>
      <c r="C26" s="306" t="s">
        <v>299</v>
      </c>
      <c r="D26" s="432">
        <f>1188.8-282.6</f>
        <v>906.19999999999993</v>
      </c>
      <c r="E26" s="432">
        <v>0</v>
      </c>
      <c r="F26" s="432">
        <v>0</v>
      </c>
      <c r="G26" s="432">
        <f>1230.6-787.3</f>
        <v>443.29999999999995</v>
      </c>
      <c r="H26" s="482">
        <f>(H37-G37)</f>
        <v>0</v>
      </c>
      <c r="I26" s="307">
        <f t="shared" ref="I26:P26" si="74">(I37-H37)</f>
        <v>0</v>
      </c>
      <c r="J26" s="307">
        <f t="shared" si="74"/>
        <v>0</v>
      </c>
      <c r="K26" s="307">
        <f t="shared" si="74"/>
        <v>0</v>
      </c>
      <c r="L26" s="307">
        <f t="shared" si="74"/>
        <v>0</v>
      </c>
      <c r="M26" s="307">
        <f t="shared" si="74"/>
        <v>0</v>
      </c>
      <c r="N26" s="307">
        <f t="shared" si="74"/>
        <v>0</v>
      </c>
      <c r="O26" s="307">
        <f t="shared" si="74"/>
        <v>0</v>
      </c>
      <c r="P26" s="307">
        <f t="shared" si="74"/>
        <v>0</v>
      </c>
      <c r="Q26" s="307">
        <f t="shared" ref="Q26:AF26" si="75">(Q37-P37)</f>
        <v>-500</v>
      </c>
      <c r="R26" s="307">
        <f t="shared" si="75"/>
        <v>0</v>
      </c>
      <c r="S26" s="307">
        <f t="shared" si="75"/>
        <v>-500</v>
      </c>
      <c r="T26" s="307">
        <f t="shared" si="75"/>
        <v>-500</v>
      </c>
      <c r="U26" s="307">
        <f t="shared" si="75"/>
        <v>-500</v>
      </c>
      <c r="V26" s="307">
        <f t="shared" si="75"/>
        <v>-500</v>
      </c>
      <c r="W26" s="307">
        <f t="shared" si="75"/>
        <v>-263</v>
      </c>
      <c r="X26" s="307">
        <f t="shared" si="75"/>
        <v>0</v>
      </c>
      <c r="Y26" s="307">
        <f t="shared" si="75"/>
        <v>0</v>
      </c>
      <c r="Z26" s="307">
        <f t="shared" si="75"/>
        <v>0</v>
      </c>
      <c r="AA26" s="307">
        <f t="shared" si="75"/>
        <v>0</v>
      </c>
      <c r="AB26" s="307">
        <f t="shared" si="75"/>
        <v>0</v>
      </c>
      <c r="AC26" s="307">
        <f t="shared" si="75"/>
        <v>0</v>
      </c>
      <c r="AD26" s="307">
        <f t="shared" si="75"/>
        <v>0</v>
      </c>
      <c r="AE26" s="307">
        <f t="shared" si="75"/>
        <v>0</v>
      </c>
      <c r="AF26" s="307">
        <f t="shared" si="75"/>
        <v>0</v>
      </c>
    </row>
    <row r="27" spans="1:33" x14ac:dyDescent="0.3">
      <c r="A27" s="598"/>
      <c r="B27" s="285">
        <v>21</v>
      </c>
      <c r="C27" s="299" t="s">
        <v>498</v>
      </c>
      <c r="D27" s="432">
        <v>15.3</v>
      </c>
      <c r="E27" s="432">
        <v>20.3</v>
      </c>
      <c r="F27" s="432">
        <f>22.5-557.7</f>
        <v>-535.20000000000005</v>
      </c>
      <c r="G27" s="432">
        <f>-688.7+26.6</f>
        <v>-662.1</v>
      </c>
      <c r="H27" s="483">
        <f>-750+28.2</f>
        <v>-721.8</v>
      </c>
      <c r="I27" s="308">
        <f>+$D$55*(I21+I24)</f>
        <v>-373.81591246184979</v>
      </c>
      <c r="J27" s="308">
        <f t="shared" ref="J27:P27" si="76">+$D$55*(J21+J24)</f>
        <v>-449.91234663705615</v>
      </c>
      <c r="K27" s="308">
        <f t="shared" si="76"/>
        <v>-570.59044993534826</v>
      </c>
      <c r="L27" s="308">
        <f t="shared" si="76"/>
        <v>-471.11833497453824</v>
      </c>
      <c r="M27" s="308">
        <f t="shared" si="76"/>
        <v>-548.0625266971407</v>
      </c>
      <c r="N27" s="308">
        <f t="shared" si="76"/>
        <v>-643.0780932522772</v>
      </c>
      <c r="O27" s="308">
        <f t="shared" si="76"/>
        <v>-752.51081136624543</v>
      </c>
      <c r="P27" s="308">
        <f t="shared" si="76"/>
        <v>-874.87281647943246</v>
      </c>
      <c r="Q27" s="308">
        <f>+$E$55*(Q21+Q24)</f>
        <v>-955.59412623481148</v>
      </c>
      <c r="R27" s="308">
        <f>+$E$55*(R21+R24)</f>
        <v>-1107.3626378469921</v>
      </c>
      <c r="S27" s="308">
        <f>+$E$55*(S21+S24)+500</f>
        <v>-756.22651090964109</v>
      </c>
      <c r="T27" s="308">
        <f>+$E$55*(T21+T24)+500</f>
        <v>-937.8712246187265</v>
      </c>
      <c r="U27" s="308">
        <f>+$E$55*(U21+U24)+500</f>
        <v>-1127.3575363419648</v>
      </c>
      <c r="V27" s="308">
        <f>+$E$55*(V21+V24)+500</f>
        <v>-1323.150601850466</v>
      </c>
      <c r="W27" s="308">
        <f>+$E$55*(W21+W24)+V37</f>
        <v>-1760.3319271244425</v>
      </c>
      <c r="X27" s="308">
        <f>+$E$55*(X21+X24)</f>
        <v>-2215.4267261722762</v>
      </c>
      <c r="Y27" s="308">
        <f t="shared" ref="Y27:AF27" si="77">+$E$55*(Y21+Y24)</f>
        <v>-2395.3418346057092</v>
      </c>
      <c r="Z27" s="308">
        <f t="shared" si="77"/>
        <v>-2573.1030293361418</v>
      </c>
      <c r="AA27" s="308">
        <f t="shared" si="77"/>
        <v>-2746.1142769968924</v>
      </c>
      <c r="AB27" s="308">
        <f t="shared" si="77"/>
        <v>-2911.6891281073804</v>
      </c>
      <c r="AC27" s="308">
        <f t="shared" si="77"/>
        <v>-3067.1002156076147</v>
      </c>
      <c r="AD27" s="308">
        <f t="shared" si="77"/>
        <v>-3209.6466337739353</v>
      </c>
      <c r="AE27" s="308">
        <f t="shared" si="77"/>
        <v>-3336.7372815753324</v>
      </c>
      <c r="AF27" s="308">
        <f t="shared" si="77"/>
        <v>-3445.9762178021492</v>
      </c>
    </row>
    <row r="28" spans="1:33" x14ac:dyDescent="0.3">
      <c r="A28" s="598"/>
      <c r="B28" s="285">
        <v>22</v>
      </c>
      <c r="C28" s="306" t="s">
        <v>300</v>
      </c>
      <c r="D28" s="432">
        <v>0</v>
      </c>
      <c r="E28" s="432">
        <v>0</v>
      </c>
      <c r="F28" s="432">
        <v>0</v>
      </c>
      <c r="G28" s="432">
        <v>0</v>
      </c>
      <c r="H28" s="479">
        <f>(1+$D$58)*G28</f>
        <v>0</v>
      </c>
      <c r="I28" s="303">
        <f>(1+$D$58)*H28</f>
        <v>0</v>
      </c>
      <c r="J28" s="303">
        <f>(1+$D$58)*I28</f>
        <v>0</v>
      </c>
      <c r="K28" s="303">
        <f>(1+$D$58)*J28</f>
        <v>0</v>
      </c>
      <c r="L28" s="303">
        <f>(1+$E$58)*K28</f>
        <v>0</v>
      </c>
      <c r="M28" s="303">
        <f t="shared" ref="M28:P28" si="78">(1+$E$58)*L28</f>
        <v>0</v>
      </c>
      <c r="N28" s="303">
        <f t="shared" si="78"/>
        <v>0</v>
      </c>
      <c r="O28" s="303">
        <f t="shared" si="78"/>
        <v>0</v>
      </c>
      <c r="P28" s="303">
        <f t="shared" si="78"/>
        <v>0</v>
      </c>
      <c r="Q28" s="303">
        <f>$E$58*(Q21+Q24)</f>
        <v>-54.729354527290369</v>
      </c>
      <c r="R28" s="303">
        <f t="shared" ref="R28:AF28" si="79">$E$58*(R21+R24)</f>
        <v>-63.421530891778815</v>
      </c>
      <c r="S28" s="303">
        <f t="shared" si="79"/>
        <v>-71.947351071578993</v>
      </c>
      <c r="T28" s="303">
        <f t="shared" si="79"/>
        <v>-82.350615032360054</v>
      </c>
      <c r="U28" s="303">
        <f t="shared" si="79"/>
        <v>-93.202987653392157</v>
      </c>
      <c r="V28" s="303">
        <f t="shared" si="79"/>
        <v>-104.41656442412953</v>
      </c>
      <c r="W28" s="303">
        <f t="shared" si="79"/>
        <v>-115.8929227340936</v>
      </c>
      <c r="X28" s="303">
        <f t="shared" si="79"/>
        <v>-126.88323567209025</v>
      </c>
      <c r="Y28" s="303">
        <f t="shared" si="79"/>
        <v>-137.18744065194556</v>
      </c>
      <c r="Z28" s="303">
        <f t="shared" si="79"/>
        <v>-147.36828540653752</v>
      </c>
      <c r="AA28" s="303">
        <f t="shared" si="79"/>
        <v>-157.2770883705559</v>
      </c>
      <c r="AB28" s="303">
        <f t="shared" si="79"/>
        <v>-166.75998961329807</v>
      </c>
      <c r="AC28" s="303">
        <f t="shared" si="79"/>
        <v>-175.66078574814378</v>
      </c>
      <c r="AD28" s="303">
        <f t="shared" si="79"/>
        <v>-183.82478889784807</v>
      </c>
      <c r="AE28" s="303">
        <f t="shared" si="79"/>
        <v>-191.1035999847598</v>
      </c>
      <c r="AF28" s="303">
        <f t="shared" si="79"/>
        <v>-197.35999724046295</v>
      </c>
    </row>
    <row r="29" spans="1:33" x14ac:dyDescent="0.3">
      <c r="A29" s="598"/>
      <c r="B29" s="285">
        <v>23</v>
      </c>
      <c r="C29" s="299" t="s">
        <v>301</v>
      </c>
      <c r="D29" s="432">
        <v>-9.4</v>
      </c>
      <c r="E29" s="432">
        <v>-9.9</v>
      </c>
      <c r="F29" s="432">
        <v>-17.3</v>
      </c>
      <c r="G29" s="432">
        <v>-99.8</v>
      </c>
      <c r="H29" s="480">
        <v>-13</v>
      </c>
      <c r="I29" s="296">
        <f t="shared" ref="I29:P29" si="80">H29*1.1</f>
        <v>-14.3</v>
      </c>
      <c r="J29" s="296">
        <f t="shared" si="80"/>
        <v>-15.730000000000002</v>
      </c>
      <c r="K29" s="296">
        <f t="shared" si="80"/>
        <v>-17.303000000000004</v>
      </c>
      <c r="L29" s="296">
        <f t="shared" si="80"/>
        <v>-19.033300000000008</v>
      </c>
      <c r="M29" s="296">
        <f t="shared" si="80"/>
        <v>-20.936630000000012</v>
      </c>
      <c r="N29" s="296">
        <f t="shared" si="80"/>
        <v>-23.030293000000015</v>
      </c>
      <c r="O29" s="296">
        <f t="shared" si="80"/>
        <v>-25.333322300000017</v>
      </c>
      <c r="P29" s="296">
        <f t="shared" si="80"/>
        <v>-27.866654530000019</v>
      </c>
      <c r="Q29" s="296">
        <f t="shared" ref="Q29" si="81">P29*1.1</f>
        <v>-30.653319983000024</v>
      </c>
      <c r="R29" s="296">
        <f t="shared" ref="R29" si="82">Q29*1.1</f>
        <v>-33.718651981300027</v>
      </c>
      <c r="S29" s="296">
        <f t="shared" ref="S29" si="83">R29*1.1</f>
        <v>-37.09051717943003</v>
      </c>
      <c r="T29" s="296">
        <f t="shared" ref="T29" si="84">S29*1.1</f>
        <v>-40.799568897373035</v>
      </c>
      <c r="U29" s="296">
        <f t="shared" ref="U29" si="85">T29*1.1</f>
        <v>-44.879525787110346</v>
      </c>
      <c r="V29" s="296">
        <f t="shared" ref="V29" si="86">U29*1.1</f>
        <v>-49.367478365821384</v>
      </c>
      <c r="W29" s="296">
        <f t="shared" ref="W29" si="87">V29*1.1</f>
        <v>-54.304226202403527</v>
      </c>
      <c r="X29" s="296">
        <f t="shared" ref="X29" si="88">W29*1.1</f>
        <v>-59.734648822643884</v>
      </c>
      <c r="Y29" s="296">
        <f t="shared" ref="Y29" si="89">X29*1.1</f>
        <v>-65.708113704908271</v>
      </c>
      <c r="Z29" s="296">
        <f t="shared" ref="Z29" si="90">Y29*1.1</f>
        <v>-72.278925075399101</v>
      </c>
      <c r="AA29" s="296">
        <f t="shared" ref="AA29" si="91">Z29*1.1</f>
        <v>-79.506817582939021</v>
      </c>
      <c r="AB29" s="296">
        <f t="shared" ref="AB29" si="92">AA29*1.1</f>
        <v>-87.457499341232932</v>
      </c>
      <c r="AC29" s="296">
        <f t="shared" ref="AC29" si="93">AB29*1.1</f>
        <v>-96.203249275356228</v>
      </c>
      <c r="AD29" s="296">
        <f t="shared" ref="AD29" si="94">AC29*1.1</f>
        <v>-105.82357420289186</v>
      </c>
      <c r="AE29" s="296">
        <f t="shared" ref="AE29" si="95">AD29*1.1</f>
        <v>-116.40593162318106</v>
      </c>
      <c r="AF29" s="296">
        <f t="shared" ref="AF29" si="96">AE29*1.1</f>
        <v>-128.04652478549917</v>
      </c>
    </row>
    <row r="30" spans="1:33" x14ac:dyDescent="0.3">
      <c r="A30" s="599"/>
      <c r="B30" s="285">
        <v>24</v>
      </c>
      <c r="C30" s="301" t="s">
        <v>302</v>
      </c>
      <c r="D30" s="501">
        <f>SUM(D25:D29)</f>
        <v>912.09999999999991</v>
      </c>
      <c r="E30" s="501">
        <f>SUM(E25:E29)</f>
        <v>10.4</v>
      </c>
      <c r="F30" s="501">
        <f>SUM(F25:F29)</f>
        <v>-552.5</v>
      </c>
      <c r="G30" s="501">
        <f t="shared" ref="G30:P30" si="97">SUM(G25:G29)</f>
        <v>-318.60000000000008</v>
      </c>
      <c r="H30" s="501">
        <f t="shared" si="97"/>
        <v>-734.8</v>
      </c>
      <c r="I30" s="304">
        <f t="shared" si="97"/>
        <v>-388.1159124618498</v>
      </c>
      <c r="J30" s="304">
        <f t="shared" si="97"/>
        <v>-465.64234663705616</v>
      </c>
      <c r="K30" s="304">
        <f t="shared" si="97"/>
        <v>-587.89344993534826</v>
      </c>
      <c r="L30" s="304">
        <f t="shared" si="97"/>
        <v>-490.15163497453824</v>
      </c>
      <c r="M30" s="304">
        <f t="shared" si="97"/>
        <v>-568.99915669714073</v>
      </c>
      <c r="N30" s="304">
        <f t="shared" si="97"/>
        <v>-666.10838625227723</v>
      </c>
      <c r="O30" s="304">
        <f t="shared" si="97"/>
        <v>-777.8441336662454</v>
      </c>
      <c r="P30" s="304">
        <f t="shared" si="97"/>
        <v>-902.73947100943246</v>
      </c>
      <c r="Q30" s="304">
        <f t="shared" ref="Q30:AF30" si="98">SUM(Q25:Q29)</f>
        <v>-1540.9768007451019</v>
      </c>
      <c r="R30" s="304">
        <f t="shared" si="98"/>
        <v>-1204.502820720071</v>
      </c>
      <c r="S30" s="304">
        <f t="shared" si="98"/>
        <v>-1365.2643791606502</v>
      </c>
      <c r="T30" s="304">
        <f t="shared" si="98"/>
        <v>-1561.0214085484597</v>
      </c>
      <c r="U30" s="304">
        <f t="shared" si="98"/>
        <v>-1765.4400497824674</v>
      </c>
      <c r="V30" s="304">
        <f t="shared" si="98"/>
        <v>-1976.934644640417</v>
      </c>
      <c r="W30" s="304">
        <f t="shared" si="98"/>
        <v>-2193.5290760609396</v>
      </c>
      <c r="X30" s="304">
        <f t="shared" si="98"/>
        <v>-2402.0446106670106</v>
      </c>
      <c r="Y30" s="304">
        <f t="shared" si="98"/>
        <v>-2598.2373889625628</v>
      </c>
      <c r="Z30" s="304">
        <f t="shared" si="98"/>
        <v>-2792.7502398180782</v>
      </c>
      <c r="AA30" s="304">
        <f t="shared" si="98"/>
        <v>-2982.8981829503873</v>
      </c>
      <c r="AB30" s="304">
        <f t="shared" si="98"/>
        <v>-3165.9066170619112</v>
      </c>
      <c r="AC30" s="304">
        <f t="shared" si="98"/>
        <v>-3338.9642506311147</v>
      </c>
      <c r="AD30" s="304">
        <f t="shared" si="98"/>
        <v>-3499.2949968746752</v>
      </c>
      <c r="AE30" s="304">
        <f t="shared" si="98"/>
        <v>-3644.2468131832734</v>
      </c>
      <c r="AF30" s="304">
        <f t="shared" si="98"/>
        <v>-3771.3827398281114</v>
      </c>
    </row>
    <row r="31" spans="1:33" x14ac:dyDescent="0.3">
      <c r="C31" s="297"/>
      <c r="D31" s="421"/>
      <c r="E31" s="421"/>
      <c r="F31" s="421"/>
      <c r="G31" s="421"/>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c r="AF31" s="298"/>
    </row>
    <row r="32" spans="1:33" x14ac:dyDescent="0.3">
      <c r="A32" s="605" t="s">
        <v>303</v>
      </c>
      <c r="B32" s="285">
        <v>25</v>
      </c>
      <c r="C32" s="309" t="s">
        <v>304</v>
      </c>
      <c r="D32" s="432">
        <f>D21+D24+D25+D26+D29</f>
        <v>155.39999999999995</v>
      </c>
      <c r="E32" s="432">
        <f>E21+E24+E25+E26+E29</f>
        <v>216.49999999999994</v>
      </c>
      <c r="F32" s="432">
        <f>F21+F24+F25+F26+F29</f>
        <v>143.29999999999995</v>
      </c>
      <c r="G32" s="432">
        <f>G21+G24+G25+G26+G29</f>
        <v>901.90000000000009</v>
      </c>
      <c r="H32" s="484">
        <f t="shared" ref="H32:P32" si="99">H21+H24+H25+H26+H29</f>
        <v>769</v>
      </c>
      <c r="I32" s="310">
        <f>I21+I24+I25+I26+I29</f>
        <v>390.69313320194863</v>
      </c>
      <c r="J32" s="310">
        <f t="shared" si="99"/>
        <v>471.70620818811017</v>
      </c>
      <c r="K32" s="310">
        <f t="shared" si="99"/>
        <v>600.87617961962087</v>
      </c>
      <c r="L32" s="310">
        <f t="shared" si="99"/>
        <v>491.37753118604729</v>
      </c>
      <c r="M32" s="310">
        <f t="shared" si="99"/>
        <v>572.8357389071266</v>
      </c>
      <c r="N32" s="310">
        <f t="shared" si="99"/>
        <v>673.68218819046933</v>
      </c>
      <c r="O32" s="310">
        <f t="shared" si="99"/>
        <v>789.93885072355772</v>
      </c>
      <c r="P32" s="310">
        <f t="shared" si="99"/>
        <v>919.97283353721559</v>
      </c>
      <c r="Q32" s="310">
        <f t="shared" ref="Q32:AF32" si="100">Q21+Q24+Q25+Q26+Q29</f>
        <v>563.93377056280724</v>
      </c>
      <c r="R32" s="310">
        <f t="shared" si="100"/>
        <v>1234.7119658542761</v>
      </c>
      <c r="S32" s="310">
        <f t="shared" si="100"/>
        <v>901.85650425214976</v>
      </c>
      <c r="T32" s="310">
        <f t="shared" si="100"/>
        <v>1106.212731749828</v>
      </c>
      <c r="U32" s="310">
        <f t="shared" si="100"/>
        <v>1319.1802272807327</v>
      </c>
      <c r="V32" s="310">
        <f t="shared" si="100"/>
        <v>1538.9638101167691</v>
      </c>
      <c r="W32" s="310">
        <f t="shared" si="100"/>
        <v>2000.5542284794685</v>
      </c>
      <c r="X32" s="310">
        <f t="shared" si="100"/>
        <v>2477.9300646191609</v>
      </c>
      <c r="Y32" s="310">
        <f t="shared" si="100"/>
        <v>2678.040699334003</v>
      </c>
      <c r="Z32" s="310">
        <f t="shared" si="100"/>
        <v>2875.0867830553511</v>
      </c>
      <c r="AA32" s="310">
        <f t="shared" si="100"/>
        <v>3066.0349498281785</v>
      </c>
      <c r="AB32" s="310">
        <f t="shared" si="100"/>
        <v>3247.7422929247282</v>
      </c>
      <c r="AC32" s="310">
        <f t="shared" si="100"/>
        <v>3417.0124656875191</v>
      </c>
      <c r="AD32" s="310">
        <f t="shared" si="100"/>
        <v>3570.6722037540694</v>
      </c>
      <c r="AE32" s="310">
        <f t="shared" si="100"/>
        <v>3705.6660680720147</v>
      </c>
      <c r="AF32" s="310">
        <f t="shared" si="100"/>
        <v>3819.1534200237597</v>
      </c>
    </row>
    <row r="33" spans="1:33" x14ac:dyDescent="0.3">
      <c r="A33" s="606"/>
      <c r="B33" s="285">
        <v>26</v>
      </c>
      <c r="C33" s="309" t="s">
        <v>305</v>
      </c>
      <c r="D33" s="432">
        <f>-1*(D27+D28)</f>
        <v>-15.3</v>
      </c>
      <c r="E33" s="432">
        <f>-1*(E27+E28)</f>
        <v>-20.3</v>
      </c>
      <c r="F33" s="432">
        <f>-1*(F27+F28)</f>
        <v>535.20000000000005</v>
      </c>
      <c r="G33" s="432">
        <f t="shared" ref="G33:P33" si="101">-1*(G27+G28)</f>
        <v>662.1</v>
      </c>
      <c r="H33" s="485">
        <f t="shared" si="101"/>
        <v>721.8</v>
      </c>
      <c r="I33" s="311">
        <f t="shared" si="101"/>
        <v>373.81591246184979</v>
      </c>
      <c r="J33" s="311">
        <f t="shared" si="101"/>
        <v>449.91234663705615</v>
      </c>
      <c r="K33" s="311">
        <f t="shared" si="101"/>
        <v>570.59044993534826</v>
      </c>
      <c r="L33" s="311">
        <f t="shared" si="101"/>
        <v>471.11833497453824</v>
      </c>
      <c r="M33" s="311">
        <f t="shared" si="101"/>
        <v>548.0625266971407</v>
      </c>
      <c r="N33" s="311">
        <f t="shared" si="101"/>
        <v>643.0780932522772</v>
      </c>
      <c r="O33" s="311">
        <f t="shared" si="101"/>
        <v>752.51081136624543</v>
      </c>
      <c r="P33" s="311">
        <f t="shared" si="101"/>
        <v>874.87281647943246</v>
      </c>
      <c r="Q33" s="311">
        <f t="shared" ref="Q33:AE33" si="102">-1*(Q27+Q28)</f>
        <v>1010.3234807621019</v>
      </c>
      <c r="R33" s="311">
        <f t="shared" si="102"/>
        <v>1170.7841687387709</v>
      </c>
      <c r="S33" s="311">
        <f t="shared" si="102"/>
        <v>828.17386198122006</v>
      </c>
      <c r="T33" s="311">
        <f t="shared" si="102"/>
        <v>1020.2218396510866</v>
      </c>
      <c r="U33" s="311">
        <f t="shared" si="102"/>
        <v>1220.560523995357</v>
      </c>
      <c r="V33" s="311">
        <f t="shared" si="102"/>
        <v>1427.5671662745956</v>
      </c>
      <c r="W33" s="311">
        <f t="shared" si="102"/>
        <v>1876.2248498585361</v>
      </c>
      <c r="X33" s="311">
        <f t="shared" si="102"/>
        <v>2342.3099618443666</v>
      </c>
      <c r="Y33" s="311">
        <f t="shared" si="102"/>
        <v>2532.5292752576547</v>
      </c>
      <c r="Z33" s="311">
        <f t="shared" si="102"/>
        <v>2720.4713147426792</v>
      </c>
      <c r="AA33" s="311">
        <f t="shared" si="102"/>
        <v>2903.3913653674481</v>
      </c>
      <c r="AB33" s="311">
        <f t="shared" si="102"/>
        <v>3078.4491177206783</v>
      </c>
      <c r="AC33" s="311">
        <f t="shared" si="102"/>
        <v>3242.7610013557587</v>
      </c>
      <c r="AD33" s="311">
        <f t="shared" si="102"/>
        <v>3393.4714226717833</v>
      </c>
      <c r="AE33" s="311">
        <f t="shared" si="102"/>
        <v>3527.8408815600924</v>
      </c>
      <c r="AF33" s="311">
        <f>-1*(AF27+AF28)</f>
        <v>3643.3362150426124</v>
      </c>
    </row>
    <row r="34" spans="1:33" x14ac:dyDescent="0.3">
      <c r="A34" s="607"/>
      <c r="B34" s="285">
        <v>27</v>
      </c>
      <c r="C34" s="309" t="s">
        <v>306</v>
      </c>
      <c r="D34" s="432">
        <f>D32-D33</f>
        <v>170.69999999999996</v>
      </c>
      <c r="E34" s="432">
        <f>E32-E33</f>
        <v>236.79999999999995</v>
      </c>
      <c r="F34" s="432">
        <f>F32-F33</f>
        <v>-391.90000000000009</v>
      </c>
      <c r="G34" s="432">
        <f>G32-G33</f>
        <v>239.80000000000007</v>
      </c>
      <c r="H34" s="486">
        <f t="shared" ref="H34:P34" si="103">H32-H33</f>
        <v>47.200000000000045</v>
      </c>
      <c r="I34" s="312">
        <f t="shared" si="103"/>
        <v>16.877220740098835</v>
      </c>
      <c r="J34" s="312">
        <f t="shared" si="103"/>
        <v>21.793861551054022</v>
      </c>
      <c r="K34" s="312">
        <f t="shared" si="103"/>
        <v>30.28572968427261</v>
      </c>
      <c r="L34" s="312">
        <f t="shared" si="103"/>
        <v>20.25919621150905</v>
      </c>
      <c r="M34" s="312">
        <f t="shared" si="103"/>
        <v>24.7732122099859</v>
      </c>
      <c r="N34" s="312">
        <f t="shared" si="103"/>
        <v>30.604094938192134</v>
      </c>
      <c r="O34" s="312">
        <f t="shared" si="103"/>
        <v>37.428039357312286</v>
      </c>
      <c r="P34" s="312">
        <f t="shared" si="103"/>
        <v>45.100017057783134</v>
      </c>
      <c r="Q34" s="312">
        <f t="shared" ref="Q34:AF34" si="104">Q32-Q33</f>
        <v>-446.38971019929465</v>
      </c>
      <c r="R34" s="312">
        <f t="shared" si="104"/>
        <v>63.9277971155052</v>
      </c>
      <c r="S34" s="312">
        <f t="shared" si="104"/>
        <v>73.682642270929705</v>
      </c>
      <c r="T34" s="312">
        <f t="shared" si="104"/>
        <v>85.990892098741369</v>
      </c>
      <c r="U34" s="312">
        <f t="shared" si="104"/>
        <v>98.619703285375635</v>
      </c>
      <c r="V34" s="312">
        <f t="shared" si="104"/>
        <v>111.39664384217349</v>
      </c>
      <c r="W34" s="312">
        <f t="shared" si="104"/>
        <v>124.3293786209324</v>
      </c>
      <c r="X34" s="312">
        <f t="shared" si="104"/>
        <v>135.6201027747943</v>
      </c>
      <c r="Y34" s="312">
        <f t="shared" si="104"/>
        <v>145.51142407634825</v>
      </c>
      <c r="Z34" s="312">
        <f t="shared" si="104"/>
        <v>154.61546831267196</v>
      </c>
      <c r="AA34" s="312">
        <f t="shared" si="104"/>
        <v>162.64358446073038</v>
      </c>
      <c r="AB34" s="312">
        <f t="shared" si="104"/>
        <v>169.29317520404993</v>
      </c>
      <c r="AC34" s="312">
        <f t="shared" si="104"/>
        <v>174.25146433176042</v>
      </c>
      <c r="AD34" s="312">
        <f t="shared" si="104"/>
        <v>177.20078108228608</v>
      </c>
      <c r="AE34" s="312">
        <f t="shared" si="104"/>
        <v>177.82518651192231</v>
      </c>
      <c r="AF34" s="312">
        <f t="shared" si="104"/>
        <v>175.81720498114737</v>
      </c>
    </row>
    <row r="36" spans="1:33" ht="14.7" customHeight="1" x14ac:dyDescent="0.3">
      <c r="A36" s="608" t="s">
        <v>307</v>
      </c>
      <c r="B36" s="313">
        <v>28</v>
      </c>
      <c r="C36" s="309" t="s">
        <v>308</v>
      </c>
      <c r="D36" s="290">
        <f>D34</f>
        <v>170.69999999999996</v>
      </c>
      <c r="E36" s="290">
        <f>D36+E34</f>
        <v>407.49999999999989</v>
      </c>
      <c r="F36" s="290">
        <f>E36+F34</f>
        <v>15.599999999999795</v>
      </c>
      <c r="G36" s="290">
        <f>F36+G34</f>
        <v>255.39999999999986</v>
      </c>
      <c r="H36" s="290">
        <f t="shared" ref="H36:P36" si="105">G36+H34</f>
        <v>302.59999999999991</v>
      </c>
      <c r="I36" s="290">
        <f t="shared" si="105"/>
        <v>319.47722074009874</v>
      </c>
      <c r="J36" s="290">
        <f t="shared" si="105"/>
        <v>341.27108229115277</v>
      </c>
      <c r="K36" s="290">
        <f t="shared" si="105"/>
        <v>371.55681197542538</v>
      </c>
      <c r="L36" s="290">
        <f t="shared" si="105"/>
        <v>391.81600818693443</v>
      </c>
      <c r="M36" s="290">
        <f t="shared" si="105"/>
        <v>416.58922039692033</v>
      </c>
      <c r="N36" s="290">
        <f t="shared" si="105"/>
        <v>447.19331533511246</v>
      </c>
      <c r="O36" s="290">
        <f t="shared" si="105"/>
        <v>484.62135469242475</v>
      </c>
      <c r="P36" s="290">
        <f t="shared" si="105"/>
        <v>529.72137175020794</v>
      </c>
      <c r="Q36" s="290">
        <f t="shared" ref="Q36:AF36" si="106">P36+Q34</f>
        <v>83.331661550913282</v>
      </c>
      <c r="R36" s="290">
        <f t="shared" si="106"/>
        <v>147.25945866641848</v>
      </c>
      <c r="S36" s="290">
        <f t="shared" si="106"/>
        <v>220.94210093734819</v>
      </c>
      <c r="T36" s="290">
        <f t="shared" si="106"/>
        <v>306.93299303608956</v>
      </c>
      <c r="U36" s="290">
        <f t="shared" si="106"/>
        <v>405.55269632146519</v>
      </c>
      <c r="V36" s="290">
        <f t="shared" si="106"/>
        <v>516.94934016363868</v>
      </c>
      <c r="W36" s="290">
        <f t="shared" si="106"/>
        <v>641.27871878457108</v>
      </c>
      <c r="X36" s="290">
        <f t="shared" si="106"/>
        <v>776.89882155936539</v>
      </c>
      <c r="Y36" s="290">
        <f t="shared" si="106"/>
        <v>922.41024563571364</v>
      </c>
      <c r="Z36" s="290">
        <f t="shared" si="106"/>
        <v>1077.0257139483856</v>
      </c>
      <c r="AA36" s="290">
        <f t="shared" si="106"/>
        <v>1239.669298409116</v>
      </c>
      <c r="AB36" s="290">
        <f t="shared" si="106"/>
        <v>1408.9624736131659</v>
      </c>
      <c r="AC36" s="290">
        <f t="shared" si="106"/>
        <v>1583.2139379449263</v>
      </c>
      <c r="AD36" s="290">
        <f t="shared" si="106"/>
        <v>1760.4147190272124</v>
      </c>
      <c r="AE36" s="290">
        <f t="shared" si="106"/>
        <v>1938.2399055391347</v>
      </c>
      <c r="AF36" s="290">
        <f t="shared" si="106"/>
        <v>2114.0571105202821</v>
      </c>
    </row>
    <row r="37" spans="1:33" x14ac:dyDescent="0.3">
      <c r="A37" s="608"/>
      <c r="B37" s="314">
        <v>29</v>
      </c>
      <c r="C37" s="309" t="s">
        <v>309</v>
      </c>
      <c r="D37" s="394">
        <f>Cifras_en_Millones!F60</f>
        <v>2029.3999999999999</v>
      </c>
      <c r="E37" s="394">
        <f>Cifras_en_Millones!E60</f>
        <v>2340.6</v>
      </c>
      <c r="F37" s="394">
        <f>Cifras_en_Millones!D60</f>
        <v>2328.1</v>
      </c>
      <c r="G37" s="394">
        <f>Cifras_en_Millones!C60</f>
        <v>2763.2</v>
      </c>
      <c r="H37" s="290">
        <f t="shared" ref="H37:P37" si="107">G37</f>
        <v>2763.2</v>
      </c>
      <c r="I37" s="290">
        <f>H37-1207.5+1207.5</f>
        <v>2763.2</v>
      </c>
      <c r="J37" s="290">
        <f t="shared" si="107"/>
        <v>2763.2</v>
      </c>
      <c r="K37" s="290">
        <f t="shared" si="107"/>
        <v>2763.2</v>
      </c>
      <c r="L37" s="290">
        <f>K37-1250+1250</f>
        <v>2763.2</v>
      </c>
      <c r="M37" s="290">
        <f t="shared" si="107"/>
        <v>2763.2</v>
      </c>
      <c r="N37" s="290">
        <f>M37</f>
        <v>2763.2</v>
      </c>
      <c r="O37" s="290">
        <f t="shared" si="107"/>
        <v>2763.2</v>
      </c>
      <c r="P37" s="290">
        <f t="shared" si="107"/>
        <v>2763.2</v>
      </c>
      <c r="Q37" s="290">
        <f>P37-500</f>
        <v>2263.1999999999998</v>
      </c>
      <c r="R37" s="290">
        <f t="shared" ref="R37" si="108">Q37</f>
        <v>2263.1999999999998</v>
      </c>
      <c r="S37" s="290">
        <f>R37-500</f>
        <v>1763.1999999999998</v>
      </c>
      <c r="T37" s="290">
        <f>S37-500</f>
        <v>1263.1999999999998</v>
      </c>
      <c r="U37" s="290">
        <f>T37-500</f>
        <v>763.19999999999982</v>
      </c>
      <c r="V37" s="290">
        <f>U37-500</f>
        <v>263.19999999999982</v>
      </c>
      <c r="W37" s="290">
        <f>V37-263</f>
        <v>0.1999999999998181</v>
      </c>
      <c r="X37" s="290">
        <f>+W37</f>
        <v>0.1999999999998181</v>
      </c>
      <c r="Y37" s="290">
        <f t="shared" ref="Y37:AF37" si="109">+X37</f>
        <v>0.1999999999998181</v>
      </c>
      <c r="Z37" s="290">
        <f t="shared" si="109"/>
        <v>0.1999999999998181</v>
      </c>
      <c r="AA37" s="290">
        <f t="shared" si="109"/>
        <v>0.1999999999998181</v>
      </c>
      <c r="AB37" s="290">
        <f t="shared" si="109"/>
        <v>0.1999999999998181</v>
      </c>
      <c r="AC37" s="290">
        <f t="shared" si="109"/>
        <v>0.1999999999998181</v>
      </c>
      <c r="AD37" s="290">
        <f t="shared" si="109"/>
        <v>0.1999999999998181</v>
      </c>
      <c r="AE37" s="290">
        <f t="shared" si="109"/>
        <v>0.1999999999998181</v>
      </c>
      <c r="AF37" s="290">
        <f t="shared" si="109"/>
        <v>0.1999999999998181</v>
      </c>
    </row>
    <row r="38" spans="1:33" x14ac:dyDescent="0.3">
      <c r="A38" s="608"/>
      <c r="B38" s="316">
        <v>30</v>
      </c>
      <c r="C38" s="309" t="s">
        <v>310</v>
      </c>
      <c r="D38" s="315"/>
      <c r="E38" s="315"/>
      <c r="F38" s="290"/>
      <c r="G38" s="317">
        <f>1/((1+$D$47)^F3)</f>
        <v>0.9964596914573326</v>
      </c>
      <c r="H38" s="317">
        <f>1/((1+$D$47)^G3)</f>
        <v>1</v>
      </c>
      <c r="I38" s="317">
        <f>1/((1+$D$47)^H3)</f>
        <v>0.97981157447472456</v>
      </c>
      <c r="J38" s="317">
        <f t="shared" ref="J38:AF38" si="110">1/((1+$D$47)^H3)</f>
        <v>0.97981157447472456</v>
      </c>
      <c r="K38" s="317">
        <f t="shared" si="110"/>
        <v>0.90305214237301801</v>
      </c>
      <c r="L38" s="317">
        <f t="shared" si="110"/>
        <v>0.83230612200278153</v>
      </c>
      <c r="M38" s="317">
        <f t="shared" si="110"/>
        <v>0.76710241659242551</v>
      </c>
      <c r="N38" s="317">
        <f t="shared" si="110"/>
        <v>0.70700683556905575</v>
      </c>
      <c r="O38" s="317">
        <f t="shared" si="110"/>
        <v>0.65161920328945233</v>
      </c>
      <c r="P38" s="317">
        <f t="shared" si="110"/>
        <v>0.60057069427599297</v>
      </c>
      <c r="Q38" s="317">
        <f t="shared" si="110"/>
        <v>0.55352137721289674</v>
      </c>
      <c r="R38" s="317">
        <f t="shared" si="110"/>
        <v>0.51015795134829189</v>
      </c>
      <c r="S38" s="317">
        <f t="shared" si="110"/>
        <v>0.47019166022884046</v>
      </c>
      <c r="T38" s="317">
        <f t="shared" si="110"/>
        <v>0.4333563688745074</v>
      </c>
      <c r="U38" s="317">
        <f t="shared" si="110"/>
        <v>0.39940679158940778</v>
      </c>
      <c r="V38" s="317">
        <f t="shared" si="110"/>
        <v>0.36811685860774906</v>
      </c>
      <c r="W38" s="317">
        <f t="shared" si="110"/>
        <v>0.33927821069838626</v>
      </c>
      <c r="X38" s="317">
        <f t="shared" si="110"/>
        <v>0.31269881170358188</v>
      </c>
      <c r="Y38" s="317">
        <f t="shared" si="110"/>
        <v>0.28820166977288647</v>
      </c>
      <c r="Z38" s="317">
        <f t="shared" si="110"/>
        <v>0.2656236587768539</v>
      </c>
      <c r="AA38" s="317">
        <f t="shared" si="110"/>
        <v>0.24481443205239989</v>
      </c>
      <c r="AB38" s="317">
        <f t="shared" si="110"/>
        <v>0.22563542124645153</v>
      </c>
      <c r="AC38" s="317">
        <f t="shared" si="110"/>
        <v>0.20795891359119956</v>
      </c>
      <c r="AD38" s="317">
        <f t="shared" si="110"/>
        <v>0.1916672014665434</v>
      </c>
      <c r="AE38" s="317">
        <f t="shared" si="110"/>
        <v>0.17665179858667593</v>
      </c>
      <c r="AF38" s="317">
        <f t="shared" si="110"/>
        <v>0.16281271759140642</v>
      </c>
      <c r="AG38" s="317">
        <f>1/((1+$D$47)^AF3)</f>
        <v>0.13830212371586267</v>
      </c>
    </row>
    <row r="39" spans="1:33" x14ac:dyDescent="0.3">
      <c r="A39" s="318"/>
      <c r="B39" s="318"/>
      <c r="C39" s="318"/>
      <c r="D39" s="319"/>
      <c r="E39" s="319"/>
      <c r="F39" s="375">
        <f>1/((1+$D$48+0.001)^F$3)</f>
        <v>0.99995654888816909</v>
      </c>
      <c r="G39" s="375">
        <f>1/((1+$D$47+0.001)^F$3)</f>
        <v>0.99641978449898827</v>
      </c>
      <c r="H39" s="375">
        <f>1/((1+$D$47+0.001)^G$3)</f>
        <v>1</v>
      </c>
      <c r="I39" s="375">
        <f>1/((1+$D$47+0.001)^H$3)</f>
        <v>0.97958594139713528</v>
      </c>
      <c r="J39" s="375">
        <f t="shared" ref="J39:AF39" si="111">1/((1+$D$47+0.001)^H$3)</f>
        <v>0.97958594139713528</v>
      </c>
      <c r="K39" s="375">
        <f t="shared" si="111"/>
        <v>0.90201283738226112</v>
      </c>
      <c r="L39" s="375">
        <f t="shared" si="111"/>
        <v>0.83058272318808568</v>
      </c>
      <c r="M39" s="375">
        <f t="shared" si="111"/>
        <v>0.76480913737392797</v>
      </c>
      <c r="N39" s="375">
        <f t="shared" si="111"/>
        <v>0.70424414122829471</v>
      </c>
      <c r="O39" s="375">
        <f t="shared" si="111"/>
        <v>0.64847526816601742</v>
      </c>
      <c r="P39" s="375">
        <f t="shared" si="111"/>
        <v>0.59712271470167355</v>
      </c>
      <c r="Q39" s="375">
        <f t="shared" si="111"/>
        <v>0.54983675386894448</v>
      </c>
      <c r="R39" s="375">
        <f t="shared" si="111"/>
        <v>0.50629535347048293</v>
      </c>
      <c r="S39" s="375">
        <f t="shared" si="111"/>
        <v>0.46620198293782966</v>
      </c>
      <c r="T39" s="375">
        <f t="shared" si="111"/>
        <v>0.42928359386540493</v>
      </c>
      <c r="U39" s="375">
        <f t="shared" si="111"/>
        <v>0.39528876046538208</v>
      </c>
      <c r="V39" s="375">
        <f t="shared" si="111"/>
        <v>0.36398596727935739</v>
      </c>
      <c r="W39" s="375">
        <f t="shared" si="111"/>
        <v>0.33516203248559617</v>
      </c>
      <c r="X39" s="375">
        <f t="shared" si="111"/>
        <v>0.3086206560640849</v>
      </c>
      <c r="Y39" s="375">
        <f t="shared" si="111"/>
        <v>0.28418108293193828</v>
      </c>
      <c r="Z39" s="375">
        <f t="shared" si="111"/>
        <v>0.26167687194469458</v>
      </c>
      <c r="AA39" s="375">
        <f t="shared" si="111"/>
        <v>0.24095476238001343</v>
      </c>
      <c r="AB39" s="375">
        <f t="shared" si="111"/>
        <v>0.2218736301841745</v>
      </c>
      <c r="AC39" s="375">
        <f t="shared" si="111"/>
        <v>0.20430352687308886</v>
      </c>
      <c r="AD39" s="375">
        <f t="shared" si="111"/>
        <v>0.18812479454243913</v>
      </c>
      <c r="AE39" s="375">
        <f t="shared" si="111"/>
        <v>0.17322725095988872</v>
      </c>
      <c r="AF39" s="375">
        <f t="shared" si="111"/>
        <v>0.15950943918958449</v>
      </c>
      <c r="AG39" s="318"/>
    </row>
    <row r="40" spans="1:33" x14ac:dyDescent="0.3">
      <c r="A40" s="318"/>
      <c r="B40" s="318"/>
      <c r="C40" s="318"/>
      <c r="D40" s="319"/>
      <c r="E40" s="319"/>
      <c r="F40" s="375">
        <f>1/((1+$D$48+0.005)^F$3)</f>
        <v>0.9997831962315884</v>
      </c>
      <c r="G40" s="375">
        <f>1/((1+$D$47+0.005)^F$3)</f>
        <v>0.9962605392049787</v>
      </c>
      <c r="H40" s="375">
        <f>1/((1+$D$47+0.005)^G$3)</f>
        <v>1</v>
      </c>
      <c r="I40" s="375">
        <f>1/((1+$D$47+0.005)^H$3)</f>
        <v>0.97868599929760491</v>
      </c>
      <c r="J40" s="375">
        <f t="shared" ref="J40:AF40" si="112">1/((1+$D$47+0.005)^H$3)</f>
        <v>0.97868599929760491</v>
      </c>
      <c r="K40" s="375">
        <f t="shared" si="112"/>
        <v>0.89787706357578434</v>
      </c>
      <c r="L40" s="375">
        <f t="shared" si="112"/>
        <v>0.82374042529888492</v>
      </c>
      <c r="M40" s="375">
        <f t="shared" si="112"/>
        <v>0.75572516082466512</v>
      </c>
      <c r="N40" s="375">
        <f t="shared" si="112"/>
        <v>0.693325835618959</v>
      </c>
      <c r="O40" s="375">
        <f t="shared" si="112"/>
        <v>0.63607874827427435</v>
      </c>
      <c r="P40" s="375">
        <f t="shared" si="112"/>
        <v>0.58355848465529758</v>
      </c>
      <c r="Q40" s="375">
        <f t="shared" si="112"/>
        <v>0.53537475656449329</v>
      </c>
      <c r="R40" s="375">
        <f t="shared" si="112"/>
        <v>0.49116950143531501</v>
      </c>
      <c r="S40" s="375">
        <f t="shared" si="112"/>
        <v>0.45061422150028912</v>
      </c>
      <c r="T40" s="375">
        <f t="shared" si="112"/>
        <v>0.41340754266081575</v>
      </c>
      <c r="U40" s="375">
        <f t="shared" si="112"/>
        <v>0.37927297491817963</v>
      </c>
      <c r="V40" s="375">
        <f t="shared" si="112"/>
        <v>0.34795685772310059</v>
      </c>
      <c r="W40" s="375">
        <f t="shared" si="112"/>
        <v>0.31922647497532169</v>
      </c>
      <c r="X40" s="375">
        <f t="shared" si="112"/>
        <v>0.29286832566543275</v>
      </c>
      <c r="Y40" s="375">
        <f t="shared" si="112"/>
        <v>0.26868653730773656</v>
      </c>
      <c r="Z40" s="375">
        <f t="shared" si="112"/>
        <v>0.2465014103740702</v>
      </c>
      <c r="AA40" s="375">
        <f t="shared" si="112"/>
        <v>0.22614808291199107</v>
      </c>
      <c r="AB40" s="375">
        <f t="shared" si="112"/>
        <v>0.20747530542384504</v>
      </c>
      <c r="AC40" s="375">
        <f t="shared" si="112"/>
        <v>0.19034431690261017</v>
      </c>
      <c r="AD40" s="375">
        <f t="shared" si="112"/>
        <v>0.17462781367211941</v>
      </c>
      <c r="AE40" s="375">
        <f t="shared" si="112"/>
        <v>0.16020900336891694</v>
      </c>
      <c r="AF40" s="375">
        <f t="shared" si="112"/>
        <v>0.14698073703570361</v>
      </c>
      <c r="AG40" s="318"/>
    </row>
    <row r="41" spans="1:33" x14ac:dyDescent="0.3">
      <c r="A41" s="318"/>
      <c r="B41" s="318"/>
      <c r="C41" s="318"/>
      <c r="D41" s="319"/>
      <c r="E41" s="319"/>
      <c r="F41" s="376"/>
      <c r="G41" s="376"/>
      <c r="H41" s="376"/>
      <c r="I41" s="377"/>
      <c r="J41" s="378"/>
      <c r="K41" s="378"/>
      <c r="L41" s="378"/>
      <c r="M41" s="378"/>
      <c r="N41" s="378"/>
      <c r="O41" s="378"/>
      <c r="P41" s="378"/>
      <c r="Q41" s="378"/>
      <c r="R41" s="378"/>
      <c r="S41" s="378"/>
      <c r="T41" s="378"/>
      <c r="U41" s="378"/>
      <c r="V41" s="378"/>
      <c r="W41" s="378"/>
      <c r="X41" s="378"/>
      <c r="Y41" s="378"/>
      <c r="Z41" s="378"/>
      <c r="AA41" s="378"/>
      <c r="AB41" s="378"/>
      <c r="AC41" s="378"/>
      <c r="AD41" s="378"/>
      <c r="AE41" s="378"/>
      <c r="AF41" s="318"/>
    </row>
    <row r="42" spans="1:33" x14ac:dyDescent="0.3">
      <c r="C42" s="321" t="s">
        <v>134</v>
      </c>
      <c r="D42" s="322"/>
      <c r="E42" s="323"/>
      <c r="F42" s="422" t="s">
        <v>263</v>
      </c>
      <c r="G42" s="422" t="s">
        <v>263</v>
      </c>
      <c r="H42" s="322">
        <f>1000000*H16/[3]OP!C8</f>
        <v>1.4745246564475267</v>
      </c>
      <c r="I42" s="423">
        <f>1000000*I16/[3]OP!C8</f>
        <v>1.7703779449358752</v>
      </c>
      <c r="J42" s="423">
        <f>1000000*J16/[3]OP!C8</f>
        <v>2.1297592539700063</v>
      </c>
    </row>
    <row r="43" spans="1:33" x14ac:dyDescent="0.3">
      <c r="C43" s="324" t="s">
        <v>153</v>
      </c>
      <c r="D43" s="291"/>
      <c r="E43" s="291"/>
      <c r="F43" s="325"/>
      <c r="G43" s="325"/>
      <c r="H43" s="325"/>
      <c r="I43" s="326"/>
      <c r="J43" s="326"/>
    </row>
    <row r="44" spans="1:33" x14ac:dyDescent="0.3">
      <c r="C44" s="327" t="s">
        <v>135</v>
      </c>
      <c r="D44" s="328"/>
      <c r="E44" s="328"/>
      <c r="F44" s="424" t="s">
        <v>263</v>
      </c>
      <c r="G44" s="424" t="s">
        <v>263</v>
      </c>
      <c r="H44" s="329">
        <f>$D$64/H16</f>
        <v>39.646794495034108</v>
      </c>
      <c r="I44" s="330">
        <f>$D$64/I16</f>
        <v>33.021297062166767</v>
      </c>
    </row>
    <row r="45" spans="1:33" x14ac:dyDescent="0.3">
      <c r="A45" s="318"/>
      <c r="B45" s="318"/>
      <c r="C45" s="318"/>
      <c r="D45" s="319"/>
      <c r="E45" s="319"/>
      <c r="F45" s="319"/>
      <c r="G45" s="320"/>
      <c r="H45" s="320"/>
      <c r="I45" s="320"/>
      <c r="J45" s="320"/>
      <c r="K45" s="320"/>
      <c r="L45" s="320"/>
      <c r="M45" s="320"/>
      <c r="N45" s="320"/>
      <c r="O45" s="320"/>
      <c r="P45" s="320"/>
      <c r="Q45" s="320"/>
      <c r="R45" s="320"/>
      <c r="S45" s="320"/>
      <c r="T45" s="320"/>
      <c r="U45" s="320"/>
      <c r="V45" s="320"/>
      <c r="W45" s="320"/>
      <c r="X45" s="320"/>
      <c r="Y45" s="320"/>
      <c r="Z45" s="320"/>
      <c r="AA45" s="320"/>
      <c r="AB45" s="320"/>
      <c r="AC45" s="320"/>
      <c r="AD45" s="318"/>
      <c r="AE45" s="318"/>
      <c r="AF45" s="318"/>
    </row>
    <row r="46" spans="1:33" x14ac:dyDescent="0.3">
      <c r="A46" s="600" t="s">
        <v>311</v>
      </c>
      <c r="C46" s="321"/>
      <c r="D46" s="323" t="s">
        <v>312</v>
      </c>
      <c r="E46" s="323" t="s">
        <v>313</v>
      </c>
      <c r="F46" s="323" t="s">
        <v>314</v>
      </c>
      <c r="G46" s="331" t="s">
        <v>315</v>
      </c>
    </row>
    <row r="47" spans="1:33" x14ac:dyDescent="0.3">
      <c r="A47" s="602"/>
      <c r="C47" s="332" t="s">
        <v>316</v>
      </c>
      <c r="D47" s="333">
        <f>SUM(E47:G47)</f>
        <v>8.5000000000000006E-2</v>
      </c>
      <c r="E47" s="333">
        <v>0.04</v>
      </c>
      <c r="F47" s="333">
        <v>0.04</v>
      </c>
      <c r="G47" s="334">
        <v>5.0000000000000001E-3</v>
      </c>
      <c r="H47" s="279" t="s">
        <v>263</v>
      </c>
      <c r="I47" s="356"/>
      <c r="AE47" s="335"/>
    </row>
    <row r="48" spans="1:33" x14ac:dyDescent="0.3">
      <c r="D48" s="336"/>
      <c r="E48" s="336"/>
      <c r="F48" s="336"/>
      <c r="G48" s="337"/>
      <c r="I48" s="356"/>
      <c r="AE48" s="335"/>
    </row>
    <row r="49" spans="1:31" x14ac:dyDescent="0.3">
      <c r="C49" s="321"/>
      <c r="D49" s="338" t="s">
        <v>317</v>
      </c>
      <c r="E49" s="338" t="s">
        <v>318</v>
      </c>
      <c r="F49" s="331" t="s">
        <v>319</v>
      </c>
    </row>
    <row r="50" spans="1:31" ht="14.7" customHeight="1" x14ac:dyDescent="0.3">
      <c r="A50" s="597" t="s">
        <v>320</v>
      </c>
      <c r="C50" s="339" t="s">
        <v>321</v>
      </c>
      <c r="D50" s="340">
        <f>+E50</f>
        <v>-0.43816396071356994</v>
      </c>
      <c r="E50" s="340">
        <f>+AVERAGE(Cifras_Originales!B11:H11)/AVERAGE(Cifras_Originales!B13:H13)</f>
        <v>-0.43816396071356994</v>
      </c>
      <c r="F50" s="341" t="s">
        <v>322</v>
      </c>
      <c r="G50" s="425">
        <f>SUM(G22:AF22)/SUM(G9:AF9)</f>
        <v>3.2749994964471645</v>
      </c>
      <c r="I50" s="293"/>
      <c r="AE50" s="291"/>
    </row>
    <row r="51" spans="1:31" x14ac:dyDescent="0.3">
      <c r="A51" s="598"/>
      <c r="C51" s="342" t="s">
        <v>323</v>
      </c>
      <c r="D51" s="343">
        <f>-AVERAGE(F10:H10)/AVERAGE(F6:H6)</f>
        <v>4.2375367956763305E-2</v>
      </c>
      <c r="E51" s="491">
        <v>0.01</v>
      </c>
      <c r="F51" s="344" t="s">
        <v>324</v>
      </c>
      <c r="G51" s="426">
        <f>-SUM(D10:F10)/SUM(D6:F6)</f>
        <v>4.9320521619766647E-2</v>
      </c>
      <c r="I51" s="293"/>
      <c r="AE51" s="291"/>
    </row>
    <row r="52" spans="1:31" x14ac:dyDescent="0.3">
      <c r="A52" s="598"/>
      <c r="C52" s="342" t="s">
        <v>325</v>
      </c>
      <c r="D52" s="343">
        <f>+AVERAGE(F15:H15)/AVERAGE(F14:H14)</f>
        <v>-0.19406695392774281</v>
      </c>
      <c r="E52" s="343">
        <f>+AVERAGE(G15:I15)/AVERAGE(G14:I14)</f>
        <v>-0.20558745572966447</v>
      </c>
      <c r="F52" s="345" t="s">
        <v>326</v>
      </c>
      <c r="I52" s="293"/>
      <c r="AE52" s="291"/>
    </row>
    <row r="53" spans="1:31" x14ac:dyDescent="0.3">
      <c r="A53" s="598"/>
      <c r="C53" s="342" t="s">
        <v>327</v>
      </c>
      <c r="D53" s="343">
        <v>4.4999999999999998E-2</v>
      </c>
      <c r="E53" s="343">
        <v>2.5000000000000001E-2</v>
      </c>
      <c r="F53" s="345" t="s">
        <v>328</v>
      </c>
    </row>
    <row r="54" spans="1:31" x14ac:dyDescent="0.3">
      <c r="A54" s="598"/>
      <c r="C54" s="342" t="s">
        <v>329</v>
      </c>
      <c r="D54" s="343">
        <v>0.02</v>
      </c>
      <c r="E54" s="343">
        <v>0.02</v>
      </c>
      <c r="F54" s="344" t="s">
        <v>330</v>
      </c>
    </row>
    <row r="55" spans="1:31" x14ac:dyDescent="0.3">
      <c r="A55" s="598"/>
      <c r="C55" s="498" t="s">
        <v>502</v>
      </c>
      <c r="D55" s="343">
        <f>+H77</f>
        <v>-0.92301790281329921</v>
      </c>
      <c r="E55" s="491">
        <f>+D55+5%</f>
        <v>-0.87301790281329916</v>
      </c>
      <c r="F55" s="499" t="s">
        <v>503</v>
      </c>
      <c r="J55" s="293"/>
    </row>
    <row r="56" spans="1:31" x14ac:dyDescent="0.3">
      <c r="A56" s="598"/>
      <c r="C56" s="342" t="s">
        <v>331</v>
      </c>
      <c r="D56" s="343">
        <f>+I72</f>
        <v>-4.7356662077217296E-2</v>
      </c>
      <c r="E56" s="491">
        <f>+D56+3%</f>
        <v>-1.7356662077217297E-2</v>
      </c>
      <c r="F56" s="344" t="s">
        <v>332</v>
      </c>
    </row>
    <row r="57" spans="1:31" x14ac:dyDescent="0.3">
      <c r="A57" s="598"/>
      <c r="C57" s="342" t="s">
        <v>333</v>
      </c>
      <c r="D57" s="343">
        <f>+I81</f>
        <v>-9.1988951791298845E-2</v>
      </c>
      <c r="E57" s="343">
        <f>+D57</f>
        <v>-9.1988951791298845E-2</v>
      </c>
      <c r="F57" s="344" t="s">
        <v>324</v>
      </c>
    </row>
    <row r="58" spans="1:31" x14ac:dyDescent="0.3">
      <c r="A58" s="598"/>
      <c r="C58" s="342" t="s">
        <v>119</v>
      </c>
      <c r="D58" s="343">
        <v>0</v>
      </c>
      <c r="E58" s="343">
        <v>-0.05</v>
      </c>
      <c r="F58" s="499" t="s">
        <v>503</v>
      </c>
    </row>
    <row r="59" spans="1:31" x14ac:dyDescent="0.3">
      <c r="A59" s="599"/>
      <c r="C59" s="346"/>
      <c r="D59" s="333"/>
      <c r="E59" s="333"/>
      <c r="F59" s="347"/>
    </row>
    <row r="60" spans="1:31" x14ac:dyDescent="0.3">
      <c r="D60" s="291"/>
      <c r="E60" s="291"/>
      <c r="F60" s="291"/>
    </row>
    <row r="61" spans="1:31" x14ac:dyDescent="0.3">
      <c r="A61" s="600" t="s">
        <v>334</v>
      </c>
      <c r="C61" s="315"/>
      <c r="D61" s="348" t="s">
        <v>335</v>
      </c>
      <c r="E61" s="348" t="s">
        <v>336</v>
      </c>
      <c r="F61" s="279" t="s">
        <v>276</v>
      </c>
      <c r="AE61" s="335">
        <f>((AE36-AE37)*AF38)</f>
        <v>315.53754382141915</v>
      </c>
    </row>
    <row r="62" spans="1:31" x14ac:dyDescent="0.3">
      <c r="A62" s="601"/>
      <c r="C62" s="315" t="s">
        <v>337</v>
      </c>
      <c r="D62" s="290">
        <f>SUMPRODUCT(I33:AF33,I38:AF38)+((AF36-AF37)*AF38)</f>
        <v>13718.614214649784</v>
      </c>
      <c r="E62" s="349">
        <f>D62/D64</f>
        <v>0.60052198256501732</v>
      </c>
      <c r="F62" s="291" t="s">
        <v>338</v>
      </c>
      <c r="AE62" s="335">
        <f>AE54+AE61</f>
        <v>315.53754382141915</v>
      </c>
    </row>
    <row r="63" spans="1:31" x14ac:dyDescent="0.3">
      <c r="A63" s="601"/>
      <c r="C63" s="315" t="s">
        <v>339</v>
      </c>
      <c r="D63" s="290">
        <f>+(AF33/(D47-AF5))*AF38</f>
        <v>9125.8687733888673</v>
      </c>
      <c r="E63" s="349">
        <f>D63/D64</f>
        <v>0.39947801743498257</v>
      </c>
      <c r="F63" s="350" t="s">
        <v>340</v>
      </c>
    </row>
    <row r="64" spans="1:31" x14ac:dyDescent="0.3">
      <c r="A64" s="601"/>
      <c r="C64" s="315" t="s">
        <v>341</v>
      </c>
      <c r="D64" s="290">
        <f>D62+D63</f>
        <v>22844.482988038653</v>
      </c>
      <c r="E64" s="348"/>
      <c r="F64" s="278" t="s">
        <v>342</v>
      </c>
    </row>
    <row r="65" spans="1:32" x14ac:dyDescent="0.3">
      <c r="A65" s="601"/>
      <c r="C65" s="351" t="s">
        <v>343</v>
      </c>
      <c r="D65" s="427">
        <f ca="1">D66/D67-1</f>
        <v>-0.12350285552403673</v>
      </c>
      <c r="E65" s="352"/>
      <c r="F65" s="350" t="s">
        <v>344</v>
      </c>
    </row>
    <row r="66" spans="1:32" x14ac:dyDescent="0.3">
      <c r="A66" s="602"/>
      <c r="C66" s="351" t="s">
        <v>345</v>
      </c>
      <c r="D66" s="428">
        <f ca="1">+D64/OP!C8*1000000</f>
        <v>58.260765193317276</v>
      </c>
      <c r="E66" s="353"/>
      <c r="F66" s="350" t="s">
        <v>346</v>
      </c>
    </row>
    <row r="67" spans="1:32" x14ac:dyDescent="0.3">
      <c r="C67" s="351" t="s">
        <v>347</v>
      </c>
      <c r="D67" s="290">
        <f ca="1">+OP!C7</f>
        <v>66.47</v>
      </c>
      <c r="E67" s="353"/>
      <c r="F67" s="350" t="s">
        <v>347</v>
      </c>
    </row>
    <row r="68" spans="1:32" x14ac:dyDescent="0.3">
      <c r="D68" s="429"/>
    </row>
    <row r="69" spans="1:32" x14ac:dyDescent="0.3">
      <c r="C69" s="354"/>
      <c r="D69" s="355"/>
      <c r="E69" s="418"/>
      <c r="AD69" s="279"/>
      <c r="AE69" s="279"/>
      <c r="AF69" s="279"/>
    </row>
    <row r="70" spans="1:32" x14ac:dyDescent="0.3">
      <c r="C70" s="492" t="s">
        <v>499</v>
      </c>
      <c r="D70" s="355">
        <f>+D20</f>
        <v>-260.60000000000002</v>
      </c>
      <c r="E70" s="355">
        <f>+E20</f>
        <v>-83.3</v>
      </c>
      <c r="F70" s="355">
        <f>+F20</f>
        <v>29.5</v>
      </c>
      <c r="G70" s="355">
        <f>+G20</f>
        <v>-146.30000000000004</v>
      </c>
      <c r="H70" s="355">
        <f>+H20</f>
        <v>8.4999999999999858</v>
      </c>
      <c r="I70" s="356"/>
      <c r="J70" s="356"/>
      <c r="K70" s="356"/>
      <c r="L70" s="356"/>
      <c r="M70" s="356"/>
      <c r="N70" s="356"/>
      <c r="O70" s="356"/>
      <c r="P70" s="356"/>
      <c r="Q70" s="356"/>
      <c r="R70" s="356"/>
      <c r="S70" s="356"/>
      <c r="T70" s="356"/>
      <c r="U70" s="356"/>
      <c r="V70" s="356"/>
      <c r="W70" s="356"/>
      <c r="X70" s="356"/>
      <c r="Y70" s="356"/>
      <c r="Z70" s="356"/>
      <c r="AA70" s="356"/>
      <c r="AB70" s="356"/>
      <c r="AC70" s="356"/>
      <c r="AD70" s="356"/>
      <c r="AE70" s="356"/>
      <c r="AF70" s="356"/>
    </row>
    <row r="71" spans="1:32" x14ac:dyDescent="0.3">
      <c r="C71" s="493" t="s">
        <v>500</v>
      </c>
      <c r="D71" s="355"/>
      <c r="E71" s="355">
        <f>+E6-D6</f>
        <v>521.79999999999995</v>
      </c>
      <c r="F71" s="355">
        <f>+F6-E6</f>
        <v>461.30000000000018</v>
      </c>
      <c r="G71" s="355">
        <f>+G6-F6</f>
        <v>712.5</v>
      </c>
      <c r="H71" s="355">
        <f>+H6-G6</f>
        <v>410.69999999999982</v>
      </c>
      <c r="I71" s="495"/>
      <c r="AF71" s="335"/>
    </row>
    <row r="72" spans="1:32" x14ac:dyDescent="0.3">
      <c r="C72" s="496" t="s">
        <v>501</v>
      </c>
      <c r="D72" s="374"/>
      <c r="E72" s="497">
        <f>+E70/E71</f>
        <v>-0.15963970870065161</v>
      </c>
      <c r="F72" s="497">
        <f>+F70/F71</f>
        <v>6.3949707348796847E-2</v>
      </c>
      <c r="G72" s="497">
        <f>+G70/G71</f>
        <v>-0.2053333333333334</v>
      </c>
      <c r="H72" s="497">
        <f>+H70/H71</f>
        <v>2.0696372047723375E-2</v>
      </c>
      <c r="I72" s="500">
        <f>+SUMPRODUCT(E72:H72,E73:H73)</f>
        <v>-4.7356662077217296E-2</v>
      </c>
    </row>
    <row r="73" spans="1:32" x14ac:dyDescent="0.3">
      <c r="C73" s="430"/>
      <c r="D73" s="335"/>
      <c r="E73" s="278">
        <v>0.1</v>
      </c>
      <c r="F73" s="279">
        <v>0.15</v>
      </c>
      <c r="G73" s="279">
        <v>0.25</v>
      </c>
      <c r="H73" s="279">
        <v>0.5</v>
      </c>
    </row>
    <row r="74" spans="1:32" x14ac:dyDescent="0.3">
      <c r="C74" s="430"/>
      <c r="D74" s="374"/>
    </row>
    <row r="75" spans="1:32" x14ac:dyDescent="0.3">
      <c r="C75" s="493" t="s">
        <v>504</v>
      </c>
      <c r="D75" s="291">
        <f>+D27</f>
        <v>15.3</v>
      </c>
      <c r="E75" s="291">
        <f t="shared" ref="E75:H75" si="113">+E27</f>
        <v>20.3</v>
      </c>
      <c r="F75" s="291">
        <f t="shared" si="113"/>
        <v>-535.20000000000005</v>
      </c>
      <c r="G75" s="291">
        <f t="shared" si="113"/>
        <v>-662.1</v>
      </c>
      <c r="H75" s="291">
        <f t="shared" si="113"/>
        <v>-721.8</v>
      </c>
    </row>
    <row r="76" spans="1:32" x14ac:dyDescent="0.3">
      <c r="A76"/>
      <c r="B76"/>
      <c r="C76" s="493" t="s">
        <v>505</v>
      </c>
      <c r="D76" s="7">
        <f>+D21+D24</f>
        <v>-741.4</v>
      </c>
      <c r="E76" s="7">
        <f t="shared" ref="E76:H76" si="114">+E21+E24</f>
        <v>226.39999999999995</v>
      </c>
      <c r="F76" s="7">
        <f t="shared" si="114"/>
        <v>160.59999999999997</v>
      </c>
      <c r="G76" s="7">
        <f t="shared" si="114"/>
        <v>558.40000000000009</v>
      </c>
      <c r="H76" s="7">
        <f t="shared" si="114"/>
        <v>782</v>
      </c>
      <c r="I76"/>
      <c r="J76"/>
      <c r="K76"/>
      <c r="L76"/>
      <c r="M76"/>
      <c r="N76"/>
      <c r="O76"/>
      <c r="P76"/>
    </row>
    <row r="77" spans="1:32" x14ac:dyDescent="0.3">
      <c r="A77"/>
      <c r="B77"/>
      <c r="C77" s="493" t="s">
        <v>501</v>
      </c>
      <c r="D77" s="12">
        <f>+D75/D76</f>
        <v>-2.0636633396277314E-2</v>
      </c>
      <c r="E77" s="12">
        <f t="shared" ref="E77:H77" si="115">+E75/E76</f>
        <v>8.9664310954063631E-2</v>
      </c>
      <c r="F77" s="12">
        <f t="shared" si="115"/>
        <v>-3.332503113325032</v>
      </c>
      <c r="G77" s="12">
        <f t="shared" si="115"/>
        <v>-1.185709169054441</v>
      </c>
      <c r="H77" s="12">
        <f t="shared" si="115"/>
        <v>-0.92301790281329921</v>
      </c>
      <c r="I77" s="130"/>
      <c r="J77"/>
      <c r="K77"/>
      <c r="L77"/>
      <c r="M77"/>
      <c r="N77"/>
      <c r="O77"/>
      <c r="P77"/>
    </row>
    <row r="78" spans="1:32" x14ac:dyDescent="0.3">
      <c r="A78"/>
      <c r="B78"/>
      <c r="C78"/>
      <c r="D78"/>
      <c r="E78"/>
      <c r="F78"/>
      <c r="G78"/>
      <c r="H78"/>
      <c r="I78"/>
      <c r="J78"/>
      <c r="K78"/>
      <c r="L78"/>
      <c r="M78"/>
      <c r="N78"/>
      <c r="O78"/>
      <c r="P78"/>
    </row>
    <row r="79" spans="1:32" x14ac:dyDescent="0.3">
      <c r="A79"/>
      <c r="B79"/>
      <c r="C79" s="493" t="s">
        <v>506</v>
      </c>
      <c r="D79" s="7">
        <f>+D22</f>
        <v>-1205.7</v>
      </c>
      <c r="E79" s="7">
        <f t="shared" ref="E79:H79" si="116">+E22</f>
        <v>-226.2</v>
      </c>
      <c r="F79" s="7">
        <f t="shared" si="116"/>
        <v>-509.1</v>
      </c>
      <c r="G79" s="7">
        <f t="shared" si="116"/>
        <v>-192</v>
      </c>
      <c r="H79" s="7">
        <f t="shared" si="116"/>
        <v>-192</v>
      </c>
      <c r="I79"/>
      <c r="J79"/>
      <c r="K79"/>
      <c r="L79"/>
      <c r="M79"/>
      <c r="N79"/>
      <c r="O79"/>
      <c r="P79"/>
    </row>
    <row r="80" spans="1:32" x14ac:dyDescent="0.3">
      <c r="A80"/>
      <c r="B80"/>
      <c r="C80" s="493" t="s">
        <v>377</v>
      </c>
      <c r="D80" s="7">
        <f>+D6</f>
        <v>1926.7</v>
      </c>
      <c r="E80" s="7">
        <f t="shared" ref="E80:H80" si="117">+E6</f>
        <v>2448.5</v>
      </c>
      <c r="F80" s="7">
        <f t="shared" si="117"/>
        <v>2909.8</v>
      </c>
      <c r="G80" s="7">
        <f t="shared" si="117"/>
        <v>3622.3</v>
      </c>
      <c r="H80" s="7">
        <f t="shared" si="117"/>
        <v>4033</v>
      </c>
      <c r="I80"/>
      <c r="J80"/>
      <c r="K80"/>
      <c r="L80"/>
      <c r="M80"/>
      <c r="N80"/>
      <c r="O80"/>
      <c r="P80"/>
    </row>
    <row r="81" spans="1:16" x14ac:dyDescent="0.3">
      <c r="A81"/>
      <c r="B81"/>
      <c r="C81" s="493" t="s">
        <v>501</v>
      </c>
      <c r="D81" s="12">
        <f>+D79/D80</f>
        <v>-0.62578502102039757</v>
      </c>
      <c r="E81" s="12">
        <f t="shared" ref="E81:H81" si="118">+E79/E80</f>
        <v>-9.2383091688789054E-2</v>
      </c>
      <c r="F81" s="12">
        <f t="shared" si="118"/>
        <v>-0.17496047838339404</v>
      </c>
      <c r="G81" s="12">
        <f t="shared" si="118"/>
        <v>-5.3004996825221543E-2</v>
      </c>
      <c r="H81" s="12">
        <f t="shared" si="118"/>
        <v>-4.7607240267790729E-2</v>
      </c>
      <c r="I81" s="130">
        <f>+AVERAGE(E81:H81)</f>
        <v>-9.1988951791298845E-2</v>
      </c>
      <c r="J81"/>
      <c r="K81"/>
      <c r="L81"/>
      <c r="M81"/>
      <c r="N81"/>
      <c r="O81"/>
      <c r="P81"/>
    </row>
    <row r="82" spans="1:16" x14ac:dyDescent="0.3">
      <c r="A82"/>
      <c r="B82"/>
      <c r="C82"/>
      <c r="D82"/>
      <c r="E82"/>
      <c r="F82"/>
      <c r="G82"/>
      <c r="H82"/>
      <c r="I82"/>
      <c r="J82"/>
      <c r="K82"/>
      <c r="L82"/>
      <c r="M82"/>
      <c r="N82"/>
      <c r="O82"/>
      <c r="P82"/>
    </row>
    <row r="83" spans="1:16" x14ac:dyDescent="0.3">
      <c r="A83"/>
      <c r="B83"/>
      <c r="C83" s="493"/>
      <c r="D83" s="7"/>
      <c r="E83" s="7"/>
      <c r="F83" s="7"/>
      <c r="G83" s="7"/>
      <c r="H83" s="7"/>
      <c r="I83"/>
      <c r="J83"/>
      <c r="K83"/>
      <c r="L83"/>
      <c r="M83"/>
      <c r="N83"/>
      <c r="O83"/>
      <c r="P83"/>
    </row>
    <row r="84" spans="1:16" x14ac:dyDescent="0.3">
      <c r="A84"/>
      <c r="B84"/>
      <c r="C84" s="493"/>
      <c r="D84" s="7"/>
      <c r="E84" s="7"/>
      <c r="F84" s="7"/>
      <c r="G84" s="7"/>
      <c r="H84" s="7"/>
      <c r="I84"/>
      <c r="J84"/>
      <c r="K84"/>
      <c r="L84"/>
      <c r="M84"/>
      <c r="N84"/>
      <c r="O84"/>
      <c r="P84"/>
    </row>
    <row r="85" spans="1:16" x14ac:dyDescent="0.3">
      <c r="C85" s="493"/>
      <c r="D85" s="494"/>
      <c r="E85" s="494"/>
      <c r="F85" s="494"/>
      <c r="G85" s="494"/>
      <c r="H85" s="494"/>
      <c r="I85" s="500"/>
    </row>
  </sheetData>
  <mergeCells count="8">
    <mergeCell ref="A50:A59"/>
    <mergeCell ref="A61:A66"/>
    <mergeCell ref="C1:L1"/>
    <mergeCell ref="A5:A16"/>
    <mergeCell ref="A18:A30"/>
    <mergeCell ref="A32:A34"/>
    <mergeCell ref="A36:A38"/>
    <mergeCell ref="A46:A47"/>
  </mergeCell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H94"/>
  <sheetViews>
    <sheetView view="pageBreakPreview" topLeftCell="A12" zoomScale="130" zoomScaleNormal="85" zoomScaleSheetLayoutView="130" workbookViewId="0">
      <selection activeCell="C21" sqref="C21"/>
    </sheetView>
  </sheetViews>
  <sheetFormatPr defaultColWidth="11.44140625" defaultRowHeight="11.4" x14ac:dyDescent="0.2"/>
  <cols>
    <col min="1" max="1" width="36.109375" style="201" customWidth="1"/>
    <col min="2" max="11" width="12.44140625" style="201" customWidth="1"/>
    <col min="12" max="13" width="12.44140625" style="258" customWidth="1"/>
    <col min="14" max="14" width="12.33203125" style="258" bestFit="1" customWidth="1"/>
    <col min="15" max="16384" width="11.44140625" style="200"/>
  </cols>
  <sheetData>
    <row r="1" spans="1:15" ht="15.6" x14ac:dyDescent="0.3">
      <c r="A1" s="609" t="str">
        <f>Cifras_Originales!G3</f>
        <v>DexCom, Inc. (DXCM)</v>
      </c>
      <c r="B1" s="609"/>
      <c r="C1" s="609"/>
      <c r="D1" s="609"/>
      <c r="E1" s="609"/>
      <c r="F1" s="609"/>
      <c r="G1" s="609"/>
      <c r="H1" s="609"/>
      <c r="I1" s="609"/>
      <c r="J1" s="609"/>
      <c r="K1" s="609"/>
      <c r="L1" s="609"/>
      <c r="M1" s="199"/>
      <c r="N1" s="199"/>
    </row>
    <row r="2" spans="1:15" ht="12" customHeight="1" x14ac:dyDescent="0.2">
      <c r="A2" s="610" t="str">
        <f>Cifras_Originales!C2</f>
        <v>Cifras en Millones de USD</v>
      </c>
      <c r="B2" s="610"/>
      <c r="C2" s="610"/>
      <c r="D2" s="610"/>
      <c r="E2" s="610"/>
      <c r="F2" s="610"/>
      <c r="G2" s="610"/>
      <c r="H2" s="610"/>
      <c r="I2" s="610"/>
      <c r="J2" s="610"/>
      <c r="K2" s="610"/>
      <c r="L2" s="610"/>
      <c r="M2" s="201"/>
      <c r="N2" s="201"/>
    </row>
    <row r="3" spans="1:15" ht="12" customHeight="1" x14ac:dyDescent="0.2">
      <c r="G3" s="202"/>
    </row>
    <row r="4" spans="1:15" ht="12" x14ac:dyDescent="0.25">
      <c r="A4" s="203" t="s">
        <v>202</v>
      </c>
      <c r="B4" s="204">
        <v>2024</v>
      </c>
      <c r="C4" s="204">
        <f>Cifras_Originales!B5</f>
        <v>2023</v>
      </c>
      <c r="D4" s="204">
        <f>Cifras_Originales!C5</f>
        <v>2022</v>
      </c>
      <c r="E4" s="204">
        <f>Cifras_Originales!D5</f>
        <v>2021</v>
      </c>
      <c r="F4" s="204">
        <f>Cifras_Originales!E5</f>
        <v>2020</v>
      </c>
      <c r="G4" s="204">
        <f>Cifras_Originales!F5</f>
        <v>2019</v>
      </c>
      <c r="H4" s="204">
        <f>Cifras_Originales!G5</f>
        <v>2018</v>
      </c>
      <c r="I4" s="204">
        <f>Cifras_Originales!H5</f>
        <v>2017</v>
      </c>
      <c r="J4" s="204">
        <f>Cifras_Originales!I5</f>
        <v>2016</v>
      </c>
      <c r="K4" s="204">
        <f>Cifras_Originales!J5</f>
        <v>2015</v>
      </c>
      <c r="L4" s="204">
        <f>Cifras_Originales!K5</f>
        <v>2014</v>
      </c>
      <c r="M4" s="204">
        <f>Cifras_Originales!L5</f>
        <v>2013</v>
      </c>
      <c r="N4" s="204"/>
      <c r="O4" s="204"/>
    </row>
    <row r="5" spans="1:15" ht="12" customHeight="1" x14ac:dyDescent="0.25">
      <c r="A5" s="201" t="s">
        <v>203</v>
      </c>
      <c r="B5" s="205"/>
      <c r="C5" s="205">
        <f>Cifras_Originales!B6</f>
        <v>3622.3</v>
      </c>
      <c r="D5" s="205">
        <f>Cifras_Originales!C6</f>
        <v>2909.3</v>
      </c>
      <c r="E5" s="205">
        <f>Cifras_Originales!D6</f>
        <v>2448.5</v>
      </c>
      <c r="F5" s="205">
        <f>Cifras_Originales!E6</f>
        <v>1926.7</v>
      </c>
      <c r="G5" s="205">
        <f>Cifras_Originales!F6</f>
        <v>1476</v>
      </c>
      <c r="H5" s="205">
        <f>Cifras_Originales!G6</f>
        <v>1031.5999999999999</v>
      </c>
      <c r="I5" s="205">
        <f>Cifras_Originales!H6</f>
        <v>718.5</v>
      </c>
      <c r="J5" s="205">
        <f>Cifras_Originales!I6</f>
        <v>573.29999999999995</v>
      </c>
      <c r="K5" s="205">
        <f>Cifras_Originales!J6</f>
        <v>402</v>
      </c>
      <c r="L5" s="205">
        <f>Cifras_Originales!K6</f>
        <v>259.2</v>
      </c>
      <c r="M5" s="205">
        <f>Cifras_Originales!L6</f>
        <v>160</v>
      </c>
      <c r="N5" s="205"/>
      <c r="O5" s="205"/>
    </row>
    <row r="6" spans="1:15" ht="12" customHeight="1" x14ac:dyDescent="0.25">
      <c r="A6" s="201" t="s">
        <v>204</v>
      </c>
      <c r="B6" s="206">
        <f>B5/C5-1</f>
        <v>-1</v>
      </c>
      <c r="C6" s="206">
        <f>C5/D5-1</f>
        <v>0.24507613515278592</v>
      </c>
      <c r="D6" s="206">
        <f>D5/E5-1</f>
        <v>0.1881968552174802</v>
      </c>
      <c r="E6" s="206">
        <f t="shared" ref="E6:L6" si="0">E5/F5-1</f>
        <v>0.27082576426013394</v>
      </c>
      <c r="F6" s="206">
        <f t="shared" si="0"/>
        <v>0.30535230352303522</v>
      </c>
      <c r="G6" s="206">
        <f t="shared" si="0"/>
        <v>0.43078712679333098</v>
      </c>
      <c r="H6" s="206">
        <f t="shared" si="0"/>
        <v>0.43576896311760605</v>
      </c>
      <c r="I6" s="206">
        <f t="shared" si="0"/>
        <v>0.25327053898482488</v>
      </c>
      <c r="J6" s="206">
        <f t="shared" si="0"/>
        <v>0.42611940298507456</v>
      </c>
      <c r="K6" s="206">
        <f t="shared" si="0"/>
        <v>0.55092592592592604</v>
      </c>
      <c r="L6" s="206">
        <f t="shared" si="0"/>
        <v>0.61999999999999988</v>
      </c>
      <c r="M6" s="206"/>
      <c r="N6" s="206"/>
      <c r="O6" s="206"/>
    </row>
    <row r="7" spans="1:15" ht="12" customHeight="1" x14ac:dyDescent="0.25">
      <c r="A7" s="201" t="s">
        <v>205</v>
      </c>
      <c r="B7" s="205"/>
      <c r="C7" s="205">
        <f>Cifras_Originales!B7</f>
        <v>2288.9</v>
      </c>
      <c r="D7" s="205">
        <f>Cifras_Originales!C7</f>
        <v>1883.1</v>
      </c>
      <c r="E7" s="205">
        <f>Cifras_Originales!D7</f>
        <v>1680.5</v>
      </c>
      <c r="F7" s="205">
        <f>Cifras_Originales!E7</f>
        <v>1280.0999999999999</v>
      </c>
      <c r="G7" s="205">
        <f>Cifras_Originales!F7</f>
        <v>931.5</v>
      </c>
      <c r="H7" s="205">
        <f>Cifras_Originales!G7</f>
        <v>663.9</v>
      </c>
      <c r="I7" s="205">
        <f>Cifras_Originales!H7</f>
        <v>492.1</v>
      </c>
      <c r="J7" s="205">
        <f>Cifras_Originales!I7</f>
        <v>378.4</v>
      </c>
      <c r="K7" s="205">
        <f>Cifras_Originales!J7</f>
        <v>278.39999999999998</v>
      </c>
      <c r="L7" s="205">
        <f>Cifras_Originales!K7</f>
        <v>176.3</v>
      </c>
      <c r="M7" s="205">
        <f>Cifras_Originales!L7</f>
        <v>100.1</v>
      </c>
      <c r="N7" s="205"/>
      <c r="O7" s="205"/>
    </row>
    <row r="8" spans="1:15" ht="12" customHeight="1" x14ac:dyDescent="0.25">
      <c r="A8" s="201" t="s">
        <v>206</v>
      </c>
      <c r="B8" s="206" t="e">
        <f>B7/B5</f>
        <v>#DIV/0!</v>
      </c>
      <c r="C8" s="206">
        <f>C7/C5</f>
        <v>0.63189133975650824</v>
      </c>
      <c r="D8" s="206">
        <f>D7/D5</f>
        <v>0.64726910253325531</v>
      </c>
      <c r="E8" s="206">
        <f t="shared" ref="E8:M8" si="1">E7/E5</f>
        <v>0.68633857463753323</v>
      </c>
      <c r="F8" s="206">
        <f t="shared" si="1"/>
        <v>0.66440026989152434</v>
      </c>
      <c r="G8" s="206">
        <f t="shared" si="1"/>
        <v>0.63109756097560976</v>
      </c>
      <c r="H8" s="206">
        <f t="shared" si="1"/>
        <v>0.64356339666537421</v>
      </c>
      <c r="I8" s="206">
        <f t="shared" si="1"/>
        <v>0.6848990953375087</v>
      </c>
      <c r="J8" s="206">
        <f t="shared" si="1"/>
        <v>0.66003837432408863</v>
      </c>
      <c r="K8" s="206">
        <f t="shared" si="1"/>
        <v>0.69253731343283575</v>
      </c>
      <c r="L8" s="206">
        <f t="shared" si="1"/>
        <v>0.6801697530864198</v>
      </c>
      <c r="M8" s="206">
        <f t="shared" si="1"/>
        <v>0.62562499999999999</v>
      </c>
      <c r="N8" s="206"/>
      <c r="O8" s="206"/>
    </row>
    <row r="9" spans="1:15" ht="12" customHeight="1" x14ac:dyDescent="0.25">
      <c r="A9" s="201" t="s">
        <v>207</v>
      </c>
      <c r="B9" s="205">
        <f>B5-B11</f>
        <v>0</v>
      </c>
      <c r="C9" s="205">
        <f>C5-C11</f>
        <v>3024.6000000000004</v>
      </c>
      <c r="D9" s="205">
        <f>D5-D11</f>
        <v>2518.1000000000004</v>
      </c>
      <c r="E9" s="205">
        <f t="shared" ref="E9:M9" si="2">E5-E11</f>
        <v>2182.6999999999998</v>
      </c>
      <c r="F9" s="205">
        <f t="shared" si="2"/>
        <v>1627.2</v>
      </c>
      <c r="G9" s="205">
        <f t="shared" si="2"/>
        <v>1333.7</v>
      </c>
      <c r="H9" s="205">
        <f t="shared" si="2"/>
        <v>1217.8999999999999</v>
      </c>
      <c r="I9" s="205">
        <f t="shared" si="2"/>
        <v>761</v>
      </c>
      <c r="J9" s="205">
        <f t="shared" si="2"/>
        <v>637.19999999999993</v>
      </c>
      <c r="K9" s="205">
        <f t="shared" si="2"/>
        <v>459.1</v>
      </c>
      <c r="L9" s="205">
        <f t="shared" si="2"/>
        <v>280.7</v>
      </c>
      <c r="M9" s="205">
        <f t="shared" si="2"/>
        <v>188.9</v>
      </c>
      <c r="N9" s="205"/>
      <c r="O9" s="205"/>
    </row>
    <row r="10" spans="1:15" ht="12" customHeight="1" x14ac:dyDescent="0.25">
      <c r="A10" s="201" t="s">
        <v>206</v>
      </c>
      <c r="B10" s="206" t="e">
        <f>B9/B5</f>
        <v>#DIV/0!</v>
      </c>
      <c r="C10" s="206">
        <f>C9/C5</f>
        <v>0.83499434061231825</v>
      </c>
      <c r="D10" s="206">
        <f>D9/D5</f>
        <v>0.86553466469597506</v>
      </c>
      <c r="E10" s="206">
        <f t="shared" ref="E10:M10" si="3">E9/E5</f>
        <v>0.89144374106595869</v>
      </c>
      <c r="F10" s="206">
        <f t="shared" si="3"/>
        <v>0.84455286240722482</v>
      </c>
      <c r="G10" s="206">
        <f t="shared" si="3"/>
        <v>0.90359078590785913</v>
      </c>
      <c r="H10" s="206">
        <f t="shared" si="3"/>
        <v>1.1805932531989143</v>
      </c>
      <c r="I10" s="206">
        <f t="shared" si="3"/>
        <v>1.059151009046625</v>
      </c>
      <c r="J10" s="206">
        <f t="shared" si="3"/>
        <v>1.1114599686028257</v>
      </c>
      <c r="K10" s="206">
        <f t="shared" si="3"/>
        <v>1.142039800995025</v>
      </c>
      <c r="L10" s="206">
        <f t="shared" si="3"/>
        <v>1.0829475308641976</v>
      </c>
      <c r="M10" s="206">
        <f t="shared" si="3"/>
        <v>1.180625</v>
      </c>
      <c r="N10" s="206"/>
      <c r="O10" s="206"/>
    </row>
    <row r="11" spans="1:15" ht="12" customHeight="1" x14ac:dyDescent="0.25">
      <c r="A11" s="201" t="s">
        <v>208</v>
      </c>
      <c r="B11" s="205"/>
      <c r="C11" s="205">
        <f>Cifras_Originales!B8</f>
        <v>597.70000000000005</v>
      </c>
      <c r="D11" s="205">
        <f>Cifras_Originales!C8</f>
        <v>391.2</v>
      </c>
      <c r="E11" s="205">
        <f>Cifras_Originales!D8</f>
        <v>265.8</v>
      </c>
      <c r="F11" s="205">
        <f>Cifras_Originales!E8</f>
        <v>299.5</v>
      </c>
      <c r="G11" s="205">
        <f>Cifras_Originales!F8</f>
        <v>142.30000000000001</v>
      </c>
      <c r="H11" s="205">
        <f>Cifras_Originales!G8</f>
        <v>-186.3</v>
      </c>
      <c r="I11" s="205">
        <f>Cifras_Originales!H8</f>
        <v>-42.5</v>
      </c>
      <c r="J11" s="205">
        <f>Cifras_Originales!I8</f>
        <v>-63.9</v>
      </c>
      <c r="K11" s="205">
        <f>Cifras_Originales!J8</f>
        <v>-57.1</v>
      </c>
      <c r="L11" s="205">
        <f>Cifras_Originales!K8</f>
        <v>-21.5</v>
      </c>
      <c r="M11" s="205">
        <f>Cifras_Originales!L8</f>
        <v>-28.9</v>
      </c>
      <c r="N11" s="205"/>
      <c r="O11" s="205"/>
    </row>
    <row r="12" spans="1:15" ht="12" customHeight="1" x14ac:dyDescent="0.25">
      <c r="A12" s="201" t="s">
        <v>206</v>
      </c>
      <c r="B12" s="206" t="e">
        <f>B11/B5</f>
        <v>#DIV/0!</v>
      </c>
      <c r="C12" s="206">
        <f>C11/C5</f>
        <v>0.16500565938768186</v>
      </c>
      <c r="D12" s="206">
        <f>D11/D5</f>
        <v>0.13446533530402502</v>
      </c>
      <c r="E12" s="206">
        <f t="shared" ref="E12:M12" si="4">E11/E5</f>
        <v>0.10855625893404125</v>
      </c>
      <c r="F12" s="206">
        <f t="shared" si="4"/>
        <v>0.1554471375927752</v>
      </c>
      <c r="G12" s="206">
        <f t="shared" si="4"/>
        <v>9.6409214092140927E-2</v>
      </c>
      <c r="H12" s="206">
        <f t="shared" si="4"/>
        <v>-0.18059325319891434</v>
      </c>
      <c r="I12" s="206">
        <f t="shared" si="4"/>
        <v>-5.915100904662491E-2</v>
      </c>
      <c r="J12" s="206">
        <f t="shared" si="4"/>
        <v>-0.11145996860282575</v>
      </c>
      <c r="K12" s="206">
        <f t="shared" si="4"/>
        <v>-0.14203980099502489</v>
      </c>
      <c r="L12" s="206">
        <f t="shared" si="4"/>
        <v>-8.2947530864197538E-2</v>
      </c>
      <c r="M12" s="206">
        <f t="shared" si="4"/>
        <v>-0.18062499999999998</v>
      </c>
      <c r="N12" s="206"/>
      <c r="O12" s="206"/>
    </row>
    <row r="13" spans="1:15" ht="12" customHeight="1" x14ac:dyDescent="0.25">
      <c r="A13" s="201" t="s">
        <v>209</v>
      </c>
      <c r="B13" s="207">
        <f>B11/C11-1</f>
        <v>-1</v>
      </c>
      <c r="C13" s="207">
        <f>C11/D11-1</f>
        <v>0.52786298568507184</v>
      </c>
      <c r="D13" s="207">
        <f>D11/E11-1</f>
        <v>0.47178329571106081</v>
      </c>
      <c r="E13" s="207">
        <f t="shared" ref="E13:L13" si="5">E11/F11-1</f>
        <v>-0.11252086811352247</v>
      </c>
      <c r="F13" s="207">
        <f t="shared" si="5"/>
        <v>1.1047083626141951</v>
      </c>
      <c r="G13" s="207">
        <f t="shared" si="5"/>
        <v>-1.7638217928073001</v>
      </c>
      <c r="H13" s="207">
        <f t="shared" si="5"/>
        <v>3.3835294117647061</v>
      </c>
      <c r="I13" s="207">
        <f t="shared" si="5"/>
        <v>-0.33489827856025034</v>
      </c>
      <c r="J13" s="207">
        <f t="shared" si="5"/>
        <v>0.11908931698774072</v>
      </c>
      <c r="K13" s="207">
        <f t="shared" si="5"/>
        <v>1.655813953488372</v>
      </c>
      <c r="L13" s="207">
        <f t="shared" si="5"/>
        <v>-0.25605536332179923</v>
      </c>
      <c r="M13" s="207"/>
      <c r="N13" s="207"/>
      <c r="O13" s="207"/>
    </row>
    <row r="14" spans="1:15" ht="12" customHeight="1" x14ac:dyDescent="0.25">
      <c r="A14" s="201" t="s">
        <v>210</v>
      </c>
      <c r="B14" s="205"/>
      <c r="C14" s="205">
        <f>Cifras_Originales!B9</f>
        <v>-114.7</v>
      </c>
      <c r="D14" s="205">
        <f>Cifras_Originales!C9</f>
        <v>6</v>
      </c>
      <c r="E14" s="205">
        <f>Cifras_Originales!D9</f>
        <v>17.100000000000001</v>
      </c>
      <c r="F14" s="205">
        <f>Cifras_Originales!E9</f>
        <v>1.6</v>
      </c>
      <c r="G14" s="205">
        <f>Cifras_Originales!F9</f>
        <v>33.9</v>
      </c>
      <c r="H14" s="205">
        <f>Cifras_Originales!G9</f>
        <v>20.3</v>
      </c>
      <c r="I14" s="205">
        <f>Cifras_Originales!H9</f>
        <v>9.5</v>
      </c>
      <c r="J14" s="205">
        <f>Cifras_Originales!I9</f>
        <v>0.3</v>
      </c>
      <c r="K14" s="205">
        <f>Cifras_Originales!J9</f>
        <v>0.4</v>
      </c>
      <c r="L14" s="205">
        <f>Cifras_Originales!K9</f>
        <v>0.8</v>
      </c>
      <c r="M14" s="205">
        <f>Cifras_Originales!L9</f>
        <v>0.9</v>
      </c>
      <c r="N14" s="205"/>
      <c r="O14" s="205"/>
    </row>
    <row r="15" spans="1:15" ht="12" customHeight="1" x14ac:dyDescent="0.25">
      <c r="A15" s="201" t="s">
        <v>211</v>
      </c>
      <c r="B15" s="205"/>
      <c r="C15" s="205">
        <f>Cifras_Originales!B10</f>
        <v>2</v>
      </c>
      <c r="D15" s="205">
        <f>Cifras_Originales!C10</f>
        <v>-5.6</v>
      </c>
      <c r="E15" s="205">
        <f>Cifras_Originales!D10</f>
        <v>-8.1</v>
      </c>
      <c r="F15" s="205">
        <f>Cifras_Originales!E10</f>
        <v>0</v>
      </c>
      <c r="G15" s="205">
        <f>Cifras_Originales!F10</f>
        <v>4.2</v>
      </c>
      <c r="H15" s="205">
        <f>Cifras_Originales!G10</f>
        <v>-80.099999999999994</v>
      </c>
      <c r="I15" s="205">
        <f>Cifras_Originales!H10</f>
        <v>-3.4</v>
      </c>
      <c r="J15" s="205">
        <f>Cifras_Originales!I10</f>
        <v>0.7</v>
      </c>
      <c r="K15" s="205">
        <f>Cifras_Originales!J10</f>
        <v>0</v>
      </c>
      <c r="L15" s="205">
        <f>Cifras_Originales!K10</f>
        <v>0</v>
      </c>
      <c r="M15" s="205">
        <f>Cifras_Originales!L10</f>
        <v>0</v>
      </c>
      <c r="N15" s="205"/>
      <c r="O15" s="205"/>
    </row>
    <row r="16" spans="1:15" ht="12" customHeight="1" x14ac:dyDescent="0.25">
      <c r="A16" s="201" t="s">
        <v>212</v>
      </c>
      <c r="B16" s="205">
        <f>B11-B14-B15</f>
        <v>0</v>
      </c>
      <c r="C16" s="205">
        <f>C11-C14-C15</f>
        <v>710.40000000000009</v>
      </c>
      <c r="D16" s="205">
        <f>D11-D14-D15</f>
        <v>390.8</v>
      </c>
      <c r="E16" s="205">
        <f t="shared" ref="E16:M16" si="6">E11-E14-E15</f>
        <v>256.8</v>
      </c>
      <c r="F16" s="205">
        <f t="shared" si="6"/>
        <v>297.89999999999998</v>
      </c>
      <c r="G16" s="205">
        <f t="shared" si="6"/>
        <v>104.2</v>
      </c>
      <c r="H16" s="205">
        <f t="shared" si="6"/>
        <v>-126.50000000000003</v>
      </c>
      <c r="I16" s="205">
        <f t="shared" si="6"/>
        <v>-48.6</v>
      </c>
      <c r="J16" s="205">
        <f t="shared" si="6"/>
        <v>-64.900000000000006</v>
      </c>
      <c r="K16" s="205">
        <f t="shared" si="6"/>
        <v>-57.5</v>
      </c>
      <c r="L16" s="205">
        <f t="shared" si="6"/>
        <v>-22.3</v>
      </c>
      <c r="M16" s="205">
        <f t="shared" si="6"/>
        <v>-29.799999999999997</v>
      </c>
      <c r="N16" s="205"/>
      <c r="O16" s="205"/>
    </row>
    <row r="17" spans="1:15" ht="12" customHeight="1" x14ac:dyDescent="0.25">
      <c r="A17" s="201" t="s">
        <v>213</v>
      </c>
      <c r="B17" s="205"/>
      <c r="C17" s="205">
        <f>Cifras_Originales!B11</f>
        <v>202.5</v>
      </c>
      <c r="D17" s="205">
        <f>Cifras_Originales!C11</f>
        <v>172.3</v>
      </c>
      <c r="E17" s="205">
        <f>Cifras_Originales!D11</f>
        <v>120</v>
      </c>
      <c r="F17" s="205">
        <f>Cifras_Originales!E11</f>
        <v>67.099999999999994</v>
      </c>
      <c r="G17" s="205">
        <f>Cifras_Originales!F11</f>
        <v>48.7</v>
      </c>
      <c r="H17" s="205">
        <f>Cifras_Originales!G11</f>
        <v>29.1</v>
      </c>
      <c r="I17" s="205">
        <f>Cifras_Originales!H11</f>
        <v>16.100000000000001</v>
      </c>
      <c r="J17" s="205">
        <f>Cifras_Originales!I11</f>
        <v>15</v>
      </c>
      <c r="K17" s="205">
        <f>Cifras_Originales!J11</f>
        <v>10.8</v>
      </c>
      <c r="L17" s="205">
        <f>Cifras_Originales!K11</f>
        <v>8.4</v>
      </c>
      <c r="M17" s="205">
        <f>Cifras_Originales!L11</f>
        <v>7</v>
      </c>
      <c r="N17" s="205"/>
      <c r="O17" s="205"/>
    </row>
    <row r="18" spans="1:15" ht="12" customHeight="1" x14ac:dyDescent="0.25">
      <c r="A18" s="201" t="s">
        <v>214</v>
      </c>
      <c r="B18" s="205"/>
      <c r="C18" s="205">
        <f>Cifras_Originales!B12</f>
        <v>2869.8999999999996</v>
      </c>
      <c r="D18" s="205">
        <f>Cifras_Originales!C12</f>
        <v>1829.5000000000002</v>
      </c>
      <c r="E18" s="205">
        <f>Cifras_Originales!D12</f>
        <v>2963.6000000000004</v>
      </c>
      <c r="F18" s="205">
        <f>Cifras_Originales!E12</f>
        <v>2810.7000000000003</v>
      </c>
      <c r="G18" s="205">
        <f>Cifras_Originales!F12</f>
        <v>1609.2</v>
      </c>
      <c r="H18" s="205">
        <f>Cifras_Originales!G12</f>
        <v>1477.1</v>
      </c>
      <c r="I18" s="205">
        <f>Cifras_Originales!H12</f>
        <v>605.80000000000007</v>
      </c>
      <c r="J18" s="205">
        <f>Cifras_Originales!I12</f>
        <v>177.6</v>
      </c>
      <c r="K18" s="205">
        <f>Cifras_Originales!J12</f>
        <v>164.4</v>
      </c>
      <c r="L18" s="205">
        <f>Cifras_Originales!K12</f>
        <v>105.30000000000001</v>
      </c>
      <c r="M18" s="205">
        <f>Cifras_Originales!L12</f>
        <v>60.999999999999993</v>
      </c>
      <c r="N18" s="205"/>
      <c r="O18" s="205"/>
    </row>
    <row r="19" spans="1:15" ht="12" customHeight="1" x14ac:dyDescent="0.25">
      <c r="A19" s="201" t="s">
        <v>215</v>
      </c>
      <c r="B19" s="205">
        <f>B11-B15+B17</f>
        <v>0</v>
      </c>
      <c r="C19" s="205">
        <f>C11-C15+C17</f>
        <v>798.2</v>
      </c>
      <c r="D19" s="205">
        <f>D11-D15+D17</f>
        <v>569.1</v>
      </c>
      <c r="E19" s="205">
        <f t="shared" ref="E19:M19" si="7">E11-E15+E17</f>
        <v>393.90000000000003</v>
      </c>
      <c r="F19" s="205">
        <f t="shared" si="7"/>
        <v>366.6</v>
      </c>
      <c r="G19" s="205">
        <f t="shared" si="7"/>
        <v>186.8</v>
      </c>
      <c r="H19" s="205">
        <f t="shared" si="7"/>
        <v>-77.100000000000023</v>
      </c>
      <c r="I19" s="205">
        <f t="shared" si="7"/>
        <v>-23</v>
      </c>
      <c r="J19" s="205">
        <f t="shared" si="7"/>
        <v>-49.599999999999994</v>
      </c>
      <c r="K19" s="205">
        <f t="shared" si="7"/>
        <v>-46.3</v>
      </c>
      <c r="L19" s="205">
        <f t="shared" si="7"/>
        <v>-13.1</v>
      </c>
      <c r="M19" s="205">
        <f t="shared" si="7"/>
        <v>-21.9</v>
      </c>
      <c r="N19" s="205"/>
      <c r="O19" s="205"/>
    </row>
    <row r="20" spans="1:15" ht="13.2" x14ac:dyDescent="0.25">
      <c r="A20" s="201" t="s">
        <v>206</v>
      </c>
      <c r="B20" s="206" t="e">
        <f>B19/B5</f>
        <v>#DIV/0!</v>
      </c>
      <c r="C20" s="206">
        <f>C19/C5</f>
        <v>0.22035723159318665</v>
      </c>
      <c r="D20" s="206">
        <f>D19/D5</f>
        <v>0.19561406523906094</v>
      </c>
      <c r="E20" s="206">
        <f t="shared" ref="E20:M20" si="8">E19/E5</f>
        <v>0.16087400449254646</v>
      </c>
      <c r="F20" s="206">
        <f t="shared" si="8"/>
        <v>0.19027352467950381</v>
      </c>
      <c r="G20" s="206">
        <f t="shared" si="8"/>
        <v>0.12655826558265584</v>
      </c>
      <c r="H20" s="206">
        <f t="shared" si="8"/>
        <v>-7.4738270647537838E-2</v>
      </c>
      <c r="I20" s="206">
        <f t="shared" si="8"/>
        <v>-3.2011134307585246E-2</v>
      </c>
      <c r="J20" s="206">
        <f t="shared" si="8"/>
        <v>-8.6516657945229364E-2</v>
      </c>
      <c r="K20" s="206">
        <f t="shared" si="8"/>
        <v>-0.11517412935323382</v>
      </c>
      <c r="L20" s="206">
        <f t="shared" si="8"/>
        <v>-5.0540123456790126E-2</v>
      </c>
      <c r="M20" s="206">
        <f t="shared" si="8"/>
        <v>-0.136875</v>
      </c>
      <c r="N20" s="206"/>
      <c r="O20" s="206"/>
    </row>
    <row r="21" spans="1:15" ht="12" customHeight="1" x14ac:dyDescent="0.25">
      <c r="A21" s="201" t="s">
        <v>216</v>
      </c>
      <c r="B21" s="205"/>
      <c r="C21" s="205">
        <f>Cifras_Originales!B15</f>
        <v>168.9</v>
      </c>
      <c r="D21" s="205">
        <f>Cifras_Originales!C15</f>
        <v>49.6</v>
      </c>
      <c r="E21" s="205">
        <f>Cifras_Originales!D15</f>
        <v>39.9</v>
      </c>
      <c r="F21" s="205">
        <f>Cifras_Originales!E15</f>
        <v>-251.8</v>
      </c>
      <c r="G21" s="205">
        <f>Cifras_Originales!F15</f>
        <v>3.1</v>
      </c>
      <c r="H21" s="205">
        <f>Cifras_Originales!G15</f>
        <v>0.6</v>
      </c>
      <c r="I21" s="205">
        <f>Cifras_Originales!H15</f>
        <v>1.6</v>
      </c>
      <c r="J21" s="205">
        <f>Cifras_Originales!I15</f>
        <v>0.7</v>
      </c>
      <c r="K21" s="205">
        <f>Cifras_Originales!J15</f>
        <v>0.1</v>
      </c>
      <c r="L21" s="205">
        <f>Cifras_Originales!K15</f>
        <v>0.1</v>
      </c>
      <c r="M21" s="205">
        <f>Cifras_Originales!L15</f>
        <v>0</v>
      </c>
      <c r="N21" s="205"/>
      <c r="O21" s="205"/>
    </row>
    <row r="22" spans="1:15" ht="12" customHeight="1" x14ac:dyDescent="0.25">
      <c r="A22" s="201" t="s">
        <v>217</v>
      </c>
      <c r="B22" s="208" t="e">
        <f>+B21/B16</f>
        <v>#DIV/0!</v>
      </c>
      <c r="C22" s="208">
        <f>+C21/C16</f>
        <v>0.23775337837837834</v>
      </c>
      <c r="D22" s="208">
        <f>+D21/D16</f>
        <v>0.12691914022517911</v>
      </c>
      <c r="E22" s="208">
        <f t="shared" ref="E22:M22" si="9">+E21/E16</f>
        <v>0.15537383177570091</v>
      </c>
      <c r="F22" s="208">
        <f t="shared" si="9"/>
        <v>-0.84525008392077894</v>
      </c>
      <c r="G22" s="208">
        <f t="shared" si="9"/>
        <v>2.9750479846449136E-2</v>
      </c>
      <c r="H22" s="208">
        <f t="shared" si="9"/>
        <v>-4.7430830039525678E-3</v>
      </c>
      <c r="I22" s="208">
        <f t="shared" si="9"/>
        <v>-3.292181069958848E-2</v>
      </c>
      <c r="J22" s="208">
        <f t="shared" si="9"/>
        <v>-1.0785824345146378E-2</v>
      </c>
      <c r="K22" s="208">
        <f t="shared" si="9"/>
        <v>-1.7391304347826088E-3</v>
      </c>
      <c r="L22" s="208">
        <f t="shared" si="9"/>
        <v>-4.4843049327354259E-3</v>
      </c>
      <c r="M22" s="208">
        <f t="shared" si="9"/>
        <v>0</v>
      </c>
      <c r="N22" s="208"/>
      <c r="O22" s="208"/>
    </row>
    <row r="23" spans="1:15" ht="12" customHeight="1" x14ac:dyDescent="0.25">
      <c r="A23" s="201" t="s">
        <v>41</v>
      </c>
      <c r="B23" s="205"/>
      <c r="C23" s="205">
        <f>Cifras_Originales!B16</f>
        <v>541.5</v>
      </c>
      <c r="D23" s="205">
        <f>Cifras_Originales!C16</f>
        <v>341.2</v>
      </c>
      <c r="E23" s="205">
        <f>Cifras_Originales!D16</f>
        <v>216.9</v>
      </c>
      <c r="F23" s="205">
        <f>Cifras_Originales!E16</f>
        <v>549.70000000000005</v>
      </c>
      <c r="G23" s="205">
        <f>Cifras_Originales!F16</f>
        <v>101.1</v>
      </c>
      <c r="H23" s="205">
        <f>Cifras_Originales!G16</f>
        <v>-127.1</v>
      </c>
      <c r="I23" s="205">
        <f>Cifras_Originales!H16</f>
        <v>-50.2</v>
      </c>
      <c r="J23" s="205">
        <f>Cifras_Originales!I16</f>
        <v>-65.599999999999994</v>
      </c>
      <c r="K23" s="205">
        <f>Cifras_Originales!J16</f>
        <v>-57.6</v>
      </c>
      <c r="L23" s="205">
        <f>Cifras_Originales!K16</f>
        <v>-22.4</v>
      </c>
      <c r="M23" s="205">
        <f>Cifras_Originales!L16</f>
        <v>-29.8</v>
      </c>
      <c r="N23" s="205"/>
      <c r="O23" s="205"/>
    </row>
    <row r="24" spans="1:15" ht="12" customHeight="1" x14ac:dyDescent="0.25">
      <c r="A24" s="201" t="s">
        <v>206</v>
      </c>
      <c r="B24" s="206" t="e">
        <f>B23/B5</f>
        <v>#DIV/0!</v>
      </c>
      <c r="C24" s="206">
        <f>C23/C5</f>
        <v>0.14949065510863263</v>
      </c>
      <c r="D24" s="206">
        <f>D23/D5</f>
        <v>0.11727907056680301</v>
      </c>
      <c r="E24" s="206">
        <f t="shared" ref="E24:M24" si="10">E23/E5</f>
        <v>8.8584847866040442E-2</v>
      </c>
      <c r="F24" s="206">
        <f t="shared" si="10"/>
        <v>0.28530648258680646</v>
      </c>
      <c r="G24" s="206">
        <f t="shared" si="10"/>
        <v>6.8495934959349594E-2</v>
      </c>
      <c r="H24" s="206">
        <f t="shared" si="10"/>
        <v>-0.12320666925164793</v>
      </c>
      <c r="I24" s="206">
        <f t="shared" si="10"/>
        <v>-6.9867780097425197E-2</v>
      </c>
      <c r="J24" s="206">
        <f t="shared" si="10"/>
        <v>-0.11442525728240013</v>
      </c>
      <c r="K24" s="206">
        <f t="shared" si="10"/>
        <v>-0.14328358208955225</v>
      </c>
      <c r="L24" s="206">
        <f t="shared" si="10"/>
        <v>-8.6419753086419748E-2</v>
      </c>
      <c r="M24" s="206">
        <f t="shared" si="10"/>
        <v>-0.18625</v>
      </c>
      <c r="N24" s="206"/>
      <c r="O24" s="206"/>
    </row>
    <row r="25" spans="1:15" ht="12" customHeight="1" x14ac:dyDescent="0.25">
      <c r="A25" s="209" t="s">
        <v>218</v>
      </c>
      <c r="B25" s="210">
        <f>B23/C23-1</f>
        <v>-1</v>
      </c>
      <c r="C25" s="210">
        <f>C23/D23-1</f>
        <v>0.58704572098475971</v>
      </c>
      <c r="D25" s="210">
        <f>D23/E23-1</f>
        <v>0.57307514983863528</v>
      </c>
      <c r="E25" s="210">
        <f t="shared" ref="E25:L25" si="11">E23/F23-1</f>
        <v>-0.60542113880298354</v>
      </c>
      <c r="F25" s="210">
        <f t="shared" si="11"/>
        <v>4.4371909000989129</v>
      </c>
      <c r="G25" s="210">
        <f t="shared" si="11"/>
        <v>-1.7954366640440598</v>
      </c>
      <c r="H25" s="210">
        <f t="shared" si="11"/>
        <v>1.5318725099601589</v>
      </c>
      <c r="I25" s="210">
        <f t="shared" si="11"/>
        <v>-0.23475609756097549</v>
      </c>
      <c r="J25" s="210">
        <f t="shared" si="11"/>
        <v>0.13888888888888884</v>
      </c>
      <c r="K25" s="210">
        <f t="shared" si="11"/>
        <v>1.5714285714285716</v>
      </c>
      <c r="L25" s="210">
        <f t="shared" si="11"/>
        <v>-0.2483221476510068</v>
      </c>
      <c r="M25" s="210"/>
      <c r="N25" s="206"/>
      <c r="O25" s="206"/>
    </row>
    <row r="26" spans="1:15" ht="12" customHeight="1" x14ac:dyDescent="0.25">
      <c r="A26" s="201" t="s">
        <v>219</v>
      </c>
      <c r="B26" s="205">
        <f>B40-C40</f>
        <v>-2724.1</v>
      </c>
      <c r="C26" s="205">
        <f>C40-D40</f>
        <v>267.90000000000009</v>
      </c>
      <c r="D26" s="205">
        <f>D40-E40</f>
        <v>-275</v>
      </c>
      <c r="E26" s="205">
        <f t="shared" ref="E26:K26" si="12">E40-F40</f>
        <v>23.5</v>
      </c>
      <c r="F26" s="205">
        <f>F40-G40</f>
        <v>1174.3999999999999</v>
      </c>
      <c r="G26" s="205">
        <f t="shared" si="12"/>
        <v>147.70000000000005</v>
      </c>
      <c r="H26" s="205">
        <f t="shared" si="12"/>
        <v>836.99999999999989</v>
      </c>
      <c r="I26" s="205">
        <f t="shared" si="12"/>
        <v>424.90000000000003</v>
      </c>
      <c r="J26" s="205">
        <f t="shared" si="12"/>
        <v>8.5</v>
      </c>
      <c r="K26" s="205">
        <f t="shared" si="12"/>
        <v>31.600000000000009</v>
      </c>
      <c r="L26" s="205">
        <f>L40-M40</f>
        <v>28.999999999999993</v>
      </c>
      <c r="M26" s="205">
        <f>M40-Cifras_Originales!M22</f>
        <v>5.8999999999999986</v>
      </c>
      <c r="N26" s="206"/>
      <c r="O26" s="206"/>
    </row>
    <row r="27" spans="1:15" ht="12" customHeight="1" x14ac:dyDescent="0.25">
      <c r="A27" s="211" t="s">
        <v>220</v>
      </c>
      <c r="B27" s="212"/>
      <c r="C27" s="212">
        <f>Cifras_Originales!B17</f>
        <v>0</v>
      </c>
      <c r="D27" s="212">
        <f>Cifras_Originales!C17</f>
        <v>0</v>
      </c>
      <c r="E27" s="212">
        <f>Cifras_Originales!D17</f>
        <v>0</v>
      </c>
      <c r="F27" s="212">
        <f>Cifras_Originales!E17</f>
        <v>0</v>
      </c>
      <c r="G27" s="212">
        <f>Cifras_Originales!F17</f>
        <v>0</v>
      </c>
      <c r="H27" s="212">
        <f>Cifras_Originales!G17</f>
        <v>0</v>
      </c>
      <c r="I27" s="212">
        <f>Cifras_Originales!H17</f>
        <v>0</v>
      </c>
      <c r="J27" s="212">
        <f>Cifras_Originales!I17</f>
        <v>0</v>
      </c>
      <c r="K27" s="212">
        <f>Cifras_Originales!J17</f>
        <v>0</v>
      </c>
      <c r="L27" s="212">
        <f>Cifras_Originales!K17</f>
        <v>0</v>
      </c>
      <c r="M27" s="212">
        <f>Cifras_Originales!L17</f>
        <v>0</v>
      </c>
      <c r="N27" s="206"/>
      <c r="O27" s="206"/>
    </row>
    <row r="28" spans="1:15" ht="12" customHeight="1" x14ac:dyDescent="0.25">
      <c r="A28" s="357"/>
      <c r="B28" s="358"/>
      <c r="C28" s="358"/>
      <c r="D28" s="358"/>
      <c r="E28" s="358"/>
      <c r="F28" s="358"/>
      <c r="G28" s="358"/>
      <c r="H28" s="358"/>
      <c r="I28" s="358"/>
      <c r="J28" s="358"/>
      <c r="K28" s="358"/>
      <c r="L28" s="358"/>
      <c r="M28" s="205"/>
      <c r="N28" s="206"/>
      <c r="O28" s="206"/>
    </row>
    <row r="29" spans="1:15" ht="12" customHeight="1" x14ac:dyDescent="0.25">
      <c r="A29" s="213" t="s">
        <v>221</v>
      </c>
      <c r="B29" s="214"/>
      <c r="C29" s="214">
        <f>Cifras_Originales!B18</f>
        <v>-662.1</v>
      </c>
      <c r="D29" s="214">
        <f>Cifras_Originales!C18</f>
        <v>-535.20000000000005</v>
      </c>
      <c r="E29" s="214">
        <f>Cifras_Originales!D18</f>
        <v>20.3</v>
      </c>
      <c r="F29" s="214">
        <f>Cifras_Originales!E18</f>
        <v>15.3</v>
      </c>
      <c r="G29" s="214">
        <f>Cifras_Originales!F18</f>
        <v>11.9</v>
      </c>
      <c r="H29" s="214">
        <f>Cifras_Originales!G18</f>
        <v>-89.2</v>
      </c>
      <c r="I29" s="214">
        <f>Cifras_Originales!H18</f>
        <v>10.1</v>
      </c>
      <c r="J29" s="214">
        <f>Cifras_Originales!I18</f>
        <v>10.4</v>
      </c>
      <c r="K29" s="214">
        <f>Cifras_Originales!J18</f>
        <v>19.100000000000001</v>
      </c>
      <c r="L29" s="214">
        <f>Cifras_Originales!K18</f>
        <v>24</v>
      </c>
      <c r="M29" s="214">
        <f>Cifras_Originales!L18</f>
        <v>12</v>
      </c>
      <c r="N29" s="206"/>
      <c r="O29" s="206"/>
    </row>
    <row r="30" spans="1:15" ht="12" customHeight="1" x14ac:dyDescent="0.25">
      <c r="A30" s="201" t="s">
        <v>12</v>
      </c>
      <c r="B30" s="205">
        <f>SUM(B26:B29)</f>
        <v>-2724.1</v>
      </c>
      <c r="C30" s="205">
        <f>SUM(C26:C29)</f>
        <v>-394.19999999999993</v>
      </c>
      <c r="D30" s="205">
        <f>SUM(D26:D29)</f>
        <v>-810.2</v>
      </c>
      <c r="E30" s="205">
        <f t="shared" ref="E30:K30" si="13">SUM(E26:E29)</f>
        <v>43.8</v>
      </c>
      <c r="F30" s="205">
        <f>SUM(F26:F29)</f>
        <v>1189.6999999999998</v>
      </c>
      <c r="G30" s="205">
        <f t="shared" si="13"/>
        <v>159.60000000000005</v>
      </c>
      <c r="H30" s="205">
        <f t="shared" si="13"/>
        <v>747.79999999999984</v>
      </c>
      <c r="I30" s="205">
        <f t="shared" si="13"/>
        <v>435.00000000000006</v>
      </c>
      <c r="J30" s="205">
        <f t="shared" si="13"/>
        <v>18.899999999999999</v>
      </c>
      <c r="K30" s="205">
        <f t="shared" si="13"/>
        <v>50.70000000000001</v>
      </c>
      <c r="L30" s="205">
        <f>SUM(L26:L29)</f>
        <v>52.999999999999993</v>
      </c>
      <c r="M30" s="205">
        <f>SUM(M26:M29)</f>
        <v>17.899999999999999</v>
      </c>
      <c r="N30" s="206"/>
      <c r="O30" s="206"/>
    </row>
    <row r="31" spans="1:15" ht="12" customHeight="1" x14ac:dyDescent="0.25">
      <c r="A31" s="215" t="s">
        <v>222</v>
      </c>
      <c r="B31" s="216">
        <f>B30-(B60-C60)</f>
        <v>39.099999999999909</v>
      </c>
      <c r="C31" s="216">
        <f>C30-(C60-D60)</f>
        <v>-829.29999999999984</v>
      </c>
      <c r="D31" s="216">
        <f>D30-(D60-E60)</f>
        <v>-797.7</v>
      </c>
      <c r="E31" s="216">
        <f t="shared" ref="E31:M31" si="14">E30-(E60-F60)</f>
        <v>-267.40000000000003</v>
      </c>
      <c r="F31" s="216">
        <f t="shared" si="14"/>
        <v>422</v>
      </c>
      <c r="G31" s="216">
        <f t="shared" si="14"/>
        <v>-91.80000000000004</v>
      </c>
      <c r="H31" s="216">
        <f t="shared" si="14"/>
        <v>65.099999999999909</v>
      </c>
      <c r="I31" s="216">
        <f t="shared" si="14"/>
        <v>107.40000000000003</v>
      </c>
      <c r="J31" s="216">
        <f t="shared" si="14"/>
        <v>21.2</v>
      </c>
      <c r="K31" s="216">
        <f t="shared" si="14"/>
        <v>53.000000000000007</v>
      </c>
      <c r="L31" s="216">
        <f t="shared" si="14"/>
        <v>55.199999999999996</v>
      </c>
      <c r="M31" s="216">
        <f t="shared" si="14"/>
        <v>11.099999999999998</v>
      </c>
      <c r="N31" s="216"/>
      <c r="O31" s="216"/>
    </row>
    <row r="32" spans="1:15" ht="12" customHeight="1" x14ac:dyDescent="0.25">
      <c r="A32" s="217" t="s">
        <v>223</v>
      </c>
      <c r="B32" s="218">
        <f>B31+B34</f>
        <v>39.099999999999909</v>
      </c>
      <c r="C32" s="218">
        <f>C31+C34</f>
        <v>-662.49999999999977</v>
      </c>
      <c r="D32" s="218">
        <f>D31+D34</f>
        <v>-1070.2</v>
      </c>
      <c r="E32" s="218">
        <f t="shared" ref="E32:M32" si="15">E31+E34</f>
        <v>-104.40000000000003</v>
      </c>
      <c r="F32" s="218">
        <f t="shared" si="15"/>
        <v>-596</v>
      </c>
      <c r="G32" s="218">
        <f t="shared" si="15"/>
        <v>-1107</v>
      </c>
      <c r="H32" s="218">
        <f t="shared" si="15"/>
        <v>-74.700000000000102</v>
      </c>
      <c r="I32" s="218">
        <f t="shared" si="15"/>
        <v>-36.999999999999972</v>
      </c>
      <c r="J32" s="218">
        <f t="shared" si="15"/>
        <v>-34.700000000000003</v>
      </c>
      <c r="K32" s="218">
        <f t="shared" si="15"/>
        <v>69.800000000000011</v>
      </c>
      <c r="L32" s="218">
        <f t="shared" si="15"/>
        <v>77</v>
      </c>
      <c r="M32" s="218">
        <f t="shared" si="15"/>
        <v>22.9</v>
      </c>
      <c r="N32" s="205"/>
      <c r="O32" s="205"/>
    </row>
    <row r="33" spans="1:15" ht="12" customHeight="1" x14ac:dyDescent="0.25">
      <c r="A33" s="201" t="s">
        <v>117</v>
      </c>
      <c r="B33" s="205"/>
      <c r="C33" s="205">
        <f>Cifras_Originales!B13</f>
        <v>-358.8</v>
      </c>
      <c r="D33" s="205">
        <f>Cifras_Originales!C13</f>
        <v>-236.6</v>
      </c>
      <c r="E33" s="205">
        <f>Cifras_Originales!D13</f>
        <v>-389.2</v>
      </c>
      <c r="F33" s="205">
        <f>Cifras_Originales!E13</f>
        <v>-199</v>
      </c>
      <c r="G33" s="205">
        <f>Cifras_Originales!F13</f>
        <v>-180</v>
      </c>
      <c r="H33" s="205">
        <f>Cifras_Originales!G13</f>
        <v>-67.099999999999994</v>
      </c>
      <c r="I33" s="205">
        <f>Cifras_Originales!H13</f>
        <v>-66</v>
      </c>
      <c r="J33" s="205">
        <f>Cifras_Originales!I13</f>
        <v>-55.7</v>
      </c>
      <c r="K33" s="205">
        <f>Cifras_Originales!J13</f>
        <v>-51.5</v>
      </c>
      <c r="L33" s="205">
        <f>Cifras_Originales!K13</f>
        <v>-16.8</v>
      </c>
      <c r="M33" s="205">
        <f>Cifras_Originales!L13</f>
        <v>20.9</v>
      </c>
      <c r="N33" s="206"/>
      <c r="O33" s="206"/>
    </row>
    <row r="34" spans="1:15" ht="12" customHeight="1" x14ac:dyDescent="0.25">
      <c r="A34" s="219" t="s">
        <v>19</v>
      </c>
      <c r="B34" s="205"/>
      <c r="C34" s="205">
        <f>Cifras_Originales!B14</f>
        <v>166.8</v>
      </c>
      <c r="D34" s="205">
        <f>Cifras_Originales!C14</f>
        <v>-272.5</v>
      </c>
      <c r="E34" s="205">
        <f>Cifras_Originales!D14</f>
        <v>163</v>
      </c>
      <c r="F34" s="205">
        <f>Cifras_Originales!E14</f>
        <v>-1018</v>
      </c>
      <c r="G34" s="205">
        <f>Cifras_Originales!F14</f>
        <v>-1015.2</v>
      </c>
      <c r="H34" s="205">
        <f>Cifras_Originales!G14</f>
        <v>-139.80000000000001</v>
      </c>
      <c r="I34" s="205">
        <f>Cifras_Originales!H14</f>
        <v>-144.4</v>
      </c>
      <c r="J34" s="205">
        <f>Cifras_Originales!I14</f>
        <v>-55.9</v>
      </c>
      <c r="K34" s="205">
        <f>Cifras_Originales!J14</f>
        <v>16.8</v>
      </c>
      <c r="L34" s="205">
        <f>Cifras_Originales!K14</f>
        <v>21.8</v>
      </c>
      <c r="M34" s="205">
        <f>Cifras_Originales!L14</f>
        <v>11.8</v>
      </c>
      <c r="N34" s="206"/>
      <c r="O34" s="206"/>
    </row>
    <row r="35" spans="1:15" ht="12" customHeight="1" x14ac:dyDescent="0.25">
      <c r="A35" s="219" t="s">
        <v>224</v>
      </c>
      <c r="B35" s="205">
        <f t="shared" ref="B35:M35" si="16">+B34+B33</f>
        <v>0</v>
      </c>
      <c r="C35" s="205">
        <f>+C34+C33</f>
        <v>-192</v>
      </c>
      <c r="D35" s="205">
        <f t="shared" si="16"/>
        <v>-509.1</v>
      </c>
      <c r="E35" s="205">
        <f t="shared" si="16"/>
        <v>-226.2</v>
      </c>
      <c r="F35" s="205">
        <f t="shared" si="16"/>
        <v>-1217</v>
      </c>
      <c r="G35" s="205">
        <f t="shared" si="16"/>
        <v>-1195.2</v>
      </c>
      <c r="H35" s="205">
        <f t="shared" si="16"/>
        <v>-206.9</v>
      </c>
      <c r="I35" s="205">
        <f t="shared" si="16"/>
        <v>-210.4</v>
      </c>
      <c r="J35" s="205">
        <f t="shared" si="16"/>
        <v>-111.6</v>
      </c>
      <c r="K35" s="205">
        <f>+K34+K33</f>
        <v>-34.700000000000003</v>
      </c>
      <c r="L35" s="205">
        <f t="shared" si="16"/>
        <v>5</v>
      </c>
      <c r="M35" s="205">
        <f t="shared" si="16"/>
        <v>32.700000000000003</v>
      </c>
      <c r="N35" s="205"/>
      <c r="O35" s="205"/>
    </row>
    <row r="36" spans="1:15" ht="12" customHeight="1" x14ac:dyDescent="0.25">
      <c r="A36" s="219"/>
      <c r="B36" s="206" t="e">
        <f>+B35/B5</f>
        <v>#DIV/0!</v>
      </c>
      <c r="C36" s="206">
        <f>+C35/C5</f>
        <v>-5.3004996825221543E-2</v>
      </c>
      <c r="D36" s="206">
        <f t="shared" ref="D36:M36" si="17">+D35/D5</f>
        <v>-0.17499054755439453</v>
      </c>
      <c r="E36" s="206">
        <f t="shared" si="17"/>
        <v>-9.2383091688789054E-2</v>
      </c>
      <c r="F36" s="206">
        <f t="shared" si="17"/>
        <v>-0.6316499714537811</v>
      </c>
      <c r="G36" s="206">
        <f t="shared" si="17"/>
        <v>-0.80975609756097566</v>
      </c>
      <c r="H36" s="206">
        <f t="shared" si="17"/>
        <v>-0.20056223342380769</v>
      </c>
      <c r="I36" s="206">
        <f t="shared" si="17"/>
        <v>-0.29283228949199724</v>
      </c>
      <c r="J36" s="206">
        <f t="shared" si="17"/>
        <v>-0.19466248037676609</v>
      </c>
      <c r="K36" s="206">
        <f t="shared" si="17"/>
        <v>-8.6318407960199017E-2</v>
      </c>
      <c r="L36" s="206">
        <f t="shared" si="17"/>
        <v>1.9290123456790126E-2</v>
      </c>
      <c r="M36" s="206">
        <f t="shared" si="17"/>
        <v>0.20437500000000003</v>
      </c>
      <c r="N36" s="205"/>
      <c r="O36" s="205"/>
    </row>
    <row r="37" spans="1:15" ht="12" customHeight="1" x14ac:dyDescent="0.25">
      <c r="A37" s="219" t="s">
        <v>225</v>
      </c>
      <c r="B37" s="205">
        <f t="shared" ref="B37:M37" si="18">SUM(B27:B29)</f>
        <v>0</v>
      </c>
      <c r="C37" s="205">
        <f t="shared" si="18"/>
        <v>-662.1</v>
      </c>
      <c r="D37" s="205">
        <f t="shared" si="18"/>
        <v>-535.20000000000005</v>
      </c>
      <c r="E37" s="205">
        <f t="shared" si="18"/>
        <v>20.3</v>
      </c>
      <c r="F37" s="205">
        <f t="shared" si="18"/>
        <v>15.3</v>
      </c>
      <c r="G37" s="205">
        <f t="shared" si="18"/>
        <v>11.9</v>
      </c>
      <c r="H37" s="205">
        <f t="shared" si="18"/>
        <v>-89.2</v>
      </c>
      <c r="I37" s="205">
        <f t="shared" si="18"/>
        <v>10.1</v>
      </c>
      <c r="J37" s="205">
        <f t="shared" si="18"/>
        <v>10.4</v>
      </c>
      <c r="K37" s="205">
        <f t="shared" si="18"/>
        <v>19.100000000000001</v>
      </c>
      <c r="L37" s="205">
        <f>SUM(L26:O29)</f>
        <v>70.899999999999991</v>
      </c>
      <c r="M37" s="205">
        <f t="shared" si="18"/>
        <v>12</v>
      </c>
      <c r="N37" s="205"/>
      <c r="O37" s="205"/>
    </row>
    <row r="38" spans="1:15" ht="12" customHeight="1" x14ac:dyDescent="0.25">
      <c r="A38" s="204"/>
      <c r="B38" s="198"/>
      <c r="C38" s="198"/>
      <c r="D38" s="198"/>
      <c r="E38" s="198"/>
      <c r="F38" s="198"/>
      <c r="G38" s="198"/>
      <c r="H38" s="198"/>
      <c r="I38" s="198"/>
      <c r="J38" s="198"/>
      <c r="K38" s="198"/>
      <c r="L38" s="198"/>
      <c r="M38" s="198"/>
      <c r="N38" s="198"/>
      <c r="O38" s="198"/>
    </row>
    <row r="39" spans="1:15" ht="12" customHeight="1" x14ac:dyDescent="0.25">
      <c r="A39" s="220" t="s">
        <v>226</v>
      </c>
      <c r="B39" s="221"/>
      <c r="C39" s="221"/>
      <c r="D39" s="221"/>
      <c r="E39" s="221"/>
      <c r="F39" s="221"/>
      <c r="G39" s="221"/>
      <c r="H39" s="221"/>
      <c r="I39" s="221"/>
      <c r="J39" s="221"/>
      <c r="K39" s="221"/>
      <c r="L39" s="221"/>
      <c r="M39" s="221"/>
      <c r="N39" s="221"/>
      <c r="O39" s="221"/>
    </row>
    <row r="40" spans="1:15" ht="12" customHeight="1" x14ac:dyDescent="0.25">
      <c r="A40" s="201" t="s">
        <v>227</v>
      </c>
      <c r="B40" s="205"/>
      <c r="C40" s="205">
        <f>Cifras_Originales!B22</f>
        <v>2724.1</v>
      </c>
      <c r="D40" s="205">
        <f>Cifras_Originales!C22</f>
        <v>2456.1999999999998</v>
      </c>
      <c r="E40" s="205">
        <f>Cifras_Originales!D22</f>
        <v>2731.2</v>
      </c>
      <c r="F40" s="205">
        <f>Cifras_Originales!E22</f>
        <v>2707.7</v>
      </c>
      <c r="G40" s="205">
        <f>Cifras_Originales!F22</f>
        <v>1533.3</v>
      </c>
      <c r="H40" s="205">
        <f>Cifras_Originales!G22</f>
        <v>1385.6</v>
      </c>
      <c r="I40" s="205">
        <f>Cifras_Originales!H22</f>
        <v>548.6</v>
      </c>
      <c r="J40" s="205">
        <f>Cifras_Originales!I22</f>
        <v>123.7</v>
      </c>
      <c r="K40" s="205">
        <f>Cifras_Originales!J22</f>
        <v>115.2</v>
      </c>
      <c r="L40" s="205">
        <f>Cifras_Originales!K22</f>
        <v>83.6</v>
      </c>
      <c r="M40" s="205">
        <f>Cifras_Originales!L22</f>
        <v>54.6</v>
      </c>
      <c r="N40" s="205"/>
      <c r="O40" s="205"/>
    </row>
    <row r="41" spans="1:15" ht="12" customHeight="1" x14ac:dyDescent="0.25">
      <c r="A41" s="201" t="s">
        <v>228</v>
      </c>
      <c r="B41" s="205"/>
      <c r="C41" s="205">
        <f>Cifras_Originales!B23</f>
        <v>973.9</v>
      </c>
      <c r="D41" s="205">
        <f>Cifras_Originales!C23</f>
        <v>713.3</v>
      </c>
      <c r="E41" s="205">
        <f>Cifras_Originales!D23</f>
        <v>514.29999999999995</v>
      </c>
      <c r="F41" s="205">
        <f>Cifras_Originales!E23</f>
        <v>428.5</v>
      </c>
      <c r="G41" s="205">
        <f>Cifras_Originales!F23</f>
        <v>286.3</v>
      </c>
      <c r="H41" s="205">
        <f>Cifras_Originales!G23</f>
        <v>226.7</v>
      </c>
      <c r="I41" s="205">
        <f>Cifras_Originales!H23</f>
        <v>134.30000000000001</v>
      </c>
      <c r="J41" s="205">
        <f>Cifras_Originales!I23</f>
        <v>101.7</v>
      </c>
      <c r="K41" s="205">
        <f>Cifras_Originales!J23</f>
        <v>74.099999999999994</v>
      </c>
      <c r="L41" s="205">
        <f>Cifras_Originales!K23</f>
        <v>42.4</v>
      </c>
      <c r="M41" s="205">
        <f>Cifras_Originales!L23</f>
        <v>26.1</v>
      </c>
      <c r="N41" s="205"/>
      <c r="O41" s="205"/>
    </row>
    <row r="42" spans="1:15" ht="12" customHeight="1" x14ac:dyDescent="0.25">
      <c r="A42" s="201" t="s">
        <v>229</v>
      </c>
      <c r="B42" s="205"/>
      <c r="C42" s="205">
        <f>Cifras_Originales!B24</f>
        <v>559.6</v>
      </c>
      <c r="D42" s="205">
        <f>Cifras_Originales!C24</f>
        <v>306.7</v>
      </c>
      <c r="E42" s="205">
        <f>Cifras_Originales!D24</f>
        <v>357.3</v>
      </c>
      <c r="F42" s="205">
        <f>Cifras_Originales!E24</f>
        <v>234.7</v>
      </c>
      <c r="G42" s="205">
        <f>Cifras_Originales!F24</f>
        <v>119.8</v>
      </c>
      <c r="H42" s="205">
        <f>Cifras_Originales!G24</f>
        <v>70.7</v>
      </c>
      <c r="I42" s="205">
        <f>Cifras_Originales!H24</f>
        <v>45.2</v>
      </c>
      <c r="J42" s="205">
        <f>Cifras_Originales!I24</f>
        <v>45.4</v>
      </c>
      <c r="K42" s="205">
        <f>Cifras_Originales!J24</f>
        <v>35.200000000000003</v>
      </c>
      <c r="L42" s="205">
        <f>Cifras_Originales!K24</f>
        <v>16</v>
      </c>
      <c r="M42" s="205">
        <f>Cifras_Originales!L24</f>
        <v>9</v>
      </c>
      <c r="N42" s="205"/>
      <c r="O42" s="205"/>
    </row>
    <row r="43" spans="1:15" ht="12" customHeight="1" x14ac:dyDescent="0.25">
      <c r="A43" s="201" t="s">
        <v>230</v>
      </c>
      <c r="B43" s="205"/>
      <c r="C43" s="205">
        <f>Cifras_Originales!B25</f>
        <v>1184.5</v>
      </c>
      <c r="D43" s="205">
        <f>Cifras_Originales!C25</f>
        <v>1135.5999999999999</v>
      </c>
      <c r="E43" s="205">
        <f>Cifras_Originales!D25</f>
        <v>889.9</v>
      </c>
      <c r="F43" s="205">
        <f>Cifras_Originales!E25</f>
        <v>608.6</v>
      </c>
      <c r="G43" s="205">
        <f>Cifras_Originales!F25</f>
        <v>392.8</v>
      </c>
      <c r="H43" s="205">
        <f>Cifras_Originales!G25</f>
        <v>183.1</v>
      </c>
      <c r="I43" s="205">
        <f>Cifras_Originales!H25</f>
        <v>145.6</v>
      </c>
      <c r="J43" s="205">
        <f>Cifras_Originales!I25</f>
        <v>109.4</v>
      </c>
      <c r="K43" s="205">
        <f>Cifras_Originales!J25</f>
        <v>54.7</v>
      </c>
      <c r="L43" s="205">
        <f>Cifras_Originales!K25</f>
        <v>31.2</v>
      </c>
      <c r="M43" s="205">
        <f>Cifras_Originales!L25</f>
        <v>20.7</v>
      </c>
      <c r="N43" s="205"/>
      <c r="O43" s="205"/>
    </row>
    <row r="44" spans="1:15" ht="12" customHeight="1" x14ac:dyDescent="0.25">
      <c r="A44" s="201" t="s">
        <v>231</v>
      </c>
      <c r="B44" s="205">
        <f>B45-SUM(B40:B43)</f>
        <v>0</v>
      </c>
      <c r="C44" s="205">
        <f>Cifras_Originales!B26</f>
        <v>822.39999999999964</v>
      </c>
      <c r="D44" s="205">
        <f>Cifras_Originales!C26</f>
        <v>779.90000000000055</v>
      </c>
      <c r="E44" s="205">
        <f>Cifras_Originales!D26</f>
        <v>440.60000000000036</v>
      </c>
      <c r="F44" s="205">
        <f>Cifras_Originales!E26</f>
        <v>311.00000000000045</v>
      </c>
      <c r="G44" s="205">
        <f>Cifras_Originales!F26</f>
        <v>62.800000000000182</v>
      </c>
      <c r="H44" s="205">
        <f>Cifras_Originales!G26</f>
        <v>49.900000000000091</v>
      </c>
      <c r="I44" s="205">
        <f>Cifras_Originales!H26</f>
        <v>30.399999999999864</v>
      </c>
      <c r="J44" s="205">
        <f>Cifras_Originales!I26</f>
        <v>22.599999999999966</v>
      </c>
      <c r="K44" s="205">
        <f>Cifras_Originales!J26</f>
        <v>12.800000000000011</v>
      </c>
      <c r="L44" s="205">
        <f>Cifras_Originales!K26</f>
        <v>11.400000000000006</v>
      </c>
      <c r="M44" s="205">
        <f>Cifras_Originales!L26</f>
        <v>12.099999999999994</v>
      </c>
      <c r="N44" s="205"/>
      <c r="O44" s="205"/>
    </row>
    <row r="45" spans="1:15" ht="12" customHeight="1" x14ac:dyDescent="0.25">
      <c r="A45" s="201" t="s">
        <v>232</v>
      </c>
      <c r="B45" s="222"/>
      <c r="C45" s="222">
        <f>Cifras_Originales!B27</f>
        <v>6264.5</v>
      </c>
      <c r="D45" s="222">
        <f>Cifras_Originales!C27</f>
        <v>5391.7</v>
      </c>
      <c r="E45" s="222">
        <f>Cifras_Originales!D27</f>
        <v>4933.3</v>
      </c>
      <c r="F45" s="222">
        <f>Cifras_Originales!E27</f>
        <v>4290.5</v>
      </c>
      <c r="G45" s="222">
        <f>Cifras_Originales!F27</f>
        <v>2395</v>
      </c>
      <c r="H45" s="222">
        <f>Cifras_Originales!G27</f>
        <v>1916</v>
      </c>
      <c r="I45" s="222">
        <f>Cifras_Originales!H27</f>
        <v>904.1</v>
      </c>
      <c r="J45" s="222">
        <f>Cifras_Originales!I27</f>
        <v>402.8</v>
      </c>
      <c r="K45" s="222">
        <f>Cifras_Originales!J27</f>
        <v>292</v>
      </c>
      <c r="L45" s="222">
        <f>Cifras_Originales!K27</f>
        <v>184.6</v>
      </c>
      <c r="M45" s="222">
        <f>Cifras_Originales!L27</f>
        <v>122.5</v>
      </c>
      <c r="N45" s="222"/>
      <c r="O45" s="222"/>
    </row>
    <row r="46" spans="1:15" ht="12" customHeight="1" x14ac:dyDescent="0.25">
      <c r="B46" s="197"/>
      <c r="C46" s="197"/>
      <c r="D46" s="197"/>
      <c r="E46" s="197"/>
      <c r="F46" s="197"/>
      <c r="G46" s="197"/>
      <c r="H46" s="197"/>
      <c r="I46" s="197"/>
      <c r="J46" s="197"/>
      <c r="K46" s="197"/>
      <c r="L46" s="197"/>
      <c r="M46" s="197"/>
      <c r="N46" s="197"/>
      <c r="O46" s="197"/>
    </row>
    <row r="47" spans="1:15" ht="12" customHeight="1" x14ac:dyDescent="0.25">
      <c r="B47" s="197"/>
      <c r="C47" s="197"/>
      <c r="D47" s="197"/>
      <c r="E47" s="197"/>
      <c r="F47" s="197"/>
      <c r="G47" s="197"/>
      <c r="H47" s="197"/>
      <c r="I47" s="197"/>
      <c r="J47" s="197"/>
      <c r="K47" s="197"/>
      <c r="L47" s="197"/>
      <c r="M47" s="197"/>
      <c r="N47" s="197"/>
      <c r="O47" s="197"/>
    </row>
    <row r="48" spans="1:15" ht="12" customHeight="1" x14ac:dyDescent="0.25">
      <c r="A48" s="220" t="s">
        <v>233</v>
      </c>
      <c r="B48" s="221"/>
      <c r="C48" s="221"/>
      <c r="D48" s="221"/>
      <c r="E48" s="221"/>
      <c r="F48" s="221"/>
      <c r="G48" s="221"/>
      <c r="H48" s="221"/>
      <c r="I48" s="221"/>
      <c r="J48" s="221"/>
      <c r="K48" s="221"/>
      <c r="L48" s="221"/>
      <c r="M48" s="221"/>
      <c r="N48" s="221"/>
      <c r="O48" s="221"/>
    </row>
    <row r="49" spans="1:15" ht="12" customHeight="1" x14ac:dyDescent="0.25">
      <c r="A49" s="201" t="s">
        <v>234</v>
      </c>
      <c r="B49" s="205"/>
      <c r="C49" s="205">
        <f>Cifras_Originales!B31</f>
        <v>1556</v>
      </c>
      <c r="D49" s="205">
        <f>Cifras_Originales!C31</f>
        <v>1839.3</v>
      </c>
      <c r="E49" s="205">
        <f>Cifras_Originales!D31</f>
        <v>720.8</v>
      </c>
      <c r="F49" s="205">
        <f>Cifras_Originales!E31</f>
        <v>614.1</v>
      </c>
      <c r="G49" s="205">
        <f>Cifras_Originales!F31</f>
        <v>360.2</v>
      </c>
      <c r="H49" s="205">
        <f>Cifras_Originales!G31</f>
        <v>222.4</v>
      </c>
      <c r="I49" s="205">
        <f>Cifras_Originales!H31</f>
        <v>138.9</v>
      </c>
      <c r="J49" s="205">
        <f>Cifras_Originales!I31</f>
        <v>102.4</v>
      </c>
      <c r="K49" s="205">
        <f>Cifras_Originales!J31</f>
        <v>66.900000000000006</v>
      </c>
      <c r="L49" s="205">
        <f>Cifras_Originales!K31</f>
        <v>40.6</v>
      </c>
      <c r="M49" s="205">
        <f>Cifras_Originales!L31</f>
        <v>32.1</v>
      </c>
      <c r="N49" s="205"/>
      <c r="O49" s="205"/>
    </row>
    <row r="50" spans="1:15" ht="12" customHeight="1" x14ac:dyDescent="0.25">
      <c r="A50" s="201" t="s">
        <v>235</v>
      </c>
      <c r="B50" s="205"/>
      <c r="C50" s="205">
        <f>Cifras_Originales!B32</f>
        <v>25.8</v>
      </c>
      <c r="D50" s="205">
        <f>Cifras_Originales!C32</f>
        <v>797.3</v>
      </c>
      <c r="E50" s="205">
        <f>Cifras_Originales!D32</f>
        <v>23.8</v>
      </c>
      <c r="F50" s="205">
        <f>Cifras_Originales!E32</f>
        <v>25.3</v>
      </c>
      <c r="G50" s="205">
        <f>Cifras_Originales!F32</f>
        <v>13.6</v>
      </c>
      <c r="H50" s="205">
        <f>Cifras_Originales!G32</f>
        <v>0</v>
      </c>
      <c r="I50" s="205">
        <f>Cifras_Originales!H32</f>
        <v>0</v>
      </c>
      <c r="J50" s="205">
        <f>Cifras_Originales!I32</f>
        <v>0</v>
      </c>
      <c r="K50" s="205">
        <f>Cifras_Originales!J32</f>
        <v>2.2999999999999998</v>
      </c>
      <c r="L50" s="205">
        <f>Cifras_Originales!K32</f>
        <v>2.2999999999999998</v>
      </c>
      <c r="M50" s="205">
        <f>Cifras_Originales!L32</f>
        <v>2.2000000000000002</v>
      </c>
      <c r="N50" s="205"/>
      <c r="O50" s="205"/>
    </row>
    <row r="51" spans="1:15" ht="12" customHeight="1" x14ac:dyDescent="0.25">
      <c r="A51" s="201" t="s">
        <v>236</v>
      </c>
      <c r="B51" s="205"/>
      <c r="C51" s="205">
        <f>Cifras_Originales!B33</f>
        <v>25.8</v>
      </c>
      <c r="D51" s="205">
        <f>Cifras_Originales!C33</f>
        <v>24.7</v>
      </c>
      <c r="E51" s="205">
        <f>Cifras_Originales!D33</f>
        <v>23.8</v>
      </c>
      <c r="F51" s="205">
        <f>Cifras_Originales!E33</f>
        <v>25.3</v>
      </c>
      <c r="G51" s="205">
        <f>Cifras_Originales!F33</f>
        <v>13.6</v>
      </c>
      <c r="H51" s="205">
        <f>Cifras_Originales!G33</f>
        <v>0</v>
      </c>
      <c r="I51" s="205">
        <f>Cifras_Originales!H33</f>
        <v>0</v>
      </c>
      <c r="J51" s="205">
        <f>Cifras_Originales!I33</f>
        <v>0</v>
      </c>
      <c r="K51" s="205">
        <f>Cifras_Originales!J33</f>
        <v>0</v>
      </c>
      <c r="L51" s="205">
        <f>Cifras_Originales!K33</f>
        <v>0</v>
      </c>
      <c r="M51" s="205">
        <f>Cifras_Originales!L33</f>
        <v>0</v>
      </c>
      <c r="N51" s="205"/>
      <c r="O51" s="205"/>
    </row>
    <row r="52" spans="1:15" ht="12" customHeight="1" x14ac:dyDescent="0.25">
      <c r="A52" s="201" t="s">
        <v>237</v>
      </c>
      <c r="B52" s="205"/>
      <c r="C52" s="205">
        <f>Cifras_Originales!B34</f>
        <v>1504.4</v>
      </c>
      <c r="D52" s="205">
        <f>Cifras_Originales!C34</f>
        <v>1017.3</v>
      </c>
      <c r="E52" s="205">
        <f>Cifras_Originales!D34</f>
        <v>673.2</v>
      </c>
      <c r="F52" s="205">
        <f>Cifras_Originales!E34</f>
        <v>563.50000000000011</v>
      </c>
      <c r="G52" s="205">
        <f>Cifras_Originales!F34</f>
        <v>332.99999999999994</v>
      </c>
      <c r="H52" s="205">
        <f>Cifras_Originales!G34</f>
        <v>222.4</v>
      </c>
      <c r="I52" s="205">
        <f>Cifras_Originales!H34</f>
        <v>138.9</v>
      </c>
      <c r="J52" s="205">
        <f>Cifras_Originales!I34</f>
        <v>102.4</v>
      </c>
      <c r="K52" s="205">
        <f>Cifras_Originales!J34</f>
        <v>64.600000000000009</v>
      </c>
      <c r="L52" s="205">
        <f>Cifras_Originales!K34</f>
        <v>38.300000000000004</v>
      </c>
      <c r="M52" s="205">
        <f>Cifras_Originales!L34</f>
        <v>29.900000000000002</v>
      </c>
      <c r="N52" s="205"/>
      <c r="O52" s="205"/>
    </row>
    <row r="53" spans="1:15" ht="12" customHeight="1" x14ac:dyDescent="0.25">
      <c r="A53" s="201" t="s">
        <v>238</v>
      </c>
      <c r="B53" s="205"/>
      <c r="C53" s="205">
        <f>Cifras_Originales!B35</f>
        <v>2639.9</v>
      </c>
      <c r="D53" s="205">
        <f>Cifras_Originales!C35</f>
        <v>1420.6</v>
      </c>
      <c r="E53" s="205">
        <f>Cifras_Originales!D35</f>
        <v>2170.4</v>
      </c>
      <c r="F53" s="205">
        <f>Cifras_Originales!E35</f>
        <v>1849.9</v>
      </c>
      <c r="G53" s="205">
        <f>Cifras_Originales!F35</f>
        <v>1152.2</v>
      </c>
      <c r="H53" s="205">
        <f>Cifras_Originales!G35</f>
        <v>1030.3</v>
      </c>
      <c r="I53" s="205">
        <f>Cifras_Originales!H35</f>
        <v>345.8</v>
      </c>
      <c r="J53" s="205">
        <f>Cifras_Originales!I35</f>
        <v>16.600000000000001</v>
      </c>
      <c r="K53" s="205">
        <f>Cifras_Originales!J35</f>
        <v>3.9</v>
      </c>
      <c r="L53" s="205">
        <f>Cifras_Originales!K35</f>
        <v>3.8</v>
      </c>
      <c r="M53" s="205">
        <f>Cifras_Originales!L35</f>
        <v>6.3</v>
      </c>
      <c r="N53" s="205"/>
      <c r="O53" s="205"/>
    </row>
    <row r="54" spans="1:15" ht="12" customHeight="1" x14ac:dyDescent="0.25">
      <c r="A54" s="201" t="s">
        <v>239</v>
      </c>
      <c r="B54" s="205"/>
      <c r="C54" s="205">
        <f>Cifras_Originales!B36</f>
        <v>2572.9</v>
      </c>
      <c r="D54" s="205">
        <f>Cifras_Originales!C36</f>
        <v>1351.9</v>
      </c>
      <c r="E54" s="205">
        <f>Cifras_Originales!D36</f>
        <v>2137.4</v>
      </c>
      <c r="F54" s="205">
        <f>Cifras_Originales!E36</f>
        <v>1823</v>
      </c>
      <c r="G54" s="205">
        <f>Cifras_Originales!F36</f>
        <v>1147.0999999999999</v>
      </c>
      <c r="H54" s="205">
        <f>Cifras_Originales!G36</f>
        <v>1010.3</v>
      </c>
      <c r="I54" s="205">
        <f>Cifras_Originales!H36</f>
        <v>327.60000000000002</v>
      </c>
      <c r="J54" s="205">
        <f>Cifras_Originales!I36</f>
        <v>0</v>
      </c>
      <c r="K54" s="205">
        <f>Cifras_Originales!J36</f>
        <v>0</v>
      </c>
      <c r="L54" s="205">
        <f>Cifras_Originales!K36</f>
        <v>2.2999999999999998</v>
      </c>
      <c r="M54" s="205">
        <f>Cifras_Originales!L36</f>
        <v>4.5999999999999996</v>
      </c>
      <c r="N54" s="205"/>
      <c r="O54" s="205"/>
    </row>
    <row r="55" spans="1:15" ht="12" customHeight="1" x14ac:dyDescent="0.25">
      <c r="A55" s="201" t="s">
        <v>240</v>
      </c>
      <c r="B55" s="205"/>
      <c r="C55" s="205">
        <f>Cifras_Originales!B37</f>
        <v>138.69999999999999</v>
      </c>
      <c r="D55" s="205">
        <f>Cifras_Originales!C37</f>
        <v>154.19999999999999</v>
      </c>
      <c r="E55" s="205">
        <f>Cifras_Originales!D37</f>
        <v>155.6</v>
      </c>
      <c r="F55" s="205">
        <f>Cifras_Originales!E37</f>
        <v>155.80000000000001</v>
      </c>
      <c r="G55" s="205">
        <f>Cifras_Originales!F37</f>
        <v>87.4</v>
      </c>
      <c r="H55" s="205">
        <f>Cifras_Originales!G37</f>
        <v>0</v>
      </c>
      <c r="I55" s="205">
        <f>Cifras_Originales!H37</f>
        <v>0</v>
      </c>
      <c r="J55" s="205">
        <f>Cifras_Originales!I37</f>
        <v>0</v>
      </c>
      <c r="K55" s="205">
        <f>Cifras_Originales!J37</f>
        <v>0</v>
      </c>
      <c r="L55" s="205">
        <f>Cifras_Originales!K37</f>
        <v>0</v>
      </c>
      <c r="M55" s="205">
        <f>Cifras_Originales!L37</f>
        <v>0</v>
      </c>
      <c r="N55" s="205"/>
      <c r="O55" s="205"/>
    </row>
    <row r="56" spans="1:15" ht="12" customHeight="1" x14ac:dyDescent="0.25">
      <c r="A56" s="201" t="s">
        <v>241</v>
      </c>
      <c r="B56" s="205">
        <f>B53-SUM(B54:B55)</f>
        <v>0</v>
      </c>
      <c r="C56" s="205">
        <f>Cifras_Originales!B38</f>
        <v>-71.699999999999989</v>
      </c>
      <c r="D56" s="205">
        <f>Cifras_Originales!C38</f>
        <v>-85.500000000000171</v>
      </c>
      <c r="E56" s="205">
        <f>Cifras_Originales!D38</f>
        <v>-122.6</v>
      </c>
      <c r="F56" s="205">
        <f>Cifras_Originales!E38</f>
        <v>-128.89999999999992</v>
      </c>
      <c r="G56" s="205">
        <f>Cifras_Originales!F38</f>
        <v>-82.299999999999869</v>
      </c>
      <c r="H56" s="205">
        <f>Cifras_Originales!G38</f>
        <v>20</v>
      </c>
      <c r="I56" s="205">
        <f>Cifras_Originales!H38</f>
        <v>18.199999999999989</v>
      </c>
      <c r="J56" s="205">
        <f>Cifras_Originales!I38</f>
        <v>16.600000000000001</v>
      </c>
      <c r="K56" s="205">
        <f>Cifras_Originales!J38</f>
        <v>3.9</v>
      </c>
      <c r="L56" s="205">
        <f>Cifras_Originales!K38</f>
        <v>1.5</v>
      </c>
      <c r="M56" s="205">
        <f>Cifras_Originales!L38</f>
        <v>1.7000000000000002</v>
      </c>
      <c r="N56" s="205"/>
      <c r="O56" s="205"/>
    </row>
    <row r="57" spans="1:15" ht="12" customHeight="1" x14ac:dyDescent="0.25">
      <c r="A57" s="201" t="s">
        <v>242</v>
      </c>
      <c r="B57" s="222"/>
      <c r="C57" s="222">
        <f>Cifras_Originales!B39</f>
        <v>4195.8999999999996</v>
      </c>
      <c r="D57" s="222">
        <f>Cifras_Originales!C39</f>
        <v>3259.8999999999996</v>
      </c>
      <c r="E57" s="222">
        <f>Cifras_Originales!D39</f>
        <v>2891.2</v>
      </c>
      <c r="F57" s="222">
        <f>Cifras_Originales!E39</f>
        <v>2464</v>
      </c>
      <c r="G57" s="222">
        <f>Cifras_Originales!F39</f>
        <v>1512.4</v>
      </c>
      <c r="H57" s="222">
        <f>Cifras_Originales!G39</f>
        <v>1252.7</v>
      </c>
      <c r="I57" s="222">
        <f>Cifras_Originales!H39</f>
        <v>484.70000000000005</v>
      </c>
      <c r="J57" s="222">
        <f>Cifras_Originales!I39</f>
        <v>119</v>
      </c>
      <c r="K57" s="222">
        <f>Cifras_Originales!J39</f>
        <v>70.800000000000011</v>
      </c>
      <c r="L57" s="222">
        <f>Cifras_Originales!K39</f>
        <v>44.4</v>
      </c>
      <c r="M57" s="222">
        <f>Cifras_Originales!L39</f>
        <v>38.4</v>
      </c>
      <c r="N57" s="222"/>
      <c r="O57" s="222"/>
    </row>
    <row r="58" spans="1:15" ht="12" customHeight="1" x14ac:dyDescent="0.25">
      <c r="B58" s="197"/>
      <c r="C58" s="197"/>
      <c r="D58" s="197"/>
      <c r="E58" s="197"/>
      <c r="F58" s="197"/>
      <c r="G58" s="197"/>
      <c r="H58" s="197"/>
      <c r="I58" s="197"/>
      <c r="J58" s="197"/>
      <c r="K58" s="197"/>
      <c r="L58" s="197"/>
      <c r="M58" s="197"/>
      <c r="N58" s="197"/>
      <c r="O58" s="197"/>
    </row>
    <row r="59" spans="1:15" ht="12" customHeight="1" x14ac:dyDescent="0.25">
      <c r="A59" s="201" t="s">
        <v>358</v>
      </c>
      <c r="B59" s="205">
        <f>B60-B40</f>
        <v>0</v>
      </c>
      <c r="C59" s="205">
        <f t="shared" ref="C59:M59" si="19">C60-C40</f>
        <v>39.099999999999909</v>
      </c>
      <c r="D59" s="205">
        <f t="shared" si="19"/>
        <v>-128.09999999999991</v>
      </c>
      <c r="E59" s="205">
        <f t="shared" si="19"/>
        <v>-390.59999999999991</v>
      </c>
      <c r="F59" s="205">
        <f t="shared" si="19"/>
        <v>-678.3</v>
      </c>
      <c r="G59" s="205">
        <f t="shared" si="19"/>
        <v>-271.59999999999991</v>
      </c>
      <c r="H59" s="205">
        <f t="shared" si="19"/>
        <v>-375.29999999999995</v>
      </c>
      <c r="I59" s="205">
        <f t="shared" si="19"/>
        <v>-221</v>
      </c>
      <c r="J59" s="205">
        <f t="shared" si="19"/>
        <v>-123.7</v>
      </c>
      <c r="K59" s="205">
        <f t="shared" si="19"/>
        <v>-112.9</v>
      </c>
      <c r="L59" s="205">
        <f>L60-L40</f>
        <v>-79</v>
      </c>
      <c r="M59" s="205">
        <f t="shared" si="19"/>
        <v>-47.800000000000004</v>
      </c>
      <c r="N59" s="197"/>
      <c r="O59" s="197"/>
    </row>
    <row r="60" spans="1:15" ht="12" customHeight="1" x14ac:dyDescent="0.25">
      <c r="A60" s="201" t="s">
        <v>17</v>
      </c>
      <c r="B60" s="205">
        <f>B50+B51+B54+B55</f>
        <v>0</v>
      </c>
      <c r="C60" s="205">
        <f t="shared" ref="C60:M60" si="20">C50+C51+C54+C55</f>
        <v>2763.2</v>
      </c>
      <c r="D60" s="205">
        <f t="shared" si="20"/>
        <v>2328.1</v>
      </c>
      <c r="E60" s="205">
        <f t="shared" si="20"/>
        <v>2340.6</v>
      </c>
      <c r="F60" s="205">
        <f t="shared" si="20"/>
        <v>2029.3999999999999</v>
      </c>
      <c r="G60" s="205">
        <f t="shared" si="20"/>
        <v>1261.7</v>
      </c>
      <c r="H60" s="205">
        <f t="shared" si="20"/>
        <v>1010.3</v>
      </c>
      <c r="I60" s="205">
        <f>I50+I51+I54+I55</f>
        <v>327.60000000000002</v>
      </c>
      <c r="J60" s="205">
        <f t="shared" si="20"/>
        <v>0</v>
      </c>
      <c r="K60" s="205">
        <f t="shared" si="20"/>
        <v>2.2999999999999998</v>
      </c>
      <c r="L60" s="205">
        <f>L50+L51+L54+L55</f>
        <v>4.5999999999999996</v>
      </c>
      <c r="M60" s="205">
        <f t="shared" si="20"/>
        <v>6.8</v>
      </c>
      <c r="N60" s="205"/>
      <c r="O60" s="205"/>
    </row>
    <row r="61" spans="1:15" ht="12" customHeight="1" x14ac:dyDescent="0.25">
      <c r="B61" s="207" t="e">
        <f>B60/B45</f>
        <v>#DIV/0!</v>
      </c>
      <c r="C61" s="207">
        <f>C60/C45</f>
        <v>0.44108867427568038</v>
      </c>
      <c r="D61" s="207">
        <f>D60/D45</f>
        <v>0.43179331194243004</v>
      </c>
      <c r="E61" s="207">
        <f t="shared" ref="E61:M61" si="21">E60/E45</f>
        <v>0.4744491516834573</v>
      </c>
      <c r="F61" s="207">
        <f t="shared" si="21"/>
        <v>0.47299848502505532</v>
      </c>
      <c r="G61" s="207">
        <f t="shared" si="21"/>
        <v>0.52680584551148224</v>
      </c>
      <c r="H61" s="207">
        <f t="shared" si="21"/>
        <v>0.52729645093945721</v>
      </c>
      <c r="I61" s="207">
        <f t="shared" si="21"/>
        <v>0.36234929764406593</v>
      </c>
      <c r="J61" s="207">
        <f t="shared" si="21"/>
        <v>0</v>
      </c>
      <c r="K61" s="207">
        <f t="shared" si="21"/>
        <v>7.8767123287671222E-3</v>
      </c>
      <c r="L61" s="207">
        <f t="shared" si="21"/>
        <v>2.4918743228602384E-2</v>
      </c>
      <c r="M61" s="207">
        <f t="shared" si="21"/>
        <v>5.5510204081632653E-2</v>
      </c>
      <c r="N61" s="207"/>
      <c r="O61" s="207"/>
    </row>
    <row r="62" spans="1:15" ht="12" customHeight="1" x14ac:dyDescent="0.25">
      <c r="B62" s="197"/>
      <c r="C62" s="197"/>
      <c r="D62" s="197"/>
      <c r="E62" s="197"/>
      <c r="F62" s="197"/>
      <c r="G62" s="197"/>
      <c r="H62" s="197"/>
      <c r="I62" s="197"/>
      <c r="J62" s="197"/>
      <c r="K62" s="197"/>
      <c r="L62" s="197"/>
      <c r="M62" s="197"/>
      <c r="N62" s="197"/>
      <c r="O62" s="197"/>
    </row>
    <row r="63" spans="1:15" s="223" customFormat="1" ht="12" customHeight="1" x14ac:dyDescent="0.25">
      <c r="A63" s="220" t="s">
        <v>243</v>
      </c>
      <c r="B63" s="222">
        <v>0</v>
      </c>
      <c r="C63" s="222">
        <f>Cifras_Originales!B42</f>
        <v>0</v>
      </c>
      <c r="D63" s="222">
        <f>Cifras_Originales!C42</f>
        <v>0</v>
      </c>
      <c r="E63" s="222">
        <f>Cifras_Originales!D42</f>
        <v>0</v>
      </c>
      <c r="F63" s="222">
        <f>Cifras_Originales!E42</f>
        <v>0</v>
      </c>
      <c r="G63" s="222">
        <f>Cifras_Originales!F42</f>
        <v>0</v>
      </c>
      <c r="H63" s="222">
        <f>Cifras_Originales!G42</f>
        <v>0</v>
      </c>
      <c r="I63" s="222">
        <f>Cifras_Originales!H42</f>
        <v>0</v>
      </c>
      <c r="J63" s="222">
        <f>Cifras_Originales!I42</f>
        <v>0</v>
      </c>
      <c r="K63" s="222">
        <f>Cifras_Originales!J42</f>
        <v>0</v>
      </c>
      <c r="L63" s="222">
        <f>Cifras_Originales!K42</f>
        <v>0</v>
      </c>
      <c r="M63" s="222">
        <f>Cifras_Originales!L42</f>
        <v>0</v>
      </c>
      <c r="N63" s="222"/>
      <c r="O63" s="222"/>
    </row>
    <row r="64" spans="1:15" ht="12" customHeight="1" x14ac:dyDescent="0.25">
      <c r="B64" s="197"/>
      <c r="C64" s="197"/>
      <c r="D64" s="197"/>
      <c r="E64" s="197"/>
      <c r="F64" s="197"/>
      <c r="G64" s="197"/>
      <c r="H64" s="197"/>
      <c r="I64" s="197"/>
      <c r="J64" s="197"/>
      <c r="K64" s="197"/>
      <c r="L64" s="197"/>
      <c r="M64" s="197"/>
      <c r="N64" s="197"/>
      <c r="O64" s="197"/>
    </row>
    <row r="65" spans="1:242" ht="12" customHeight="1" x14ac:dyDescent="0.25">
      <c r="B65" s="197"/>
      <c r="C65" s="197"/>
      <c r="D65" s="197"/>
      <c r="E65" s="197"/>
      <c r="F65" s="197"/>
      <c r="G65" s="197"/>
      <c r="H65" s="197"/>
      <c r="I65" s="197"/>
      <c r="J65" s="197"/>
      <c r="K65" s="197"/>
      <c r="L65" s="197"/>
      <c r="M65" s="197"/>
      <c r="N65" s="197"/>
      <c r="O65" s="197"/>
    </row>
    <row r="66" spans="1:242" ht="12" customHeight="1" x14ac:dyDescent="0.25">
      <c r="A66" s="220" t="s">
        <v>244</v>
      </c>
      <c r="B66" s="205">
        <f>B45-B57-B63</f>
        <v>0</v>
      </c>
      <c r="C66" s="205">
        <f>C45-C57-C63</f>
        <v>2068.6000000000004</v>
      </c>
      <c r="D66" s="205">
        <f>D45-D57-D63</f>
        <v>2131.8000000000002</v>
      </c>
      <c r="E66" s="205">
        <f t="shared" ref="E66:M66" si="22">E45-E57-E63</f>
        <v>2042.1000000000004</v>
      </c>
      <c r="F66" s="205">
        <f t="shared" si="22"/>
        <v>1826.5</v>
      </c>
      <c r="G66" s="205">
        <f t="shared" si="22"/>
        <v>882.59999999999991</v>
      </c>
      <c r="H66" s="205">
        <f t="shared" si="22"/>
        <v>663.3</v>
      </c>
      <c r="I66" s="205">
        <f t="shared" si="22"/>
        <v>419.4</v>
      </c>
      <c r="J66" s="205">
        <f t="shared" si="22"/>
        <v>283.8</v>
      </c>
      <c r="K66" s="205">
        <f t="shared" si="22"/>
        <v>221.2</v>
      </c>
      <c r="L66" s="205">
        <f t="shared" si="22"/>
        <v>140.19999999999999</v>
      </c>
      <c r="M66" s="205">
        <f t="shared" si="22"/>
        <v>84.1</v>
      </c>
      <c r="N66" s="205"/>
      <c r="O66" s="205"/>
    </row>
    <row r="67" spans="1:242" ht="12" customHeight="1" x14ac:dyDescent="0.2">
      <c r="L67" s="201"/>
      <c r="M67" s="201"/>
      <c r="N67" s="201"/>
      <c r="O67" s="201"/>
    </row>
    <row r="68" spans="1:242" ht="12" customHeight="1" x14ac:dyDescent="0.2">
      <c r="L68" s="201"/>
      <c r="M68" s="201"/>
      <c r="N68" s="201"/>
      <c r="O68" s="201"/>
    </row>
    <row r="69" spans="1:242" ht="12" customHeight="1" x14ac:dyDescent="0.25">
      <c r="A69" s="204" t="s">
        <v>245</v>
      </c>
      <c r="B69" s="204"/>
      <c r="C69" s="204"/>
      <c r="D69" s="204"/>
      <c r="E69" s="204"/>
      <c r="F69" s="204"/>
      <c r="G69" s="204"/>
      <c r="H69" s="204"/>
      <c r="I69" s="204"/>
      <c r="J69" s="204"/>
      <c r="K69" s="204"/>
      <c r="L69" s="204"/>
      <c r="M69" s="204"/>
      <c r="N69" s="204"/>
      <c r="O69" s="204"/>
    </row>
    <row r="70" spans="1:242" ht="12" customHeight="1" x14ac:dyDescent="0.25">
      <c r="A70" s="201" t="s">
        <v>246</v>
      </c>
      <c r="B70" s="205"/>
      <c r="C70" s="205">
        <f>Cifras_Originales!B47</f>
        <v>9500</v>
      </c>
      <c r="D70" s="205">
        <f>Cifras_Originales!C47</f>
        <v>7500</v>
      </c>
      <c r="E70" s="205">
        <f>Cifras_Originales!D47</f>
        <v>6300</v>
      </c>
      <c r="F70" s="205">
        <f>Cifras_Originales!E47</f>
        <v>5500</v>
      </c>
      <c r="G70" s="205">
        <f>Cifras_Originales!F47</f>
        <v>3900</v>
      </c>
      <c r="H70" s="205">
        <f>Cifras_Originales!G47</f>
        <v>2800</v>
      </c>
      <c r="I70" s="205">
        <f>Cifras_Originales!H47</f>
        <v>2290</v>
      </c>
      <c r="J70" s="205">
        <f>Cifras_Originales!I47</f>
        <v>1900</v>
      </c>
      <c r="K70" s="205">
        <f>Cifras_Originales!J47</f>
        <v>1212</v>
      </c>
      <c r="L70" s="205">
        <f>Cifras_Originales!K47</f>
        <v>838</v>
      </c>
      <c r="M70" s="205">
        <f>Cifras_Originales!L47</f>
        <v>646</v>
      </c>
      <c r="N70" s="205"/>
      <c r="O70" s="205"/>
    </row>
    <row r="71" spans="1:242" ht="12" customHeight="1" x14ac:dyDescent="0.25">
      <c r="A71" s="201" t="s">
        <v>247</v>
      </c>
      <c r="B71" s="205"/>
      <c r="C71" s="205">
        <f>+Cifras_Originales!B48</f>
        <v>385.4</v>
      </c>
      <c r="D71" s="205">
        <f>+Cifras_Originales!C48</f>
        <v>386.3</v>
      </c>
      <c r="E71" s="205">
        <f>+Cifras_Originales!D48</f>
        <v>388</v>
      </c>
      <c r="F71" s="205">
        <f>+Cifras_Originales!E48</f>
        <v>384.4</v>
      </c>
      <c r="G71" s="205">
        <f>+Cifras_Originales!F48</f>
        <v>366.4</v>
      </c>
      <c r="H71" s="205">
        <f>+Cifras_Originales!G48</f>
        <v>360</v>
      </c>
      <c r="I71" s="205">
        <f>+Cifras_Originales!H48</f>
        <v>348</v>
      </c>
      <c r="J71" s="205">
        <f>+Cifras_Originales!I48</f>
        <v>338.4</v>
      </c>
      <c r="K71" s="205">
        <f>+Cifras_Originales!J48</f>
        <v>326.8</v>
      </c>
      <c r="L71" s="205">
        <f>+Cifras_Originales!K48</f>
        <v>309.2</v>
      </c>
      <c r="M71" s="205">
        <f>+Cifras_Originales!L48</f>
        <v>290</v>
      </c>
      <c r="N71" s="205"/>
      <c r="O71" s="205"/>
    </row>
    <row r="72" spans="1:242" ht="12" customHeight="1" x14ac:dyDescent="0.25">
      <c r="A72" s="201" t="s">
        <v>171</v>
      </c>
      <c r="B72" s="207"/>
      <c r="C72" s="207">
        <f>Cifras_Originales!B49</f>
        <v>0</v>
      </c>
      <c r="D72" s="207">
        <f>Cifras_Originales!C49</f>
        <v>0</v>
      </c>
      <c r="E72" s="207">
        <f>Cifras_Originales!D49</f>
        <v>0</v>
      </c>
      <c r="F72" s="207">
        <f>Cifras_Originales!E49</f>
        <v>0</v>
      </c>
      <c r="G72" s="207">
        <f>Cifras_Originales!F49</f>
        <v>0</v>
      </c>
      <c r="H72" s="207">
        <f>Cifras_Originales!G49</f>
        <v>0</v>
      </c>
      <c r="I72" s="207">
        <f>Cifras_Originales!H49</f>
        <v>0</v>
      </c>
      <c r="J72" s="207">
        <f>Cifras_Originales!I49</f>
        <v>0</v>
      </c>
      <c r="K72" s="207">
        <f>Cifras_Originales!J49</f>
        <v>0</v>
      </c>
      <c r="L72" s="207">
        <f>Cifras_Originales!K49</f>
        <v>0</v>
      </c>
      <c r="M72" s="207">
        <f>Cifras_Originales!L49</f>
        <v>0</v>
      </c>
      <c r="N72" s="207"/>
      <c r="O72" s="207"/>
    </row>
    <row r="73" spans="1:242" ht="12" customHeight="1" x14ac:dyDescent="0.25">
      <c r="A73" s="201" t="s">
        <v>248</v>
      </c>
      <c r="B73" s="206"/>
      <c r="C73" s="206">
        <f>Cifras_Originales!B50</f>
        <v>1.09E-2</v>
      </c>
      <c r="D73" s="206">
        <f>Cifras_Originales!C50</f>
        <v>0</v>
      </c>
      <c r="E73" s="206">
        <f>Cifras_Originales!D50</f>
        <v>0</v>
      </c>
      <c r="F73" s="206">
        <f>Cifras_Originales!E50</f>
        <v>0</v>
      </c>
      <c r="G73" s="206">
        <f>Cifras_Originales!F50</f>
        <v>0</v>
      </c>
      <c r="H73" s="206">
        <f>Cifras_Originales!G50</f>
        <v>0</v>
      </c>
      <c r="I73" s="206">
        <f>Cifras_Originales!H50</f>
        <v>0</v>
      </c>
      <c r="J73" s="206">
        <f>Cifras_Originales!I50</f>
        <v>0</v>
      </c>
      <c r="K73" s="206">
        <f>Cifras_Originales!J50</f>
        <v>0</v>
      </c>
      <c r="L73" s="206">
        <f>Cifras_Originales!K50</f>
        <v>0</v>
      </c>
      <c r="M73" s="206">
        <f>Cifras_Originales!L50</f>
        <v>0</v>
      </c>
      <c r="N73" s="206"/>
      <c r="O73" s="206"/>
    </row>
    <row r="74" spans="1:242" ht="12" customHeight="1" x14ac:dyDescent="0.25">
      <c r="A74" s="201" t="s">
        <v>249</v>
      </c>
      <c r="B74" s="205"/>
      <c r="C74" s="205">
        <f>+Cifras_Originales!B51</f>
        <v>0</v>
      </c>
      <c r="D74" s="205">
        <f>+Cifras_Originales!C51</f>
        <v>0</v>
      </c>
      <c r="E74" s="205">
        <f>+Cifras_Originales!D51</f>
        <v>0</v>
      </c>
      <c r="F74" s="205">
        <f>+Cifras_Originales!E51</f>
        <v>0</v>
      </c>
      <c r="G74" s="205">
        <f>+Cifras_Originales!F51</f>
        <v>0</v>
      </c>
      <c r="H74" s="205">
        <f>+Cifras_Originales!G51</f>
        <v>0</v>
      </c>
      <c r="I74" s="205">
        <f>+Cifras_Originales!H51</f>
        <v>0</v>
      </c>
      <c r="J74" s="205">
        <f>+Cifras_Originales!I51</f>
        <v>0</v>
      </c>
      <c r="K74" s="205">
        <f>+Cifras_Originales!J51</f>
        <v>0</v>
      </c>
      <c r="L74" s="205">
        <f>+Cifras_Originales!K51</f>
        <v>0</v>
      </c>
      <c r="M74" s="205">
        <f>+Cifras_Originales!L51</f>
        <v>0</v>
      </c>
      <c r="N74" s="205"/>
      <c r="O74" s="205"/>
    </row>
    <row r="75" spans="1:242" ht="12" customHeight="1" x14ac:dyDescent="0.25">
      <c r="A75" s="201" t="str">
        <f>Cifras_Originales!A52</f>
        <v>Vol. Diario en Millones USD</v>
      </c>
      <c r="B75" s="205"/>
      <c r="C75" s="205">
        <f>Cifras_Originales!B52</f>
        <v>0</v>
      </c>
      <c r="D75" s="205">
        <f>Cifras_Originales!C52</f>
        <v>0</v>
      </c>
      <c r="E75" s="205">
        <f>Cifras_Originales!D52</f>
        <v>0</v>
      </c>
      <c r="F75" s="205">
        <f>Cifras_Originales!E52</f>
        <v>0</v>
      </c>
      <c r="G75" s="205">
        <f>Cifras_Originales!F52</f>
        <v>0</v>
      </c>
      <c r="H75" s="205">
        <f>Cifras_Originales!G52</f>
        <v>0</v>
      </c>
      <c r="I75" s="205">
        <f>Cifras_Originales!H52</f>
        <v>0</v>
      </c>
      <c r="J75" s="205">
        <f>Cifras_Originales!I52</f>
        <v>0</v>
      </c>
      <c r="K75" s="205">
        <f>Cifras_Originales!J52</f>
        <v>0</v>
      </c>
      <c r="L75" s="205">
        <f>Cifras_Originales!K52</f>
        <v>0</v>
      </c>
      <c r="M75" s="205">
        <f>Cifras_Originales!L52</f>
        <v>0</v>
      </c>
      <c r="N75" s="205"/>
      <c r="O75" s="205"/>
      <c r="IH75" s="201">
        <f>Cifras_Originales!GM52</f>
        <v>0</v>
      </c>
    </row>
    <row r="76" spans="1:242" ht="12" customHeight="1" x14ac:dyDescent="0.2">
      <c r="C76" s="224"/>
      <c r="D76" s="224"/>
      <c r="E76" s="224"/>
      <c r="F76" s="224"/>
      <c r="G76" s="224"/>
      <c r="H76" s="224"/>
      <c r="I76" s="224"/>
      <c r="J76" s="224"/>
      <c r="K76" s="224"/>
      <c r="L76" s="224"/>
      <c r="M76" s="224"/>
      <c r="N76" s="224"/>
      <c r="IH76" s="201"/>
    </row>
    <row r="77" spans="1:242" ht="12" customHeight="1" x14ac:dyDescent="0.25">
      <c r="B77" s="204">
        <f>+Cifras_Originales!B53</f>
        <v>2021</v>
      </c>
      <c r="C77" s="204">
        <f>+Cifras_Originales!C53</f>
        <v>2022</v>
      </c>
      <c r="D77" s="204">
        <f>+Cifras_Originales!D53</f>
        <v>2023</v>
      </c>
      <c r="H77" s="204"/>
      <c r="I77" s="224"/>
      <c r="J77" s="224"/>
      <c r="K77" s="224"/>
      <c r="L77" s="224"/>
      <c r="M77" s="224"/>
      <c r="N77" s="224"/>
      <c r="IH77" s="201"/>
    </row>
    <row r="78" spans="1:242" ht="12" customHeight="1" x14ac:dyDescent="0.25">
      <c r="A78" s="201" t="str">
        <f>Cifras_Originales!A54</f>
        <v>Posicion en Corto (%)</v>
      </c>
      <c r="B78" s="206">
        <f>Cifras_Originales!B54</f>
        <v>0</v>
      </c>
      <c r="C78" s="225"/>
      <c r="D78" s="225"/>
      <c r="H78" s="224"/>
      <c r="I78" s="224"/>
      <c r="J78" s="224"/>
      <c r="K78" s="224"/>
      <c r="L78" s="224"/>
      <c r="M78" s="224"/>
      <c r="N78" s="224"/>
      <c r="IH78" s="201"/>
    </row>
    <row r="79" spans="1:242" ht="12" customHeight="1" x14ac:dyDescent="0.25">
      <c r="A79" s="201" t="str">
        <f>Cifras_Originales!A55</f>
        <v>EPS</v>
      </c>
      <c r="B79" s="225">
        <f>Cifras_Originales!B55</f>
        <v>0.56000000000000005</v>
      </c>
      <c r="C79" s="225">
        <f>Cifras_Originales!C55</f>
        <v>0.88</v>
      </c>
      <c r="D79" s="225">
        <f>Cifras_Originales!D55</f>
        <v>1.4</v>
      </c>
    </row>
    <row r="80" spans="1:242" ht="12" customHeight="1" x14ac:dyDescent="0.2"/>
    <row r="81" spans="1:8" ht="12" x14ac:dyDescent="0.25">
      <c r="A81" s="220" t="str">
        <f>+Cifras_Originales!A57</f>
        <v>BONOS DE LA EMISORA A 3, 5 Y 10</v>
      </c>
      <c r="B81" s="204" t="s">
        <v>250</v>
      </c>
      <c r="C81" s="204" t="s">
        <v>251</v>
      </c>
      <c r="D81" s="204" t="s">
        <v>252</v>
      </c>
      <c r="E81" s="204" t="s">
        <v>253</v>
      </c>
      <c r="H81" s="204"/>
    </row>
    <row r="82" spans="1:8" ht="13.2" x14ac:dyDescent="0.25">
      <c r="A82" s="201">
        <f>+Cifras_Originales!A58</f>
        <v>0</v>
      </c>
      <c r="B82" s="225">
        <f>+Cifras_Originales!B58</f>
        <v>0</v>
      </c>
      <c r="C82" s="196">
        <f>+Cifras_Originales!C58</f>
        <v>0</v>
      </c>
      <c r="D82" s="206">
        <f>+Cifras_Originales!D58</f>
        <v>0</v>
      </c>
      <c r="E82" s="196">
        <f>+Cifras_Originales!E58</f>
        <v>0</v>
      </c>
    </row>
    <row r="83" spans="1:8" ht="13.2" x14ac:dyDescent="0.25">
      <c r="A83" s="201">
        <f>+Cifras_Originales!A59</f>
        <v>0</v>
      </c>
      <c r="B83" s="225">
        <f>+Cifras_Originales!B59</f>
        <v>0</v>
      </c>
      <c r="C83" s="196">
        <f>+Cifras_Originales!C59</f>
        <v>0</v>
      </c>
      <c r="D83" s="206">
        <f>+Cifras_Originales!D59</f>
        <v>0</v>
      </c>
      <c r="E83" s="196">
        <f>+Cifras_Originales!E59</f>
        <v>0</v>
      </c>
    </row>
    <row r="84" spans="1:8" ht="13.2" x14ac:dyDescent="0.25">
      <c r="A84" s="201">
        <f>+Cifras_Originales!A60</f>
        <v>0</v>
      </c>
      <c r="B84" s="225">
        <f>+Cifras_Originales!B60</f>
        <v>0</v>
      </c>
      <c r="C84" s="196">
        <f>+Cifras_Originales!C60</f>
        <v>0</v>
      </c>
      <c r="D84" s="206">
        <f>+Cifras_Originales!D60</f>
        <v>0</v>
      </c>
      <c r="E84" s="196">
        <f>+Cifras_Originales!E60</f>
        <v>0</v>
      </c>
    </row>
    <row r="85" spans="1:8" ht="13.2" x14ac:dyDescent="0.25">
      <c r="A85" s="201">
        <f>+Cifras_Originales!A61</f>
        <v>0</v>
      </c>
      <c r="B85" s="225">
        <f>+Cifras_Originales!B61</f>
        <v>0</v>
      </c>
      <c r="C85" s="196">
        <f>+Cifras_Originales!C61</f>
        <v>0</v>
      </c>
      <c r="D85" s="206">
        <f>+Cifras_Originales!D61</f>
        <v>0</v>
      </c>
      <c r="E85" s="196">
        <f>+Cifras_Originales!E61</f>
        <v>0</v>
      </c>
    </row>
    <row r="86" spans="1:8" ht="13.2" x14ac:dyDescent="0.25">
      <c r="C86" s="225"/>
      <c r="D86" s="225"/>
      <c r="E86" s="196"/>
      <c r="F86" s="226"/>
      <c r="G86" s="196"/>
    </row>
    <row r="87" spans="1:8" ht="13.2" x14ac:dyDescent="0.25">
      <c r="C87" s="225"/>
      <c r="D87" s="225"/>
      <c r="E87" s="196"/>
      <c r="F87" s="226"/>
      <c r="G87" s="196"/>
    </row>
    <row r="88" spans="1:8" ht="13.2" x14ac:dyDescent="0.25">
      <c r="C88" s="225"/>
      <c r="D88" s="225"/>
      <c r="E88" s="196"/>
      <c r="F88" s="226"/>
      <c r="G88" s="196"/>
    </row>
    <row r="89" spans="1:8" ht="13.2" x14ac:dyDescent="0.25">
      <c r="C89" s="225"/>
      <c r="D89" s="225"/>
      <c r="E89" s="196"/>
      <c r="F89" s="226"/>
      <c r="G89" s="196"/>
    </row>
    <row r="90" spans="1:8" ht="13.2" x14ac:dyDescent="0.25">
      <c r="C90" s="225"/>
      <c r="D90" s="225"/>
      <c r="E90" s="196"/>
      <c r="F90" s="226"/>
      <c r="G90" s="196"/>
    </row>
    <row r="91" spans="1:8" ht="13.2" x14ac:dyDescent="0.25">
      <c r="C91" s="225"/>
      <c r="D91" s="225"/>
      <c r="E91" s="196"/>
      <c r="F91" s="226"/>
      <c r="G91" s="196"/>
    </row>
    <row r="92" spans="1:8" ht="13.2" x14ac:dyDescent="0.25">
      <c r="C92" s="225"/>
      <c r="D92" s="225"/>
      <c r="E92" s="196"/>
      <c r="F92" s="226"/>
      <c r="G92" s="196"/>
    </row>
    <row r="93" spans="1:8" ht="13.2" x14ac:dyDescent="0.25">
      <c r="C93" s="225"/>
      <c r="D93" s="225"/>
      <c r="E93" s="196"/>
      <c r="F93" s="226"/>
      <c r="G93" s="196"/>
    </row>
    <row r="94" spans="1:8" ht="13.2" x14ac:dyDescent="0.25">
      <c r="C94" s="225"/>
      <c r="D94" s="225"/>
      <c r="E94" s="196"/>
      <c r="F94" s="226"/>
      <c r="G94" s="196"/>
    </row>
  </sheetData>
  <mergeCells count="2">
    <mergeCell ref="A1:L1"/>
    <mergeCell ref="A2:L2"/>
  </mergeCells>
  <printOptions horizontalCentered="1" verticalCentered="1"/>
  <pageMargins left="0.25" right="0.25" top="0.75" bottom="0.75" header="0.3" footer="0.3"/>
  <pageSetup paperSize="122" scale="56" orientation="portrait"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X64"/>
  <sheetViews>
    <sheetView topLeftCell="A19" zoomScaleNormal="100" workbookViewId="0">
      <selection activeCell="C14" sqref="C14"/>
    </sheetView>
  </sheetViews>
  <sheetFormatPr defaultColWidth="11.44140625" defaultRowHeight="13.8" x14ac:dyDescent="0.25"/>
  <cols>
    <col min="1" max="1" width="34.109375" style="227" customWidth="1"/>
    <col min="2" max="2" width="14.44140625" style="227" customWidth="1"/>
    <col min="3" max="7" width="14.44140625" style="227" bestFit="1" customWidth="1"/>
    <col min="8" max="8" width="15.109375" style="227" bestFit="1" customWidth="1"/>
    <col min="9" max="10" width="14.44140625" style="227" bestFit="1" customWidth="1"/>
    <col min="11" max="12" width="14.44140625" style="228" bestFit="1" customWidth="1"/>
    <col min="13" max="15" width="14.44140625" style="227" customWidth="1"/>
    <col min="16" max="16" width="11.44140625" style="227" customWidth="1"/>
    <col min="17" max="17" width="19.109375" style="227" customWidth="1"/>
    <col min="18" max="18" width="18.109375" style="227" bestFit="1" customWidth="1"/>
    <col min="19" max="29" width="14.88671875" style="227" customWidth="1"/>
    <col min="30" max="16384" width="11.44140625" style="227"/>
  </cols>
  <sheetData>
    <row r="1" spans="1:30" x14ac:dyDescent="0.25">
      <c r="A1" s="227" t="s">
        <v>348</v>
      </c>
    </row>
    <row r="2" spans="1:30" x14ac:dyDescent="0.25">
      <c r="A2" s="227" t="s">
        <v>349</v>
      </c>
      <c r="B2" s="259"/>
      <c r="C2" s="611" t="str">
        <f>"Cifras en "&amp;A2&amp;" de "&amp;A1</f>
        <v>Cifras en Millones de USD</v>
      </c>
      <c r="D2" s="611"/>
      <c r="E2" s="611"/>
      <c r="F2" s="611"/>
      <c r="G2" s="611"/>
      <c r="H2" s="611"/>
      <c r="I2" s="611"/>
      <c r="J2" s="611"/>
      <c r="K2" s="611"/>
      <c r="L2" s="611"/>
    </row>
    <row r="3" spans="1:30" x14ac:dyDescent="0.25">
      <c r="A3" s="227" t="s">
        <v>440</v>
      </c>
      <c r="D3" s="232"/>
      <c r="G3" s="227" t="str">
        <f>A3&amp;" ("&amp;A4&amp;")"</f>
        <v>DexCom, Inc. (DXCM)</v>
      </c>
    </row>
    <row r="4" spans="1:30" x14ac:dyDescent="0.25">
      <c r="A4" s="227" t="s">
        <v>441</v>
      </c>
      <c r="D4" s="232"/>
      <c r="K4" s="227"/>
      <c r="L4" s="227"/>
    </row>
    <row r="5" spans="1:30" x14ac:dyDescent="0.25">
      <c r="A5" s="260" t="s">
        <v>254</v>
      </c>
      <c r="B5" s="260">
        <v>2023</v>
      </c>
      <c r="C5" s="260">
        <f>B5-1</f>
        <v>2022</v>
      </c>
      <c r="D5" s="260">
        <f>C5-1</f>
        <v>2021</v>
      </c>
      <c r="E5" s="260">
        <f t="shared" ref="E5:M5" si="0">D5-1</f>
        <v>2020</v>
      </c>
      <c r="F5" s="260">
        <f t="shared" si="0"/>
        <v>2019</v>
      </c>
      <c r="G5" s="260">
        <f t="shared" si="0"/>
        <v>2018</v>
      </c>
      <c r="H5" s="260">
        <f t="shared" si="0"/>
        <v>2017</v>
      </c>
      <c r="I5" s="260">
        <f t="shared" si="0"/>
        <v>2016</v>
      </c>
      <c r="J5" s="260">
        <f t="shared" si="0"/>
        <v>2015</v>
      </c>
      <c r="K5" s="260">
        <f t="shared" si="0"/>
        <v>2014</v>
      </c>
      <c r="L5" s="260">
        <f t="shared" si="0"/>
        <v>2013</v>
      </c>
      <c r="M5" s="260">
        <f t="shared" si="0"/>
        <v>2012</v>
      </c>
      <c r="S5" s="359"/>
    </row>
    <row r="6" spans="1:30" x14ac:dyDescent="0.25">
      <c r="A6" s="230" t="s">
        <v>203</v>
      </c>
      <c r="B6" s="370">
        <v>3622.3</v>
      </c>
      <c r="C6" s="370">
        <v>2909.3</v>
      </c>
      <c r="D6" s="370">
        <v>2448.5</v>
      </c>
      <c r="E6" s="370">
        <v>1926.7</v>
      </c>
      <c r="F6" s="370">
        <v>1476</v>
      </c>
      <c r="G6" s="370">
        <v>1031.5999999999999</v>
      </c>
      <c r="H6" s="370">
        <v>718.5</v>
      </c>
      <c r="I6" s="370">
        <v>573.29999999999995</v>
      </c>
      <c r="J6" s="370">
        <v>402</v>
      </c>
      <c r="K6" s="370">
        <v>259.2</v>
      </c>
      <c r="L6" s="370">
        <v>160</v>
      </c>
      <c r="M6" s="370">
        <v>99.9</v>
      </c>
      <c r="N6" s="231"/>
      <c r="O6" s="228"/>
      <c r="P6" s="228"/>
    </row>
    <row r="7" spans="1:30" x14ac:dyDescent="0.25">
      <c r="A7" s="230" t="s">
        <v>205</v>
      </c>
      <c r="B7" s="370">
        <v>2288.9</v>
      </c>
      <c r="C7" s="370">
        <v>1883.1</v>
      </c>
      <c r="D7" s="370">
        <v>1680.5</v>
      </c>
      <c r="E7" s="370">
        <v>1280.0999999999999</v>
      </c>
      <c r="F7" s="370">
        <v>931.5</v>
      </c>
      <c r="G7" s="370">
        <v>663.9</v>
      </c>
      <c r="H7" s="370">
        <v>492.1</v>
      </c>
      <c r="I7" s="370">
        <v>378.4</v>
      </c>
      <c r="J7" s="370">
        <v>278.39999999999998</v>
      </c>
      <c r="K7" s="370">
        <v>176.3</v>
      </c>
      <c r="L7" s="370">
        <v>100.1</v>
      </c>
      <c r="M7" s="370">
        <v>46.6</v>
      </c>
      <c r="N7" s="231"/>
      <c r="O7" s="228"/>
      <c r="P7" s="360"/>
      <c r="S7" s="361"/>
      <c r="T7" s="359"/>
    </row>
    <row r="8" spans="1:30" x14ac:dyDescent="0.25">
      <c r="A8" s="230" t="s">
        <v>208</v>
      </c>
      <c r="B8" s="370">
        <v>597.70000000000005</v>
      </c>
      <c r="C8" s="370">
        <v>391.2</v>
      </c>
      <c r="D8" s="370">
        <v>265.8</v>
      </c>
      <c r="E8" s="370">
        <v>299.5</v>
      </c>
      <c r="F8" s="370">
        <v>142.30000000000001</v>
      </c>
      <c r="G8" s="370">
        <v>-186.3</v>
      </c>
      <c r="H8" s="370">
        <v>-42.5</v>
      </c>
      <c r="I8" s="370">
        <v>-63.9</v>
      </c>
      <c r="J8" s="370">
        <v>-57.1</v>
      </c>
      <c r="K8" s="370">
        <v>-21.5</v>
      </c>
      <c r="L8" s="370">
        <v>-28.9</v>
      </c>
      <c r="M8" s="370">
        <v>-55.7</v>
      </c>
      <c r="N8" s="231"/>
      <c r="O8" s="228"/>
      <c r="P8" s="362"/>
    </row>
    <row r="9" spans="1:30" x14ac:dyDescent="0.25">
      <c r="A9" s="230" t="s">
        <v>255</v>
      </c>
      <c r="B9" s="370">
        <v>-114.7</v>
      </c>
      <c r="C9" s="370">
        <v>6</v>
      </c>
      <c r="D9" s="370">
        <v>17.100000000000001</v>
      </c>
      <c r="E9" s="370">
        <v>1.6</v>
      </c>
      <c r="F9" s="370">
        <v>33.9</v>
      </c>
      <c r="G9" s="370">
        <v>20.3</v>
      </c>
      <c r="H9" s="370">
        <v>9.5</v>
      </c>
      <c r="I9" s="370">
        <v>0.3</v>
      </c>
      <c r="J9" s="370">
        <v>0.4</v>
      </c>
      <c r="K9" s="370">
        <v>0.8</v>
      </c>
      <c r="L9" s="370">
        <v>0.9</v>
      </c>
      <c r="M9" s="370">
        <v>0.1</v>
      </c>
      <c r="N9" s="231"/>
      <c r="O9" s="228"/>
      <c r="P9" s="228"/>
      <c r="R9" s="260">
        <f>B5</f>
        <v>2023</v>
      </c>
      <c r="S9" s="260">
        <f>C5</f>
        <v>2022</v>
      </c>
      <c r="T9" s="260">
        <f t="shared" ref="T9:AB9" si="1">D5</f>
        <v>2021</v>
      </c>
      <c r="U9" s="260">
        <f t="shared" si="1"/>
        <v>2020</v>
      </c>
      <c r="V9" s="260">
        <f t="shared" si="1"/>
        <v>2019</v>
      </c>
      <c r="W9" s="260">
        <f t="shared" si="1"/>
        <v>2018</v>
      </c>
      <c r="X9" s="260">
        <f t="shared" si="1"/>
        <v>2017</v>
      </c>
      <c r="Y9" s="260">
        <f t="shared" si="1"/>
        <v>2016</v>
      </c>
      <c r="Z9" s="260">
        <f t="shared" si="1"/>
        <v>2015</v>
      </c>
      <c r="AA9" s="260">
        <f t="shared" si="1"/>
        <v>2014</v>
      </c>
      <c r="AB9" s="260">
        <f t="shared" si="1"/>
        <v>2013</v>
      </c>
      <c r="AC9" s="260"/>
    </row>
    <row r="10" spans="1:30" x14ac:dyDescent="0.25">
      <c r="A10" s="230" t="s">
        <v>256</v>
      </c>
      <c r="B10" s="370">
        <v>2</v>
      </c>
      <c r="C10" s="370">
        <v>-5.6</v>
      </c>
      <c r="D10" s="370">
        <f>3.5-11.6</f>
        <v>-8.1</v>
      </c>
      <c r="E10" s="370">
        <v>0</v>
      </c>
      <c r="F10" s="370">
        <v>4.2</v>
      </c>
      <c r="G10" s="370">
        <v>-80.099999999999994</v>
      </c>
      <c r="H10" s="370">
        <v>-3.4</v>
      </c>
      <c r="I10" s="370">
        <v>0.7</v>
      </c>
      <c r="J10" s="370">
        <v>0</v>
      </c>
      <c r="K10" s="370">
        <v>0</v>
      </c>
      <c r="L10" s="370">
        <v>0</v>
      </c>
      <c r="M10" s="370">
        <v>0</v>
      </c>
      <c r="N10" s="231"/>
      <c r="O10" s="228"/>
      <c r="P10" s="228"/>
      <c r="Q10" s="227" t="s">
        <v>350</v>
      </c>
      <c r="R10" s="232">
        <f t="shared" ref="R10:AB10" si="2">C24</f>
        <v>306.7</v>
      </c>
      <c r="S10" s="232">
        <f t="shared" si="2"/>
        <v>357.3</v>
      </c>
      <c r="T10" s="232">
        <f t="shared" si="2"/>
        <v>234.7</v>
      </c>
      <c r="U10" s="232">
        <f t="shared" si="2"/>
        <v>119.8</v>
      </c>
      <c r="V10" s="232">
        <f t="shared" si="2"/>
        <v>70.7</v>
      </c>
      <c r="W10" s="232">
        <f t="shared" si="2"/>
        <v>45.2</v>
      </c>
      <c r="X10" s="232">
        <f t="shared" si="2"/>
        <v>45.4</v>
      </c>
      <c r="Y10" s="232">
        <f t="shared" si="2"/>
        <v>35.200000000000003</v>
      </c>
      <c r="Z10" s="232">
        <f t="shared" si="2"/>
        <v>16</v>
      </c>
      <c r="AA10" s="232">
        <f t="shared" si="2"/>
        <v>9</v>
      </c>
      <c r="AB10" s="232">
        <f t="shared" si="2"/>
        <v>7.4</v>
      </c>
      <c r="AD10" s="232"/>
    </row>
    <row r="11" spans="1:30" x14ac:dyDescent="0.25">
      <c r="A11" s="230" t="s">
        <v>257</v>
      </c>
      <c r="B11" s="370">
        <v>202.5</v>
      </c>
      <c r="C11" s="370">
        <v>172.3</v>
      </c>
      <c r="D11" s="370">
        <v>120</v>
      </c>
      <c r="E11" s="370">
        <v>67.099999999999994</v>
      </c>
      <c r="F11" s="370">
        <v>48.7</v>
      </c>
      <c r="G11" s="370">
        <v>29.1</v>
      </c>
      <c r="H11" s="370">
        <v>16.100000000000001</v>
      </c>
      <c r="I11" s="370">
        <v>15</v>
      </c>
      <c r="J11" s="370">
        <v>10.8</v>
      </c>
      <c r="K11" s="370">
        <v>8.4</v>
      </c>
      <c r="L11" s="370">
        <v>7</v>
      </c>
      <c r="M11" s="370">
        <v>6.6</v>
      </c>
      <c r="N11" s="231"/>
      <c r="O11" s="228"/>
      <c r="P11" s="228"/>
      <c r="Q11" s="227" t="s">
        <v>351</v>
      </c>
      <c r="R11" s="232">
        <f t="shared" ref="R11:AB11" si="3">C23</f>
        <v>713.3</v>
      </c>
      <c r="S11" s="232">
        <f t="shared" si="3"/>
        <v>514.29999999999995</v>
      </c>
      <c r="T11" s="232">
        <f t="shared" si="3"/>
        <v>428.5</v>
      </c>
      <c r="U11" s="232">
        <f t="shared" si="3"/>
        <v>286.3</v>
      </c>
      <c r="V11" s="232">
        <f t="shared" si="3"/>
        <v>226.7</v>
      </c>
      <c r="W11" s="232">
        <f t="shared" si="3"/>
        <v>134.30000000000001</v>
      </c>
      <c r="X11" s="232">
        <f t="shared" si="3"/>
        <v>101.7</v>
      </c>
      <c r="Y11" s="232">
        <f t="shared" si="3"/>
        <v>74.099999999999994</v>
      </c>
      <c r="Z11" s="232">
        <f t="shared" si="3"/>
        <v>42.4</v>
      </c>
      <c r="AA11" s="232">
        <f t="shared" si="3"/>
        <v>26.1</v>
      </c>
      <c r="AB11" s="232">
        <f t="shared" si="3"/>
        <v>19.5</v>
      </c>
      <c r="AD11" s="232"/>
    </row>
    <row r="12" spans="1:30" x14ac:dyDescent="0.25">
      <c r="A12" s="230" t="s">
        <v>214</v>
      </c>
      <c r="B12" s="370">
        <f>4425.9-1556</f>
        <v>2869.8999999999996</v>
      </c>
      <c r="C12" s="370">
        <f>3668.8-1839.3</f>
        <v>1829.5000000000002</v>
      </c>
      <c r="D12" s="370">
        <f>3684.4-720.8</f>
        <v>2963.6000000000004</v>
      </c>
      <c r="E12" s="370">
        <f>3424.8-614.1</f>
        <v>2810.7000000000003</v>
      </c>
      <c r="F12" s="370">
        <f>1969.4-360.2</f>
        <v>1609.2</v>
      </c>
      <c r="G12" s="370">
        <f>1699.5-222.4</f>
        <v>1477.1</v>
      </c>
      <c r="H12" s="370">
        <f>744.7-138.9</f>
        <v>605.80000000000007</v>
      </c>
      <c r="I12" s="370">
        <f>280-102.4</f>
        <v>177.6</v>
      </c>
      <c r="J12" s="370">
        <f>231.3-66.9</f>
        <v>164.4</v>
      </c>
      <c r="K12" s="370">
        <f>145.9-40.6</f>
        <v>105.30000000000001</v>
      </c>
      <c r="L12" s="370">
        <f>93.1-32.1</f>
        <v>60.999999999999993</v>
      </c>
      <c r="M12" s="370">
        <f>77.6-19.5</f>
        <v>58.099999999999994</v>
      </c>
      <c r="N12" s="231"/>
      <c r="O12" s="228"/>
      <c r="P12" s="228"/>
      <c r="Q12" s="227" t="s">
        <v>352</v>
      </c>
      <c r="R12" s="227">
        <v>276.39999999999998</v>
      </c>
      <c r="S12" s="232">
        <v>237.9</v>
      </c>
      <c r="T12" s="232">
        <v>189.4</v>
      </c>
      <c r="U12" s="232">
        <v>163.30000000000001</v>
      </c>
      <c r="V12" s="232">
        <v>102.3</v>
      </c>
      <c r="W12" s="232">
        <v>75.5</v>
      </c>
      <c r="X12" s="232">
        <v>46.7</v>
      </c>
      <c r="Y12" s="232">
        <v>24.5</v>
      </c>
      <c r="Z12" s="232">
        <v>19</v>
      </c>
      <c r="AA12" s="232">
        <v>9.9</v>
      </c>
      <c r="AB12" s="232">
        <v>4.2</v>
      </c>
      <c r="AC12" s="232"/>
      <c r="AD12" s="232"/>
    </row>
    <row r="13" spans="1:30" x14ac:dyDescent="0.25">
      <c r="A13" s="230" t="s">
        <v>117</v>
      </c>
      <c r="B13" s="370">
        <v>-358.8</v>
      </c>
      <c r="C13" s="370">
        <v>-236.6</v>
      </c>
      <c r="D13" s="370">
        <v>-389.2</v>
      </c>
      <c r="E13" s="370">
        <v>-199</v>
      </c>
      <c r="F13" s="370">
        <v>-180</v>
      </c>
      <c r="G13" s="370">
        <v>-67.099999999999994</v>
      </c>
      <c r="H13" s="370">
        <v>-66</v>
      </c>
      <c r="I13" s="370">
        <v>-55.7</v>
      </c>
      <c r="J13" s="370">
        <v>-51.5</v>
      </c>
      <c r="K13" s="370">
        <v>-16.8</v>
      </c>
      <c r="L13" s="370">
        <v>20.9</v>
      </c>
      <c r="M13" s="370">
        <v>28.4</v>
      </c>
      <c r="N13" s="231"/>
      <c r="T13" s="232"/>
    </row>
    <row r="14" spans="1:30" x14ac:dyDescent="0.25">
      <c r="A14" s="230" t="s">
        <v>19</v>
      </c>
      <c r="B14" s="370">
        <v>166.8</v>
      </c>
      <c r="C14" s="370">
        <v>-272.5</v>
      </c>
      <c r="D14" s="370">
        <f>-30.2+193.2</f>
        <v>163</v>
      </c>
      <c r="E14" s="370">
        <v>-1018</v>
      </c>
      <c r="F14" s="370">
        <v>-1015.2</v>
      </c>
      <c r="G14" s="370">
        <v>-139.80000000000001</v>
      </c>
      <c r="H14" s="370">
        <v>-144.4</v>
      </c>
      <c r="I14" s="370">
        <v>-55.9</v>
      </c>
      <c r="J14" s="370">
        <v>16.8</v>
      </c>
      <c r="K14" s="370">
        <v>21.8</v>
      </c>
      <c r="L14" s="370">
        <v>11.8</v>
      </c>
      <c r="M14" s="370">
        <v>10.199999999999999</v>
      </c>
      <c r="N14" s="231"/>
      <c r="O14" s="228"/>
      <c r="P14" s="228"/>
      <c r="S14" s="228">
        <f t="shared" ref="S14:AB14" si="4">(R10-S10)</f>
        <v>-50.600000000000023</v>
      </c>
      <c r="T14" s="228">
        <f t="shared" si="4"/>
        <v>122.60000000000002</v>
      </c>
      <c r="U14" s="228">
        <f t="shared" si="4"/>
        <v>114.89999999999999</v>
      </c>
      <c r="V14" s="228">
        <f t="shared" si="4"/>
        <v>49.099999999999994</v>
      </c>
      <c r="W14" s="228">
        <f t="shared" si="4"/>
        <v>25.5</v>
      </c>
      <c r="X14" s="228">
        <f t="shared" si="4"/>
        <v>-0.19999999999999574</v>
      </c>
      <c r="Y14" s="228">
        <f t="shared" si="4"/>
        <v>10.199999999999996</v>
      </c>
      <c r="Z14" s="228">
        <f t="shared" si="4"/>
        <v>19.200000000000003</v>
      </c>
      <c r="AA14" s="228">
        <f t="shared" si="4"/>
        <v>7</v>
      </c>
      <c r="AB14" s="228">
        <f t="shared" si="4"/>
        <v>1.5999999999999996</v>
      </c>
      <c r="AC14" s="363"/>
      <c r="AD14" s="363"/>
    </row>
    <row r="15" spans="1:30" x14ac:dyDescent="0.25">
      <c r="A15" s="230" t="s">
        <v>216</v>
      </c>
      <c r="B15" s="370">
        <v>168.9</v>
      </c>
      <c r="C15" s="370">
        <v>49.6</v>
      </c>
      <c r="D15" s="370">
        <v>39.9</v>
      </c>
      <c r="E15" s="370">
        <v>-251.8</v>
      </c>
      <c r="F15" s="370">
        <v>3.1</v>
      </c>
      <c r="G15" s="370">
        <v>0.6</v>
      </c>
      <c r="H15" s="370">
        <v>1.6</v>
      </c>
      <c r="I15" s="370">
        <v>0.7</v>
      </c>
      <c r="J15" s="370">
        <v>0.1</v>
      </c>
      <c r="K15" s="370">
        <v>0.1</v>
      </c>
      <c r="L15" s="370">
        <v>0</v>
      </c>
      <c r="M15" s="370">
        <v>-1.3</v>
      </c>
      <c r="N15" s="231"/>
      <c r="O15" s="228"/>
      <c r="P15" s="228"/>
      <c r="R15" s="232"/>
      <c r="S15" s="228">
        <f t="shared" ref="S15:AB15" si="5">(R11-S11)</f>
        <v>199</v>
      </c>
      <c r="T15" s="228">
        <f t="shared" si="5"/>
        <v>85.799999999999955</v>
      </c>
      <c r="U15" s="228">
        <f t="shared" si="5"/>
        <v>142.19999999999999</v>
      </c>
      <c r="V15" s="228">
        <f t="shared" si="5"/>
        <v>59.600000000000023</v>
      </c>
      <c r="W15" s="228">
        <f t="shared" si="5"/>
        <v>92.399999999999977</v>
      </c>
      <c r="X15" s="228">
        <f t="shared" si="5"/>
        <v>32.600000000000009</v>
      </c>
      <c r="Y15" s="228">
        <f t="shared" si="5"/>
        <v>27.600000000000009</v>
      </c>
      <c r="Z15" s="228">
        <f t="shared" si="5"/>
        <v>31.699999999999996</v>
      </c>
      <c r="AA15" s="228">
        <f t="shared" si="5"/>
        <v>16.299999999999997</v>
      </c>
      <c r="AB15" s="228">
        <f t="shared" si="5"/>
        <v>6.6000000000000014</v>
      </c>
      <c r="AC15" s="363"/>
      <c r="AD15" s="363"/>
    </row>
    <row r="16" spans="1:30" x14ac:dyDescent="0.25">
      <c r="A16" s="230" t="s">
        <v>41</v>
      </c>
      <c r="B16" s="370">
        <v>541.5</v>
      </c>
      <c r="C16" s="370">
        <v>341.2</v>
      </c>
      <c r="D16" s="370">
        <v>216.9</v>
      </c>
      <c r="E16" s="370">
        <v>549.70000000000005</v>
      </c>
      <c r="F16" s="370">
        <v>101.1</v>
      </c>
      <c r="G16" s="370">
        <v>-127.1</v>
      </c>
      <c r="H16" s="370">
        <v>-50.2</v>
      </c>
      <c r="I16" s="370">
        <v>-65.599999999999994</v>
      </c>
      <c r="J16" s="370">
        <v>-57.6</v>
      </c>
      <c r="K16" s="370">
        <v>-22.4</v>
      </c>
      <c r="L16" s="370">
        <v>-29.8</v>
      </c>
      <c r="M16" s="370">
        <v>-54.5</v>
      </c>
      <c r="N16" s="231"/>
      <c r="O16" s="228"/>
      <c r="P16" s="228"/>
      <c r="R16" s="232"/>
      <c r="S16" s="228">
        <f t="shared" ref="S16:AB16" si="6">(S12-T12)</f>
        <v>48.5</v>
      </c>
      <c r="T16" s="228">
        <f t="shared" si="6"/>
        <v>26.099999999999994</v>
      </c>
      <c r="U16" s="228">
        <f t="shared" si="6"/>
        <v>61.000000000000014</v>
      </c>
      <c r="V16" s="228">
        <f t="shared" si="6"/>
        <v>26.799999999999997</v>
      </c>
      <c r="W16" s="228">
        <f t="shared" si="6"/>
        <v>28.799999999999997</v>
      </c>
      <c r="X16" s="228">
        <f t="shared" si="6"/>
        <v>22.200000000000003</v>
      </c>
      <c r="Y16" s="228">
        <f t="shared" si="6"/>
        <v>5.5</v>
      </c>
      <c r="Z16" s="228">
        <f t="shared" si="6"/>
        <v>9.1</v>
      </c>
      <c r="AA16" s="228">
        <f t="shared" si="6"/>
        <v>5.7</v>
      </c>
      <c r="AB16" s="228">
        <f t="shared" si="6"/>
        <v>4.2</v>
      </c>
      <c r="AC16" s="363"/>
      <c r="AD16" s="363"/>
    </row>
    <row r="17" spans="1:102" x14ac:dyDescent="0.25">
      <c r="A17" s="230" t="s">
        <v>220</v>
      </c>
      <c r="B17" s="370">
        <v>0</v>
      </c>
      <c r="C17" s="370">
        <v>0</v>
      </c>
      <c r="D17" s="370">
        <v>0</v>
      </c>
      <c r="E17" s="370">
        <v>0</v>
      </c>
      <c r="F17" s="370">
        <v>0</v>
      </c>
      <c r="G17" s="370">
        <v>0</v>
      </c>
      <c r="H17" s="370">
        <v>0</v>
      </c>
      <c r="I17" s="370">
        <v>0</v>
      </c>
      <c r="J17" s="370">
        <v>0</v>
      </c>
      <c r="K17" s="370">
        <v>0</v>
      </c>
      <c r="L17" s="370">
        <v>0</v>
      </c>
      <c r="M17" s="370">
        <v>0</v>
      </c>
      <c r="N17" s="231"/>
      <c r="O17" s="228"/>
      <c r="P17" s="228"/>
      <c r="Q17" s="235" t="s">
        <v>353</v>
      </c>
      <c r="R17" s="235"/>
      <c r="S17" s="234">
        <f>SUM(S14:S16)</f>
        <v>196.89999999999998</v>
      </c>
      <c r="T17" s="234">
        <f t="shared" ref="T17:AB17" si="7">SUM(T14:T16)</f>
        <v>234.49999999999997</v>
      </c>
      <c r="U17" s="234">
        <f t="shared" si="7"/>
        <v>318.09999999999997</v>
      </c>
      <c r="V17" s="234">
        <f t="shared" si="7"/>
        <v>135.5</v>
      </c>
      <c r="W17" s="234">
        <f t="shared" si="7"/>
        <v>146.69999999999999</v>
      </c>
      <c r="X17" s="234">
        <f t="shared" si="7"/>
        <v>54.600000000000016</v>
      </c>
      <c r="Y17" s="234">
        <f t="shared" si="7"/>
        <v>43.300000000000004</v>
      </c>
      <c r="Z17" s="234">
        <f t="shared" si="7"/>
        <v>60</v>
      </c>
      <c r="AA17" s="234">
        <f t="shared" si="7"/>
        <v>28.999999999999996</v>
      </c>
      <c r="AB17" s="234">
        <f t="shared" si="7"/>
        <v>12.400000000000002</v>
      </c>
      <c r="AC17" s="363"/>
      <c r="AD17" s="363"/>
    </row>
    <row r="18" spans="1:102" x14ac:dyDescent="0.25">
      <c r="A18" s="230" t="s">
        <v>258</v>
      </c>
      <c r="B18" s="370">
        <v>-662.1</v>
      </c>
      <c r="C18" s="370">
        <v>-535.20000000000005</v>
      </c>
      <c r="D18" s="370">
        <v>20.3</v>
      </c>
      <c r="E18" s="370">
        <v>15.3</v>
      </c>
      <c r="F18" s="370">
        <v>11.9</v>
      </c>
      <c r="G18" s="370">
        <v>-89.2</v>
      </c>
      <c r="H18" s="370">
        <v>10.1</v>
      </c>
      <c r="I18" s="370">
        <v>10.4</v>
      </c>
      <c r="J18" s="370">
        <v>19.100000000000001</v>
      </c>
      <c r="K18" s="370">
        <v>24</v>
      </c>
      <c r="L18" s="370">
        <v>12</v>
      </c>
      <c r="M18" s="370">
        <v>3.6</v>
      </c>
      <c r="N18" s="231"/>
      <c r="O18" s="228"/>
      <c r="P18" s="228"/>
      <c r="S18" s="363"/>
    </row>
    <row r="19" spans="1:102" x14ac:dyDescent="0.25">
      <c r="B19" s="228">
        <f>B8-B9-B10-B15</f>
        <v>541.50000000000011</v>
      </c>
      <c r="C19" s="228">
        <f>C8-C9-C10-C15</f>
        <v>341.2</v>
      </c>
      <c r="D19" s="228">
        <f t="shared" ref="D19:M19" si="8">D8-D9-D10-D15</f>
        <v>216.9</v>
      </c>
      <c r="E19" s="228">
        <f t="shared" si="8"/>
        <v>549.70000000000005</v>
      </c>
      <c r="F19" s="228">
        <f t="shared" si="8"/>
        <v>101.10000000000001</v>
      </c>
      <c r="G19" s="228">
        <f t="shared" si="8"/>
        <v>-127.10000000000002</v>
      </c>
      <c r="H19" s="228">
        <f t="shared" si="8"/>
        <v>-50.2</v>
      </c>
      <c r="I19" s="228">
        <f t="shared" si="8"/>
        <v>-65.600000000000009</v>
      </c>
      <c r="J19" s="228">
        <f t="shared" si="8"/>
        <v>-57.6</v>
      </c>
      <c r="K19" s="228">
        <f t="shared" si="8"/>
        <v>-22.400000000000002</v>
      </c>
      <c r="L19" s="228">
        <f t="shared" si="8"/>
        <v>-29.799999999999997</v>
      </c>
      <c r="M19" s="228">
        <f t="shared" si="8"/>
        <v>-54.500000000000007</v>
      </c>
      <c r="Q19" s="232"/>
      <c r="S19" s="363"/>
    </row>
    <row r="20" spans="1:102" x14ac:dyDescent="0.25">
      <c r="A20" s="260" t="s">
        <v>259</v>
      </c>
      <c r="B20" s="233">
        <f>B16-B19</f>
        <v>0</v>
      </c>
      <c r="C20" s="233">
        <f>C16-C19</f>
        <v>0</v>
      </c>
      <c r="D20" s="233">
        <f t="shared" ref="D20:M20" si="9">D16-D19</f>
        <v>0</v>
      </c>
      <c r="E20" s="233">
        <f t="shared" si="9"/>
        <v>0</v>
      </c>
      <c r="F20" s="233">
        <f t="shared" si="9"/>
        <v>0</v>
      </c>
      <c r="G20" s="233">
        <f t="shared" si="9"/>
        <v>0</v>
      </c>
      <c r="H20" s="233">
        <f t="shared" si="9"/>
        <v>0</v>
      </c>
      <c r="I20" s="233">
        <f t="shared" si="9"/>
        <v>0</v>
      </c>
      <c r="J20" s="233">
        <f t="shared" si="9"/>
        <v>0</v>
      </c>
      <c r="K20" s="233">
        <f t="shared" si="9"/>
        <v>0</v>
      </c>
      <c r="L20" s="233">
        <f t="shared" si="9"/>
        <v>0</v>
      </c>
      <c r="M20" s="233">
        <f t="shared" si="9"/>
        <v>0</v>
      </c>
      <c r="Q20" s="232"/>
      <c r="S20" s="363"/>
    </row>
    <row r="21" spans="1:102" x14ac:dyDescent="0.25">
      <c r="A21" s="229" t="s">
        <v>226</v>
      </c>
      <c r="B21" s="235"/>
      <c r="C21" s="235"/>
      <c r="D21" s="235"/>
      <c r="E21" s="235"/>
      <c r="F21" s="235"/>
      <c r="G21" s="235"/>
      <c r="H21" s="235"/>
      <c r="I21" s="235"/>
      <c r="J21" s="235"/>
      <c r="K21" s="234"/>
      <c r="L21" s="234"/>
      <c r="Q21" s="232"/>
      <c r="S21" s="363"/>
    </row>
    <row r="22" spans="1:102" x14ac:dyDescent="0.25">
      <c r="A22" s="230" t="s">
        <v>227</v>
      </c>
      <c r="B22" s="370">
        <v>2724.1</v>
      </c>
      <c r="C22" s="370">
        <v>2456.1999999999998</v>
      </c>
      <c r="D22" s="370">
        <v>2731.2</v>
      </c>
      <c r="E22" s="370">
        <v>2707.7</v>
      </c>
      <c r="F22" s="370">
        <v>1533.3</v>
      </c>
      <c r="G22" s="370">
        <v>1385.6</v>
      </c>
      <c r="H22" s="370">
        <v>548.6</v>
      </c>
      <c r="I22" s="370">
        <v>123.7</v>
      </c>
      <c r="J22" s="370">
        <v>115.2</v>
      </c>
      <c r="K22" s="370">
        <v>83.6</v>
      </c>
      <c r="L22" s="370">
        <v>54.6</v>
      </c>
      <c r="M22" s="370">
        <v>48.7</v>
      </c>
      <c r="N22" s="231"/>
      <c r="O22" s="228"/>
      <c r="P22" s="228"/>
      <c r="Q22" s="232"/>
      <c r="R22" s="232"/>
      <c r="S22" s="232"/>
      <c r="T22" s="232"/>
      <c r="U22" s="232"/>
      <c r="V22" s="232"/>
      <c r="W22" s="232"/>
      <c r="X22" s="232"/>
      <c r="Y22" s="232"/>
      <c r="Z22" s="232"/>
      <c r="AA22" s="232"/>
      <c r="AB22" s="232"/>
      <c r="AC22" s="232"/>
    </row>
    <row r="23" spans="1:102" s="237" customFormat="1" x14ac:dyDescent="0.25">
      <c r="A23" s="236" t="s">
        <v>228</v>
      </c>
      <c r="B23" s="370">
        <v>973.9</v>
      </c>
      <c r="C23" s="370">
        <v>713.3</v>
      </c>
      <c r="D23" s="370">
        <v>514.29999999999995</v>
      </c>
      <c r="E23" s="370">
        <v>428.5</v>
      </c>
      <c r="F23" s="370">
        <v>286.3</v>
      </c>
      <c r="G23" s="370">
        <v>226.7</v>
      </c>
      <c r="H23" s="370">
        <v>134.30000000000001</v>
      </c>
      <c r="I23" s="370">
        <v>101.7</v>
      </c>
      <c r="J23" s="370">
        <v>74.099999999999994</v>
      </c>
      <c r="K23" s="370">
        <v>42.4</v>
      </c>
      <c r="L23" s="370">
        <v>26.1</v>
      </c>
      <c r="M23" s="370">
        <v>19.5</v>
      </c>
      <c r="N23" s="231"/>
      <c r="O23" s="228"/>
      <c r="P23" s="228"/>
      <c r="Q23" s="232"/>
      <c r="R23" s="232"/>
      <c r="S23" s="232"/>
      <c r="T23" s="232"/>
      <c r="U23" s="232"/>
      <c r="V23" s="232"/>
      <c r="W23" s="232"/>
      <c r="X23" s="232"/>
      <c r="Y23" s="232"/>
      <c r="Z23" s="232"/>
      <c r="AA23" s="232"/>
      <c r="AB23" s="232"/>
      <c r="AC23" s="232"/>
      <c r="AD23" s="227"/>
      <c r="AE23" s="227"/>
      <c r="AF23" s="227"/>
      <c r="AG23" s="227"/>
      <c r="AH23" s="227"/>
      <c r="AI23" s="227"/>
      <c r="AJ23" s="227"/>
      <c r="AK23" s="227"/>
      <c r="AL23" s="227"/>
      <c r="AM23" s="227"/>
      <c r="AN23" s="227"/>
      <c r="AO23" s="227"/>
      <c r="AP23" s="227"/>
      <c r="AQ23" s="227"/>
      <c r="AR23" s="227"/>
      <c r="AS23" s="227"/>
      <c r="AT23" s="227"/>
      <c r="AU23" s="227"/>
      <c r="AV23" s="227"/>
      <c r="AW23" s="227"/>
      <c r="AX23" s="227"/>
      <c r="AY23" s="227"/>
      <c r="AZ23" s="227"/>
      <c r="BA23" s="227"/>
      <c r="BB23" s="227"/>
      <c r="BC23" s="227"/>
      <c r="BD23" s="227"/>
      <c r="BE23" s="227"/>
      <c r="BF23" s="227"/>
      <c r="BG23" s="227"/>
      <c r="BH23" s="227"/>
      <c r="BI23" s="227"/>
      <c r="BJ23" s="227"/>
      <c r="BK23" s="227"/>
      <c r="BL23" s="227"/>
      <c r="BM23" s="227"/>
      <c r="BN23" s="227"/>
      <c r="BO23" s="227"/>
      <c r="BP23" s="227"/>
      <c r="BQ23" s="227"/>
      <c r="BR23" s="227"/>
      <c r="BS23" s="227"/>
      <c r="BT23" s="227"/>
      <c r="BU23" s="227"/>
      <c r="BV23" s="227"/>
      <c r="BW23" s="227"/>
      <c r="BX23" s="227"/>
      <c r="BY23" s="227"/>
      <c r="BZ23" s="227"/>
      <c r="CA23" s="227"/>
      <c r="CB23" s="227"/>
      <c r="CC23" s="227"/>
      <c r="CD23" s="227"/>
      <c r="CE23" s="227"/>
      <c r="CF23" s="227"/>
      <c r="CG23" s="227"/>
      <c r="CH23" s="227"/>
      <c r="CI23" s="227"/>
      <c r="CJ23" s="227"/>
      <c r="CK23" s="227"/>
      <c r="CL23" s="227"/>
      <c r="CM23" s="227"/>
      <c r="CN23" s="227"/>
      <c r="CO23" s="227"/>
      <c r="CP23" s="227"/>
      <c r="CQ23" s="227"/>
      <c r="CR23" s="227"/>
      <c r="CS23" s="227"/>
      <c r="CT23" s="227"/>
      <c r="CU23" s="227"/>
      <c r="CV23" s="227"/>
      <c r="CW23" s="227"/>
      <c r="CX23" s="227"/>
    </row>
    <row r="24" spans="1:102" x14ac:dyDescent="0.25">
      <c r="A24" s="230" t="s">
        <v>229</v>
      </c>
      <c r="B24" s="370">
        <v>559.6</v>
      </c>
      <c r="C24" s="370">
        <v>306.7</v>
      </c>
      <c r="D24" s="370">
        <v>357.3</v>
      </c>
      <c r="E24" s="370">
        <v>234.7</v>
      </c>
      <c r="F24" s="370">
        <v>119.8</v>
      </c>
      <c r="G24" s="370">
        <v>70.7</v>
      </c>
      <c r="H24" s="370">
        <v>45.2</v>
      </c>
      <c r="I24" s="370">
        <v>45.4</v>
      </c>
      <c r="J24" s="370">
        <v>35.200000000000003</v>
      </c>
      <c r="K24" s="370">
        <v>16</v>
      </c>
      <c r="L24" s="370">
        <v>9</v>
      </c>
      <c r="M24" s="370">
        <v>7.4</v>
      </c>
      <c r="N24" s="231"/>
      <c r="O24" s="228"/>
      <c r="P24" s="228"/>
      <c r="Q24" s="232"/>
      <c r="R24" s="232"/>
      <c r="S24" s="232"/>
      <c r="T24" s="232"/>
      <c r="U24" s="232"/>
      <c r="V24" s="232"/>
      <c r="W24" s="232"/>
      <c r="X24" s="232"/>
      <c r="Y24" s="232"/>
      <c r="Z24" s="232"/>
      <c r="AA24" s="232"/>
      <c r="AB24" s="232"/>
      <c r="AC24" s="232"/>
    </row>
    <row r="25" spans="1:102" x14ac:dyDescent="0.25">
      <c r="A25" s="230" t="s">
        <v>260</v>
      </c>
      <c r="B25" s="370">
        <v>1184.5</v>
      </c>
      <c r="C25" s="370">
        <v>1135.5999999999999</v>
      </c>
      <c r="D25" s="370">
        <v>889.9</v>
      </c>
      <c r="E25" s="370">
        <v>608.6</v>
      </c>
      <c r="F25" s="370">
        <v>392.8</v>
      </c>
      <c r="G25" s="370">
        <v>183.1</v>
      </c>
      <c r="H25" s="370">
        <v>145.6</v>
      </c>
      <c r="I25" s="370">
        <v>109.4</v>
      </c>
      <c r="J25" s="370">
        <v>54.7</v>
      </c>
      <c r="K25" s="370">
        <v>31.2</v>
      </c>
      <c r="L25" s="370">
        <v>20.7</v>
      </c>
      <c r="M25" s="370">
        <v>18.899999999999999</v>
      </c>
      <c r="N25" s="231"/>
      <c r="O25" s="228"/>
      <c r="P25" s="228"/>
      <c r="Q25" s="232"/>
      <c r="R25" s="232"/>
      <c r="S25" s="232"/>
      <c r="T25" s="232"/>
      <c r="U25" s="232"/>
      <c r="V25" s="232"/>
      <c r="W25" s="232"/>
      <c r="X25" s="232"/>
      <c r="Y25" s="232"/>
      <c r="Z25" s="232"/>
      <c r="AA25" s="232"/>
      <c r="AB25" s="232"/>
      <c r="AC25" s="232"/>
    </row>
    <row r="26" spans="1:102" x14ac:dyDescent="0.25">
      <c r="A26" s="227" t="s">
        <v>231</v>
      </c>
      <c r="B26" s="371">
        <f t="shared" ref="B26:C26" si="10">B27-SUM(B22:B25)</f>
        <v>822.39999999999964</v>
      </c>
      <c r="C26" s="371">
        <f t="shared" si="10"/>
        <v>779.90000000000055</v>
      </c>
      <c r="D26" s="371">
        <f>D27-SUM(D22:D25)</f>
        <v>440.60000000000036</v>
      </c>
      <c r="E26" s="371">
        <f>E27-SUM(E22:E25)</f>
        <v>311.00000000000045</v>
      </c>
      <c r="F26" s="371">
        <f>F27-SUM(F22:F25)</f>
        <v>62.800000000000182</v>
      </c>
      <c r="G26" s="371">
        <f t="shared" ref="G26:M26" si="11">G27-SUM(G22:G25)</f>
        <v>49.900000000000091</v>
      </c>
      <c r="H26" s="371">
        <f t="shared" si="11"/>
        <v>30.399999999999864</v>
      </c>
      <c r="I26" s="371">
        <f t="shared" si="11"/>
        <v>22.599999999999966</v>
      </c>
      <c r="J26" s="371">
        <f t="shared" si="11"/>
        <v>12.800000000000011</v>
      </c>
      <c r="K26" s="371">
        <f t="shared" si="11"/>
        <v>11.400000000000006</v>
      </c>
      <c r="L26" s="371">
        <f t="shared" si="11"/>
        <v>12.099999999999994</v>
      </c>
      <c r="M26" s="371">
        <f t="shared" si="11"/>
        <v>11.5</v>
      </c>
      <c r="N26" s="228"/>
      <c r="O26" s="228"/>
      <c r="P26" s="228"/>
      <c r="Q26" s="232"/>
      <c r="R26" s="232"/>
      <c r="S26" s="232"/>
      <c r="T26" s="232"/>
      <c r="U26" s="232"/>
      <c r="V26" s="232"/>
      <c r="W26" s="232"/>
      <c r="X26" s="232"/>
      <c r="Y26" s="232"/>
      <c r="Z26" s="232"/>
    </row>
    <row r="27" spans="1:102" x14ac:dyDescent="0.25">
      <c r="A27" s="230" t="s">
        <v>232</v>
      </c>
      <c r="B27" s="416">
        <v>6264.5</v>
      </c>
      <c r="C27" s="416">
        <v>5391.7</v>
      </c>
      <c r="D27" s="416">
        <v>4933.3</v>
      </c>
      <c r="E27" s="416">
        <v>4290.5</v>
      </c>
      <c r="F27" s="416">
        <v>2395</v>
      </c>
      <c r="G27" s="416">
        <v>1916</v>
      </c>
      <c r="H27" s="416">
        <v>904.1</v>
      </c>
      <c r="I27" s="416">
        <v>402.8</v>
      </c>
      <c r="J27" s="416">
        <v>292</v>
      </c>
      <c r="K27" s="416">
        <v>184.6</v>
      </c>
      <c r="L27" s="416">
        <v>122.5</v>
      </c>
      <c r="M27" s="416">
        <v>106</v>
      </c>
      <c r="N27" s="238"/>
      <c r="O27" s="228"/>
      <c r="P27" s="228"/>
      <c r="Q27" s="232"/>
      <c r="R27" s="232"/>
      <c r="S27" s="232"/>
      <c r="T27" s="232"/>
      <c r="U27" s="232"/>
      <c r="V27" s="232"/>
      <c r="W27" s="232"/>
      <c r="X27" s="232"/>
      <c r="Y27" s="232"/>
      <c r="Z27" s="232"/>
    </row>
    <row r="28" spans="1:102" x14ac:dyDescent="0.25">
      <c r="B28" s="232"/>
      <c r="C28" s="232"/>
      <c r="D28" s="232"/>
      <c r="E28" s="232"/>
      <c r="F28" s="232"/>
      <c r="G28" s="232"/>
      <c r="H28" s="232"/>
      <c r="I28" s="232"/>
      <c r="J28" s="232"/>
      <c r="K28" s="232"/>
      <c r="L28" s="232"/>
      <c r="Q28" s="232"/>
      <c r="R28" s="232"/>
      <c r="S28" s="232"/>
      <c r="T28" s="232"/>
      <c r="U28" s="232"/>
      <c r="V28" s="232"/>
      <c r="W28" s="232"/>
      <c r="X28" s="232"/>
      <c r="Y28" s="232"/>
      <c r="Z28" s="232"/>
    </row>
    <row r="29" spans="1:102" x14ac:dyDescent="0.25">
      <c r="B29" s="232"/>
      <c r="C29" s="232"/>
      <c r="D29" s="232"/>
      <c r="E29" s="232"/>
      <c r="F29" s="232"/>
      <c r="G29" s="232"/>
      <c r="H29" s="232"/>
      <c r="I29" s="232"/>
      <c r="J29" s="232"/>
      <c r="K29" s="232"/>
      <c r="L29" s="232"/>
      <c r="Q29" s="232"/>
      <c r="R29" s="232"/>
      <c r="S29" s="232"/>
      <c r="T29" s="232"/>
      <c r="U29" s="232"/>
      <c r="V29" s="232"/>
      <c r="W29" s="232"/>
      <c r="X29" s="232"/>
      <c r="Y29" s="232"/>
      <c r="Z29" s="232"/>
    </row>
    <row r="30" spans="1:102" x14ac:dyDescent="0.25">
      <c r="A30" s="229" t="s">
        <v>233</v>
      </c>
      <c r="B30" s="235"/>
      <c r="C30" s="235"/>
      <c r="D30" s="235"/>
      <c r="E30" s="235"/>
      <c r="F30" s="235"/>
      <c r="G30" s="235"/>
      <c r="H30" s="235"/>
      <c r="I30" s="235"/>
      <c r="J30" s="235"/>
      <c r="K30" s="234"/>
      <c r="L30" s="234"/>
      <c r="Q30" s="232"/>
      <c r="R30" s="232"/>
      <c r="S30" s="232"/>
      <c r="T30" s="232"/>
      <c r="U30" s="232"/>
      <c r="V30" s="232"/>
      <c r="W30" s="232"/>
      <c r="X30" s="232"/>
      <c r="Y30" s="232"/>
      <c r="Z30" s="232"/>
    </row>
    <row r="31" spans="1:102" s="229" customFormat="1" x14ac:dyDescent="0.25">
      <c r="A31" s="239" t="s">
        <v>234</v>
      </c>
      <c r="B31" s="416">
        <v>1556</v>
      </c>
      <c r="C31" s="416">
        <v>1839.3</v>
      </c>
      <c r="D31" s="416">
        <v>720.8</v>
      </c>
      <c r="E31" s="416">
        <v>614.1</v>
      </c>
      <c r="F31" s="416">
        <v>360.2</v>
      </c>
      <c r="G31" s="416">
        <v>222.4</v>
      </c>
      <c r="H31" s="416">
        <v>138.9</v>
      </c>
      <c r="I31" s="416">
        <v>102.4</v>
      </c>
      <c r="J31" s="416">
        <v>66.900000000000006</v>
      </c>
      <c r="K31" s="416">
        <v>40.6</v>
      </c>
      <c r="L31" s="416">
        <v>32.1</v>
      </c>
      <c r="M31" s="416">
        <v>19.5</v>
      </c>
      <c r="N31" s="238"/>
      <c r="O31" s="234"/>
      <c r="P31" s="234"/>
      <c r="Q31" s="232"/>
      <c r="R31" s="232"/>
      <c r="S31" s="232"/>
      <c r="T31" s="232"/>
      <c r="U31" s="232"/>
      <c r="V31" s="232"/>
      <c r="W31" s="232"/>
      <c r="X31" s="232"/>
      <c r="Y31" s="232"/>
      <c r="Z31" s="232"/>
    </row>
    <row r="32" spans="1:102" x14ac:dyDescent="0.25">
      <c r="A32" s="230" t="s">
        <v>235</v>
      </c>
      <c r="B32" s="370">
        <v>25.8</v>
      </c>
      <c r="C32" s="370">
        <v>797.3</v>
      </c>
      <c r="D32" s="370">
        <v>23.8</v>
      </c>
      <c r="E32" s="370">
        <v>25.3</v>
      </c>
      <c r="F32" s="370">
        <v>13.6</v>
      </c>
      <c r="G32" s="370">
        <v>0</v>
      </c>
      <c r="H32" s="370">
        <v>0</v>
      </c>
      <c r="I32" s="370">
        <v>0</v>
      </c>
      <c r="J32" s="370">
        <v>2.2999999999999998</v>
      </c>
      <c r="K32" s="370">
        <v>2.2999999999999998</v>
      </c>
      <c r="L32" s="370">
        <v>2.2000000000000002</v>
      </c>
      <c r="M32" s="370">
        <v>0.2</v>
      </c>
      <c r="N32" s="231"/>
      <c r="O32" s="228"/>
      <c r="P32" s="228"/>
      <c r="Q32" s="232"/>
      <c r="R32" s="232"/>
      <c r="S32" s="232"/>
      <c r="T32" s="232"/>
      <c r="U32" s="232"/>
      <c r="V32" s="232"/>
      <c r="W32" s="232"/>
      <c r="X32" s="232"/>
      <c r="Y32" s="232"/>
      <c r="Z32" s="232"/>
    </row>
    <row r="33" spans="1:26" x14ac:dyDescent="0.25">
      <c r="A33" s="230" t="s">
        <v>236</v>
      </c>
      <c r="B33" s="370">
        <v>25.8</v>
      </c>
      <c r="C33" s="370">
        <v>24.7</v>
      </c>
      <c r="D33" s="370">
        <v>23.8</v>
      </c>
      <c r="E33" s="370">
        <v>25.3</v>
      </c>
      <c r="F33" s="370">
        <v>13.6</v>
      </c>
      <c r="G33" s="370">
        <v>0</v>
      </c>
      <c r="H33" s="370">
        <v>0</v>
      </c>
      <c r="I33" s="370">
        <v>0</v>
      </c>
      <c r="J33" s="370">
        <v>0</v>
      </c>
      <c r="K33" s="370">
        <v>0</v>
      </c>
      <c r="L33" s="370">
        <v>0</v>
      </c>
      <c r="M33" s="370">
        <v>0</v>
      </c>
      <c r="N33" s="231"/>
      <c r="O33" s="228"/>
      <c r="P33" s="228"/>
      <c r="Q33" s="232"/>
      <c r="R33" s="232"/>
      <c r="S33" s="232"/>
      <c r="T33" s="232"/>
      <c r="U33" s="232"/>
      <c r="V33" s="232"/>
      <c r="W33" s="232"/>
      <c r="X33" s="232"/>
      <c r="Y33" s="232"/>
      <c r="Z33" s="232"/>
    </row>
    <row r="34" spans="1:26" x14ac:dyDescent="0.25">
      <c r="A34" s="227" t="s">
        <v>237</v>
      </c>
      <c r="B34" s="371">
        <f>B31-B32-B33</f>
        <v>1504.4</v>
      </c>
      <c r="C34" s="371">
        <f>C31-C32-C33</f>
        <v>1017.3</v>
      </c>
      <c r="D34" s="371">
        <f t="shared" ref="D34:M34" si="12">D31-D32-D33</f>
        <v>673.2</v>
      </c>
      <c r="E34" s="371">
        <f t="shared" si="12"/>
        <v>563.50000000000011</v>
      </c>
      <c r="F34" s="371">
        <f t="shared" si="12"/>
        <v>332.99999999999994</v>
      </c>
      <c r="G34" s="371">
        <f t="shared" si="12"/>
        <v>222.4</v>
      </c>
      <c r="H34" s="371">
        <f t="shared" si="12"/>
        <v>138.9</v>
      </c>
      <c r="I34" s="371">
        <f t="shared" si="12"/>
        <v>102.4</v>
      </c>
      <c r="J34" s="371">
        <f t="shared" si="12"/>
        <v>64.600000000000009</v>
      </c>
      <c r="K34" s="371">
        <f t="shared" si="12"/>
        <v>38.300000000000004</v>
      </c>
      <c r="L34" s="371">
        <f t="shared" si="12"/>
        <v>29.900000000000002</v>
      </c>
      <c r="M34" s="371">
        <f t="shared" si="12"/>
        <v>19.3</v>
      </c>
      <c r="N34" s="228"/>
      <c r="O34" s="228"/>
      <c r="P34" s="228"/>
      <c r="Q34" s="232"/>
      <c r="R34" s="232"/>
      <c r="S34" s="232"/>
      <c r="T34" s="232"/>
      <c r="U34" s="232"/>
      <c r="V34" s="232"/>
      <c r="W34" s="232"/>
      <c r="X34" s="232"/>
      <c r="Y34" s="232"/>
      <c r="Z34" s="232"/>
    </row>
    <row r="35" spans="1:26" s="229" customFormat="1" x14ac:dyDescent="0.25">
      <c r="A35" s="239" t="s">
        <v>238</v>
      </c>
      <c r="B35" s="416">
        <v>2639.9</v>
      </c>
      <c r="C35" s="416">
        <v>1420.6</v>
      </c>
      <c r="D35" s="416">
        <v>2170.4</v>
      </c>
      <c r="E35" s="416">
        <v>1849.9</v>
      </c>
      <c r="F35" s="416">
        <v>1152.2</v>
      </c>
      <c r="G35" s="416">
        <v>1030.3</v>
      </c>
      <c r="H35" s="416">
        <v>345.8</v>
      </c>
      <c r="I35" s="416">
        <v>16.600000000000001</v>
      </c>
      <c r="J35" s="416">
        <v>3.9</v>
      </c>
      <c r="K35" s="416">
        <v>3.8</v>
      </c>
      <c r="L35" s="416">
        <v>6.3</v>
      </c>
      <c r="M35" s="416">
        <v>9.5</v>
      </c>
      <c r="N35" s="238"/>
      <c r="O35" s="234"/>
      <c r="P35" s="234"/>
      <c r="Q35" s="232"/>
      <c r="R35" s="232"/>
      <c r="S35" s="232"/>
      <c r="T35" s="232"/>
      <c r="U35" s="232"/>
      <c r="V35" s="232"/>
      <c r="W35" s="232"/>
      <c r="X35" s="232"/>
      <c r="Y35" s="232"/>
      <c r="Z35" s="232"/>
    </row>
    <row r="36" spans="1:26" x14ac:dyDescent="0.25">
      <c r="A36" s="230" t="s">
        <v>239</v>
      </c>
      <c r="B36" s="370">
        <v>2572.9</v>
      </c>
      <c r="C36" s="370">
        <v>1351.9</v>
      </c>
      <c r="D36" s="370">
        <v>2137.4</v>
      </c>
      <c r="E36" s="370">
        <v>1823</v>
      </c>
      <c r="F36" s="370">
        <v>1147.0999999999999</v>
      </c>
      <c r="G36" s="370">
        <v>1010.3</v>
      </c>
      <c r="H36" s="370">
        <v>327.60000000000002</v>
      </c>
      <c r="I36" s="370">
        <v>0</v>
      </c>
      <c r="J36" s="370">
        <v>0</v>
      </c>
      <c r="K36" s="370">
        <v>2.2999999999999998</v>
      </c>
      <c r="L36" s="370">
        <v>4.5999999999999996</v>
      </c>
      <c r="M36" s="370">
        <v>6.8</v>
      </c>
      <c r="N36" s="231"/>
      <c r="O36" s="228"/>
      <c r="P36" s="228"/>
      <c r="Q36" s="232"/>
      <c r="R36" s="232"/>
      <c r="S36" s="232"/>
      <c r="T36" s="232"/>
      <c r="U36" s="232"/>
      <c r="V36" s="232"/>
      <c r="W36" s="232"/>
      <c r="X36" s="232"/>
      <c r="Y36" s="232"/>
      <c r="Z36" s="232"/>
    </row>
    <row r="37" spans="1:26" x14ac:dyDescent="0.25">
      <c r="A37" s="230" t="s">
        <v>240</v>
      </c>
      <c r="B37" s="370">
        <v>138.69999999999999</v>
      </c>
      <c r="C37" s="370">
        <v>154.19999999999999</v>
      </c>
      <c r="D37" s="370">
        <v>155.6</v>
      </c>
      <c r="E37" s="370">
        <v>155.80000000000001</v>
      </c>
      <c r="F37" s="370">
        <v>87.4</v>
      </c>
      <c r="G37" s="370">
        <v>0</v>
      </c>
      <c r="H37" s="370">
        <v>0</v>
      </c>
      <c r="I37" s="370">
        <v>0</v>
      </c>
      <c r="J37" s="370">
        <v>0</v>
      </c>
      <c r="K37" s="370">
        <v>0</v>
      </c>
      <c r="L37" s="370">
        <v>0</v>
      </c>
      <c r="M37" s="370">
        <v>0</v>
      </c>
      <c r="N37" s="231"/>
      <c r="O37" s="228"/>
      <c r="P37" s="228"/>
      <c r="Q37" s="232"/>
      <c r="R37" s="228"/>
    </row>
    <row r="38" spans="1:26" x14ac:dyDescent="0.25">
      <c r="A38" s="227" t="s">
        <v>241</v>
      </c>
      <c r="B38" s="371">
        <f>B35-B36-B37</f>
        <v>-71.699999999999989</v>
      </c>
      <c r="C38" s="371">
        <f>C35-C36-C37</f>
        <v>-85.500000000000171</v>
      </c>
      <c r="D38" s="371">
        <f t="shared" ref="D38:M38" si="13">D35-D36-D37</f>
        <v>-122.6</v>
      </c>
      <c r="E38" s="371">
        <f t="shared" si="13"/>
        <v>-128.89999999999992</v>
      </c>
      <c r="F38" s="371">
        <f t="shared" si="13"/>
        <v>-82.299999999999869</v>
      </c>
      <c r="G38" s="371">
        <f t="shared" si="13"/>
        <v>20</v>
      </c>
      <c r="H38" s="371">
        <f t="shared" si="13"/>
        <v>18.199999999999989</v>
      </c>
      <c r="I38" s="371">
        <f t="shared" si="13"/>
        <v>16.600000000000001</v>
      </c>
      <c r="J38" s="371">
        <f t="shared" si="13"/>
        <v>3.9</v>
      </c>
      <c r="K38" s="371">
        <f t="shared" si="13"/>
        <v>1.5</v>
      </c>
      <c r="L38" s="371">
        <f t="shared" si="13"/>
        <v>1.7000000000000002</v>
      </c>
      <c r="M38" s="371">
        <f t="shared" si="13"/>
        <v>2.7</v>
      </c>
      <c r="N38" s="228"/>
      <c r="O38" s="228"/>
      <c r="P38" s="228"/>
      <c r="Q38" s="228"/>
      <c r="R38" s="228"/>
    </row>
    <row r="39" spans="1:26" s="229" customFormat="1" x14ac:dyDescent="0.25">
      <c r="A39" s="229" t="s">
        <v>242</v>
      </c>
      <c r="B39" s="233">
        <f>B31+B35</f>
        <v>4195.8999999999996</v>
      </c>
      <c r="C39" s="233">
        <f>C31+C35</f>
        <v>3259.8999999999996</v>
      </c>
      <c r="D39" s="233">
        <f>D35+D31</f>
        <v>2891.2</v>
      </c>
      <c r="E39" s="233">
        <f>+E35+E31</f>
        <v>2464</v>
      </c>
      <c r="F39" s="233">
        <f>+F35+F31</f>
        <v>1512.4</v>
      </c>
      <c r="G39" s="233">
        <f>+G35+G31</f>
        <v>1252.7</v>
      </c>
      <c r="H39" s="233">
        <f>+H35+H31</f>
        <v>484.70000000000005</v>
      </c>
      <c r="I39" s="233">
        <f>I31+I35</f>
        <v>119</v>
      </c>
      <c r="J39" s="233">
        <f>J35+J31</f>
        <v>70.800000000000011</v>
      </c>
      <c r="K39" s="233">
        <f>K35+K31</f>
        <v>44.4</v>
      </c>
      <c r="L39" s="233">
        <f>L35+L31</f>
        <v>38.4</v>
      </c>
      <c r="M39" s="233">
        <f>M35+M31</f>
        <v>29</v>
      </c>
      <c r="N39" s="234"/>
      <c r="O39" s="234"/>
      <c r="P39" s="260"/>
      <c r="Q39" s="234"/>
      <c r="R39" s="234"/>
    </row>
    <row r="40" spans="1:26" x14ac:dyDescent="0.25">
      <c r="B40" s="232"/>
      <c r="C40" s="232"/>
      <c r="D40" s="232"/>
      <c r="E40" s="232"/>
      <c r="F40" s="232"/>
      <c r="G40" s="232"/>
      <c r="H40" s="232"/>
      <c r="I40" s="232"/>
      <c r="J40" s="232"/>
      <c r="K40" s="232"/>
      <c r="L40" s="232"/>
      <c r="P40" s="260"/>
    </row>
    <row r="41" spans="1:26" x14ac:dyDescent="0.25">
      <c r="B41" s="232"/>
      <c r="C41" s="232"/>
      <c r="D41" s="232"/>
      <c r="E41" s="232"/>
      <c r="F41" s="232"/>
      <c r="G41" s="232"/>
      <c r="H41" s="232"/>
      <c r="I41" s="232"/>
      <c r="J41" s="232"/>
      <c r="K41" s="232"/>
      <c r="L41" s="232"/>
      <c r="P41" s="260"/>
    </row>
    <row r="42" spans="1:26" s="229" customFormat="1" x14ac:dyDescent="0.25">
      <c r="A42" s="239" t="s">
        <v>243</v>
      </c>
      <c r="B42" s="238">
        <v>0</v>
      </c>
      <c r="C42" s="238">
        <v>0</v>
      </c>
      <c r="D42" s="238">
        <v>0</v>
      </c>
      <c r="E42" s="238">
        <v>0</v>
      </c>
      <c r="F42" s="238">
        <v>0</v>
      </c>
      <c r="G42" s="238">
        <v>0</v>
      </c>
      <c r="H42" s="238">
        <v>0</v>
      </c>
      <c r="I42" s="238">
        <v>0</v>
      </c>
      <c r="J42" s="238">
        <v>0</v>
      </c>
      <c r="K42" s="238">
        <v>0</v>
      </c>
      <c r="L42" s="238">
        <v>0</v>
      </c>
      <c r="M42" s="238">
        <v>0</v>
      </c>
      <c r="N42" s="238"/>
      <c r="O42" s="228"/>
      <c r="P42" s="234"/>
      <c r="Q42" s="232"/>
      <c r="R42" s="232"/>
      <c r="S42" s="232"/>
      <c r="T42" s="232"/>
      <c r="U42" s="232"/>
      <c r="V42" s="232"/>
      <c r="W42" s="232"/>
      <c r="X42" s="232"/>
      <c r="Y42" s="232"/>
      <c r="Z42" s="232"/>
    </row>
    <row r="43" spans="1:26" x14ac:dyDescent="0.25">
      <c r="B43" s="232"/>
      <c r="C43" s="232"/>
      <c r="D43" s="232"/>
      <c r="E43" s="232"/>
      <c r="F43" s="228"/>
      <c r="G43" s="228"/>
      <c r="H43" s="228"/>
      <c r="I43" s="228"/>
      <c r="J43" s="228"/>
      <c r="M43" s="228"/>
      <c r="N43" s="228"/>
      <c r="O43" s="228"/>
      <c r="P43" s="234"/>
      <c r="Q43" s="228"/>
      <c r="R43" s="228"/>
    </row>
    <row r="44" spans="1:26" x14ac:dyDescent="0.25">
      <c r="A44" s="229" t="s">
        <v>244</v>
      </c>
      <c r="B44" s="234">
        <f>B27-B39-B42</f>
        <v>2068.6000000000004</v>
      </c>
      <c r="C44" s="234">
        <f>C27-C39-C42</f>
        <v>2131.8000000000002</v>
      </c>
      <c r="D44" s="234">
        <f>D27-D39-D42</f>
        <v>2042.1000000000004</v>
      </c>
      <c r="E44" s="234">
        <f>E27-E39-E42</f>
        <v>1826.5</v>
      </c>
      <c r="F44" s="234">
        <f>F27-F39-F42</f>
        <v>882.59999999999991</v>
      </c>
      <c r="G44" s="234">
        <f t="shared" ref="G44:J44" si="14">G27-G39-G42</f>
        <v>663.3</v>
      </c>
      <c r="H44" s="234">
        <f t="shared" si="14"/>
        <v>419.4</v>
      </c>
      <c r="I44" s="234">
        <f t="shared" si="14"/>
        <v>283.8</v>
      </c>
      <c r="J44" s="234">
        <f t="shared" si="14"/>
        <v>221.2</v>
      </c>
      <c r="K44" s="234">
        <f>K27-K39-K42</f>
        <v>140.19999999999999</v>
      </c>
      <c r="L44" s="234">
        <f t="shared" ref="L44" si="15">L27-L39-L42</f>
        <v>84.1</v>
      </c>
      <c r="M44" s="234">
        <f>M27-M39-M42</f>
        <v>77</v>
      </c>
      <c r="N44" s="234"/>
      <c r="O44" s="234"/>
      <c r="P44" s="234"/>
      <c r="Q44" s="234"/>
      <c r="R44" s="234"/>
    </row>
    <row r="45" spans="1:26" x14ac:dyDescent="0.25">
      <c r="B45" s="232"/>
      <c r="C45" s="232"/>
      <c r="D45" s="232"/>
      <c r="P45" s="260"/>
    </row>
    <row r="46" spans="1:26" x14ac:dyDescent="0.25">
      <c r="A46" s="260" t="s">
        <v>245</v>
      </c>
      <c r="B46" s="260"/>
      <c r="C46" s="260"/>
      <c r="D46" s="260"/>
      <c r="E46" s="260"/>
      <c r="F46" s="260"/>
      <c r="G46" s="260"/>
      <c r="H46" s="260"/>
      <c r="I46" s="260"/>
      <c r="J46" s="260"/>
      <c r="K46" s="234"/>
      <c r="L46" s="234"/>
      <c r="P46" s="260"/>
    </row>
    <row r="47" spans="1:26" x14ac:dyDescent="0.25">
      <c r="A47" s="230" t="s">
        <v>354</v>
      </c>
      <c r="B47" s="231">
        <v>9500</v>
      </c>
      <c r="C47" s="231">
        <v>7500</v>
      </c>
      <c r="D47" s="231">
        <v>6300</v>
      </c>
      <c r="E47" s="231">
        <v>5500</v>
      </c>
      <c r="F47" s="231">
        <v>3900</v>
      </c>
      <c r="G47" s="231">
        <v>2800</v>
      </c>
      <c r="H47" s="231">
        <v>2290</v>
      </c>
      <c r="I47" s="231">
        <v>1900</v>
      </c>
      <c r="J47" s="231">
        <v>1212</v>
      </c>
      <c r="K47" s="231">
        <v>838</v>
      </c>
      <c r="L47" s="231">
        <v>646</v>
      </c>
      <c r="M47" s="231">
        <v>565</v>
      </c>
      <c r="N47" s="231"/>
      <c r="O47" s="228"/>
      <c r="P47" s="234"/>
      <c r="Q47" s="228"/>
      <c r="R47" s="228"/>
    </row>
    <row r="48" spans="1:26" x14ac:dyDescent="0.25">
      <c r="A48" s="230" t="s">
        <v>247</v>
      </c>
      <c r="B48" s="231">
        <v>385.4</v>
      </c>
      <c r="C48" s="231">
        <v>386.3</v>
      </c>
      <c r="D48" s="231">
        <v>388</v>
      </c>
      <c r="E48" s="231">
        <v>384.4</v>
      </c>
      <c r="F48" s="231">
        <v>366.4</v>
      </c>
      <c r="G48" s="231">
        <v>360</v>
      </c>
      <c r="H48" s="231">
        <v>348</v>
      </c>
      <c r="I48" s="231">
        <v>338.4</v>
      </c>
      <c r="J48" s="231">
        <v>326.8</v>
      </c>
      <c r="K48" s="231">
        <v>309.2</v>
      </c>
      <c r="L48" s="231">
        <v>290</v>
      </c>
      <c r="M48" s="231">
        <v>278</v>
      </c>
      <c r="N48" s="231"/>
      <c r="O48" s="228"/>
      <c r="P48" s="234"/>
      <c r="Q48" s="228"/>
      <c r="R48" s="228"/>
    </row>
    <row r="49" spans="1:18" x14ac:dyDescent="0.25">
      <c r="A49" s="230" t="s">
        <v>171</v>
      </c>
      <c r="B49" s="364"/>
      <c r="C49" s="364"/>
      <c r="D49" s="364"/>
      <c r="E49" s="364"/>
      <c r="F49" s="364"/>
      <c r="G49" s="364"/>
      <c r="H49" s="364"/>
      <c r="I49" s="364"/>
      <c r="J49" s="364"/>
      <c r="K49" s="364"/>
      <c r="L49" s="364"/>
      <c r="M49" s="364"/>
      <c r="N49" s="365"/>
      <c r="O49" s="366"/>
      <c r="P49" s="367"/>
      <c r="Q49" s="366"/>
      <c r="R49" s="366"/>
    </row>
    <row r="50" spans="1:18" x14ac:dyDescent="0.25">
      <c r="A50" s="230" t="s">
        <v>248</v>
      </c>
      <c r="B50" s="364">
        <v>1.09E-2</v>
      </c>
      <c r="C50" s="364"/>
      <c r="D50" s="364"/>
      <c r="E50" s="364"/>
      <c r="F50" s="364"/>
      <c r="G50" s="364"/>
      <c r="H50" s="364"/>
      <c r="I50" s="364"/>
      <c r="J50" s="364"/>
      <c r="K50" s="364"/>
      <c r="L50" s="364"/>
      <c r="M50" s="364"/>
      <c r="N50" s="365"/>
      <c r="O50" s="366"/>
      <c r="P50" s="368"/>
      <c r="Q50" s="366"/>
      <c r="R50" s="369"/>
    </row>
    <row r="51" spans="1:18" x14ac:dyDescent="0.25">
      <c r="A51" s="230" t="s">
        <v>249</v>
      </c>
      <c r="B51" s="231"/>
      <c r="C51" s="231"/>
      <c r="D51" s="231"/>
      <c r="E51" s="231"/>
      <c r="F51" s="231"/>
      <c r="G51" s="231"/>
      <c r="H51" s="231"/>
      <c r="I51" s="231"/>
      <c r="J51" s="231"/>
      <c r="K51" s="231"/>
      <c r="L51" s="231"/>
      <c r="M51" s="231"/>
      <c r="N51" s="231"/>
      <c r="O51" s="234"/>
      <c r="P51" s="234"/>
      <c r="Q51" s="234"/>
      <c r="R51" s="234"/>
    </row>
    <row r="52" spans="1:18" x14ac:dyDescent="0.25">
      <c r="A52" s="230" t="str">
        <f>"Vol. Diario en Millones "&amp;A1</f>
        <v>Vol. Diario en Millones USD</v>
      </c>
      <c r="B52" s="370"/>
      <c r="C52" s="370"/>
      <c r="D52" s="370"/>
      <c r="E52" s="370"/>
      <c r="F52" s="370"/>
      <c r="G52" s="370"/>
      <c r="H52" s="370"/>
      <c r="I52" s="370"/>
      <c r="J52" s="370"/>
      <c r="K52" s="370"/>
      <c r="L52" s="370"/>
      <c r="M52" s="370"/>
      <c r="N52" s="231"/>
      <c r="P52" s="260"/>
    </row>
    <row r="53" spans="1:18" x14ac:dyDescent="0.25">
      <c r="B53" s="260">
        <v>2021</v>
      </c>
      <c r="C53" s="260">
        <f>B53+1</f>
        <v>2022</v>
      </c>
      <c r="D53" s="260">
        <f>C53+1</f>
        <v>2023</v>
      </c>
      <c r="E53" s="371"/>
      <c r="G53" s="371"/>
      <c r="H53" s="371"/>
      <c r="I53" s="371"/>
      <c r="J53" s="371"/>
      <c r="K53" s="371"/>
      <c r="L53" s="371"/>
      <c r="P53" s="260"/>
    </row>
    <row r="54" spans="1:18" x14ac:dyDescent="0.25">
      <c r="A54" s="230" t="s">
        <v>355</v>
      </c>
      <c r="B54" s="364"/>
      <c r="C54" s="364"/>
      <c r="D54" s="364"/>
      <c r="K54" s="227"/>
      <c r="L54" s="227"/>
      <c r="P54" s="260"/>
    </row>
    <row r="55" spans="1:18" x14ac:dyDescent="0.25">
      <c r="A55" s="230" t="s">
        <v>134</v>
      </c>
      <c r="B55" s="370">
        <v>0.56000000000000005</v>
      </c>
      <c r="C55" s="370">
        <v>0.88</v>
      </c>
      <c r="D55" s="370">
        <v>1.4</v>
      </c>
      <c r="K55" s="227"/>
      <c r="L55" s="227"/>
      <c r="P55" s="260"/>
    </row>
    <row r="56" spans="1:18" x14ac:dyDescent="0.25">
      <c r="P56" s="260"/>
    </row>
    <row r="57" spans="1:18" x14ac:dyDescent="0.25">
      <c r="A57" s="260" t="s">
        <v>356</v>
      </c>
      <c r="B57" s="260" t="s">
        <v>250</v>
      </c>
      <c r="C57" s="260" t="s">
        <v>249</v>
      </c>
      <c r="D57" s="260" t="s">
        <v>357</v>
      </c>
      <c r="E57" s="260" t="s">
        <v>253</v>
      </c>
      <c r="J57" s="228"/>
      <c r="L57" s="197"/>
      <c r="P57" s="260"/>
    </row>
    <row r="58" spans="1:18" x14ac:dyDescent="0.25">
      <c r="A58" s="230"/>
      <c r="B58" s="372"/>
      <c r="C58" s="231"/>
      <c r="D58" s="373"/>
      <c r="E58" s="231"/>
      <c r="J58" s="228"/>
      <c r="L58" s="197"/>
      <c r="P58" s="260"/>
    </row>
    <row r="59" spans="1:18" x14ac:dyDescent="0.25">
      <c r="A59" s="230"/>
      <c r="B59" s="372"/>
      <c r="C59" s="231"/>
      <c r="D59" s="373"/>
      <c r="E59" s="231"/>
      <c r="J59" s="228"/>
      <c r="L59" s="197"/>
      <c r="P59" s="260"/>
    </row>
    <row r="60" spans="1:18" x14ac:dyDescent="0.25">
      <c r="A60" s="230"/>
      <c r="B60" s="372"/>
      <c r="C60" s="231"/>
      <c r="D60" s="373"/>
      <c r="E60" s="231"/>
      <c r="J60" s="228"/>
      <c r="L60" s="197"/>
      <c r="P60" s="260"/>
    </row>
    <row r="61" spans="1:18" x14ac:dyDescent="0.25">
      <c r="A61" s="230"/>
      <c r="B61" s="372"/>
      <c r="C61" s="231"/>
      <c r="D61" s="373"/>
      <c r="E61" s="231"/>
      <c r="J61" s="228"/>
      <c r="L61" s="197"/>
      <c r="P61" s="260"/>
    </row>
    <row r="62" spans="1:18" x14ac:dyDescent="0.25">
      <c r="P62" s="260"/>
    </row>
    <row r="63" spans="1:18" x14ac:dyDescent="0.25">
      <c r="P63" s="260"/>
    </row>
    <row r="64" spans="1:18" x14ac:dyDescent="0.25">
      <c r="P64" s="260"/>
    </row>
  </sheetData>
  <mergeCells count="1">
    <mergeCell ref="C2:L2"/>
  </mergeCells>
  <pageMargins left="0.75" right="0.75" top="1" bottom="1" header="0" footer="0"/>
  <pageSetup orientation="portrait" horizontalDpi="4294967292"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BB63"/>
  <sheetViews>
    <sheetView zoomScale="70" zoomScaleNormal="70" workbookViewId="0">
      <pane xSplit="1" ySplit="2" topLeftCell="B3" activePane="bottomRight" state="frozen"/>
      <selection pane="topRight" activeCell="B1" sqref="B1"/>
      <selection pane="bottomLeft" activeCell="A3" sqref="A3"/>
      <selection pane="bottomRight" activeCell="A3" sqref="A3"/>
    </sheetView>
  </sheetViews>
  <sheetFormatPr defaultColWidth="8.88671875" defaultRowHeight="13.2" x14ac:dyDescent="0.25"/>
  <cols>
    <col min="1" max="2" width="13.88671875" customWidth="1"/>
    <col min="3" max="3" width="8.88671875" customWidth="1"/>
    <col min="4" max="4" width="8.33203125" customWidth="1"/>
    <col min="5" max="5" width="8.44140625" customWidth="1"/>
    <col min="6" max="12" width="7.33203125" customWidth="1"/>
  </cols>
  <sheetData>
    <row r="2" spans="1:54" x14ac:dyDescent="0.25">
      <c r="B2" s="110" t="s">
        <v>403</v>
      </c>
      <c r="C2" s="110" t="s">
        <v>402</v>
      </c>
      <c r="D2" s="110" t="s">
        <v>401</v>
      </c>
      <c r="E2" s="110" t="s">
        <v>399</v>
      </c>
      <c r="F2" s="110" t="s">
        <v>398</v>
      </c>
      <c r="G2" t="s">
        <v>397</v>
      </c>
      <c r="H2" t="s">
        <v>396</v>
      </c>
      <c r="I2" t="s">
        <v>392</v>
      </c>
      <c r="J2" t="s">
        <v>393</v>
      </c>
      <c r="K2" t="s">
        <v>394</v>
      </c>
      <c r="L2" t="s">
        <v>395</v>
      </c>
      <c r="M2" t="s">
        <v>373</v>
      </c>
      <c r="N2" t="s">
        <v>374</v>
      </c>
      <c r="O2" t="s">
        <v>375</v>
      </c>
      <c r="P2" t="s">
        <v>376</v>
      </c>
      <c r="Q2" t="s">
        <v>369</v>
      </c>
      <c r="R2" t="s">
        <v>370</v>
      </c>
      <c r="S2" t="s">
        <v>371</v>
      </c>
      <c r="T2" t="s">
        <v>372</v>
      </c>
      <c r="U2" t="s">
        <v>368</v>
      </c>
      <c r="V2" t="s">
        <v>367</v>
      </c>
      <c r="W2" t="s">
        <v>366</v>
      </c>
      <c r="X2" s="110" t="s">
        <v>404</v>
      </c>
      <c r="Y2" s="110"/>
      <c r="Z2" s="110">
        <v>2019</v>
      </c>
      <c r="AA2" s="110">
        <v>2020</v>
      </c>
      <c r="AB2" s="110">
        <v>2021</v>
      </c>
      <c r="AC2">
        <v>2022</v>
      </c>
      <c r="AD2">
        <v>2023</v>
      </c>
      <c r="AE2">
        <v>2024</v>
      </c>
      <c r="AF2">
        <v>2025</v>
      </c>
      <c r="AG2">
        <v>2026</v>
      </c>
      <c r="AH2">
        <v>2027</v>
      </c>
      <c r="AI2">
        <v>2028</v>
      </c>
      <c r="AJ2">
        <v>2029</v>
      </c>
      <c r="AK2">
        <v>2030</v>
      </c>
      <c r="AL2">
        <v>2031</v>
      </c>
      <c r="AM2">
        <v>2032</v>
      </c>
      <c r="AN2">
        <v>2033</v>
      </c>
      <c r="AO2">
        <v>2034</v>
      </c>
      <c r="AP2">
        <v>2035</v>
      </c>
      <c r="AQ2">
        <v>2036</v>
      </c>
      <c r="AR2">
        <v>2037</v>
      </c>
      <c r="AS2">
        <v>2038</v>
      </c>
      <c r="AT2">
        <v>2039</v>
      </c>
      <c r="AU2">
        <v>2040</v>
      </c>
      <c r="AV2">
        <v>2041</v>
      </c>
      <c r="AW2">
        <v>2042</v>
      </c>
      <c r="AX2">
        <v>2043</v>
      </c>
      <c r="AY2">
        <v>2044</v>
      </c>
      <c r="AZ2">
        <v>2045</v>
      </c>
      <c r="BA2">
        <v>2046</v>
      </c>
      <c r="BB2">
        <v>2047</v>
      </c>
    </row>
    <row r="3" spans="1:54" x14ac:dyDescent="0.25">
      <c r="A3" s="110" t="s">
        <v>400</v>
      </c>
      <c r="B3" s="110"/>
      <c r="C3" s="110"/>
      <c r="D3" s="110"/>
      <c r="E3" s="110"/>
      <c r="F3" s="110"/>
    </row>
    <row r="4" spans="1:54" x14ac:dyDescent="0.25">
      <c r="A4" s="110" t="s">
        <v>405</v>
      </c>
      <c r="B4" s="110"/>
      <c r="C4" s="110"/>
      <c r="D4" s="110"/>
      <c r="E4" s="110"/>
      <c r="F4" s="110"/>
    </row>
    <row r="5" spans="1:54" x14ac:dyDescent="0.25">
      <c r="A5" s="110" t="s">
        <v>406</v>
      </c>
      <c r="B5" s="110"/>
      <c r="C5" s="110"/>
      <c r="D5" s="110"/>
      <c r="E5" s="110"/>
      <c r="F5" s="110"/>
      <c r="AE5" s="255">
        <v>4.4999999999999998E-2</v>
      </c>
      <c r="AF5" s="255">
        <f>0.987*AE5</f>
        <v>4.4414999999999996E-2</v>
      </c>
      <c r="AG5" s="255">
        <f t="shared" ref="AG5:BB5" si="0">0.987*AF5</f>
        <v>4.3837604999999995E-2</v>
      </c>
      <c r="AH5" s="255">
        <f t="shared" si="0"/>
        <v>4.3267716134999995E-2</v>
      </c>
      <c r="AI5" s="255">
        <f t="shared" si="0"/>
        <v>4.2705235825244992E-2</v>
      </c>
      <c r="AJ5" s="255">
        <f t="shared" si="0"/>
        <v>4.2150067759516803E-2</v>
      </c>
      <c r="AK5" s="255">
        <f t="shared" si="0"/>
        <v>4.1602116878643083E-2</v>
      </c>
      <c r="AL5" s="255">
        <f t="shared" si="0"/>
        <v>4.1061289359220723E-2</v>
      </c>
      <c r="AM5" s="255">
        <f t="shared" si="0"/>
        <v>4.0527492597550854E-2</v>
      </c>
      <c r="AN5" s="255">
        <f t="shared" si="0"/>
        <v>4.0000635193782691E-2</v>
      </c>
      <c r="AO5" s="255">
        <f t="shared" si="0"/>
        <v>3.9480626936263516E-2</v>
      </c>
      <c r="AP5" s="255">
        <f t="shared" si="0"/>
        <v>3.8967378786092091E-2</v>
      </c>
      <c r="AQ5" s="255">
        <f t="shared" si="0"/>
        <v>3.8460802861872895E-2</v>
      </c>
      <c r="AR5" s="255">
        <f t="shared" si="0"/>
        <v>3.7960812424668547E-2</v>
      </c>
      <c r="AS5" s="255">
        <f t="shared" si="0"/>
        <v>3.7467321863147857E-2</v>
      </c>
      <c r="AT5" s="255">
        <f t="shared" si="0"/>
        <v>3.6980246678926937E-2</v>
      </c>
      <c r="AU5" s="255">
        <f t="shared" si="0"/>
        <v>3.6499503472100889E-2</v>
      </c>
      <c r="AV5" s="255">
        <f t="shared" si="0"/>
        <v>3.6025009926963579E-2</v>
      </c>
      <c r="AW5" s="255">
        <f t="shared" si="0"/>
        <v>3.5556684797913053E-2</v>
      </c>
      <c r="AX5" s="255">
        <f t="shared" si="0"/>
        <v>3.5094447895540185E-2</v>
      </c>
      <c r="AY5" s="255">
        <f t="shared" si="0"/>
        <v>3.4638220072898164E-2</v>
      </c>
      <c r="AZ5" s="255">
        <f t="shared" si="0"/>
        <v>3.4187923211950487E-2</v>
      </c>
      <c r="BA5" s="255">
        <f t="shared" si="0"/>
        <v>3.3743480210195131E-2</v>
      </c>
      <c r="BB5" s="255">
        <f t="shared" si="0"/>
        <v>3.3304814967462591E-2</v>
      </c>
    </row>
    <row r="6" spans="1:54" x14ac:dyDescent="0.25">
      <c r="A6" s="110" t="s">
        <v>407</v>
      </c>
      <c r="B6" s="110"/>
      <c r="C6" s="110"/>
      <c r="D6" s="110"/>
      <c r="E6" s="110"/>
      <c r="F6" s="110"/>
      <c r="AE6" s="130">
        <v>0.09</v>
      </c>
      <c r="AF6">
        <f>AE6*0.975</f>
        <v>8.7749999999999995E-2</v>
      </c>
      <c r="AG6">
        <f t="shared" ref="AG6:BB6" si="1">AF6*0.975</f>
        <v>8.5556249999999986E-2</v>
      </c>
      <c r="AH6">
        <f t="shared" si="1"/>
        <v>8.3417343749999984E-2</v>
      </c>
      <c r="AI6">
        <f t="shared" si="1"/>
        <v>8.1331910156249979E-2</v>
      </c>
      <c r="AJ6">
        <f t="shared" si="1"/>
        <v>7.9298612402343732E-2</v>
      </c>
      <c r="AK6">
        <f t="shared" si="1"/>
        <v>7.731614709228514E-2</v>
      </c>
      <c r="AL6">
        <f t="shared" si="1"/>
        <v>7.5383243414978013E-2</v>
      </c>
      <c r="AM6">
        <f t="shared" si="1"/>
        <v>7.3498662329603559E-2</v>
      </c>
      <c r="AN6">
        <f t="shared" si="1"/>
        <v>7.166119577136347E-2</v>
      </c>
      <c r="AO6">
        <f t="shared" si="1"/>
        <v>6.9869665877079379E-2</v>
      </c>
      <c r="AP6">
        <f t="shared" si="1"/>
        <v>6.8122924230152399E-2</v>
      </c>
      <c r="AQ6">
        <f t="shared" si="1"/>
        <v>6.6419851124398591E-2</v>
      </c>
      <c r="AR6">
        <f t="shared" si="1"/>
        <v>6.4759354846288628E-2</v>
      </c>
      <c r="AS6">
        <f t="shared" si="1"/>
        <v>6.3140370975131407E-2</v>
      </c>
      <c r="AT6">
        <f>AS6*0.975</f>
        <v>6.1561861700753118E-2</v>
      </c>
      <c r="AU6">
        <f t="shared" si="1"/>
        <v>6.0022815158234287E-2</v>
      </c>
      <c r="AV6">
        <f t="shared" si="1"/>
        <v>5.8522244779278428E-2</v>
      </c>
      <c r="AW6">
        <f t="shared" si="1"/>
        <v>5.7059188659796464E-2</v>
      </c>
      <c r="AX6">
        <f t="shared" si="1"/>
        <v>5.5632708943301551E-2</v>
      </c>
      <c r="AY6">
        <f t="shared" si="1"/>
        <v>5.4241891219719014E-2</v>
      </c>
      <c r="AZ6">
        <f t="shared" si="1"/>
        <v>5.2885843939226039E-2</v>
      </c>
      <c r="BA6">
        <f t="shared" si="1"/>
        <v>5.1563697840745389E-2</v>
      </c>
      <c r="BB6">
        <f t="shared" si="1"/>
        <v>5.0274605394726751E-2</v>
      </c>
    </row>
    <row r="7" spans="1:54" x14ac:dyDescent="0.25">
      <c r="A7" s="110"/>
      <c r="B7" s="110"/>
      <c r="C7" s="110"/>
      <c r="D7" s="110"/>
      <c r="E7" s="110"/>
      <c r="F7" s="110"/>
      <c r="AE7" s="130"/>
    </row>
    <row r="8" spans="1:54" x14ac:dyDescent="0.25">
      <c r="A8" s="110" t="s">
        <v>380</v>
      </c>
      <c r="B8" s="110"/>
      <c r="C8" s="110"/>
      <c r="D8" s="110"/>
      <c r="E8" s="110"/>
      <c r="F8" s="110"/>
      <c r="AE8" s="130"/>
    </row>
    <row r="9" spans="1:54" x14ac:dyDescent="0.25">
      <c r="A9" s="110" t="s">
        <v>406</v>
      </c>
      <c r="B9" s="110"/>
      <c r="C9" s="110"/>
      <c r="D9" s="110"/>
      <c r="E9" s="110"/>
      <c r="F9" s="110"/>
      <c r="Z9">
        <f t="shared" ref="Z9:AD10" si="2">Z30/Z26</f>
        <v>0.67792204148997348</v>
      </c>
      <c r="AA9">
        <f t="shared" si="2"/>
        <v>0.68533660706600774</v>
      </c>
      <c r="AB9">
        <f t="shared" si="2"/>
        <v>0.64650696723516432</v>
      </c>
      <c r="AC9">
        <f t="shared" si="2"/>
        <v>0.63716520292600543</v>
      </c>
      <c r="AD9">
        <f t="shared" si="2"/>
        <v>0.63586480102249077</v>
      </c>
      <c r="AE9">
        <f>AD9*1.001</f>
        <v>0.63650066582351317</v>
      </c>
      <c r="AF9">
        <f t="shared" ref="AF9:BB9" si="3">AE9*1.001</f>
        <v>0.6371371664893366</v>
      </c>
      <c r="AG9">
        <f t="shared" si="3"/>
        <v>0.63777430365582588</v>
      </c>
      <c r="AH9">
        <f t="shared" si="3"/>
        <v>0.63841207795948163</v>
      </c>
      <c r="AI9">
        <f t="shared" si="3"/>
        <v>0.63905049003744108</v>
      </c>
      <c r="AJ9">
        <f t="shared" si="3"/>
        <v>0.6396895405274784</v>
      </c>
      <c r="AK9">
        <f t="shared" si="3"/>
        <v>0.64032923006800579</v>
      </c>
      <c r="AL9">
        <f t="shared" si="3"/>
        <v>0.64096955929807375</v>
      </c>
      <c r="AM9">
        <f t="shared" si="3"/>
        <v>0.6416105288573718</v>
      </c>
      <c r="AN9">
        <f t="shared" si="3"/>
        <v>0.64225213938622905</v>
      </c>
      <c r="AO9">
        <f t="shared" si="3"/>
        <v>0.64289439152561523</v>
      </c>
      <c r="AP9">
        <f t="shared" si="3"/>
        <v>0.64353728591714077</v>
      </c>
      <c r="AQ9">
        <f t="shared" si="3"/>
        <v>0.64418082320305781</v>
      </c>
      <c r="AR9">
        <f t="shared" si="3"/>
        <v>0.64482500402626075</v>
      </c>
      <c r="AS9">
        <f t="shared" si="3"/>
        <v>0.64546982903028693</v>
      </c>
      <c r="AT9">
        <f t="shared" si="3"/>
        <v>0.64611529885931718</v>
      </c>
      <c r="AU9">
        <f t="shared" si="3"/>
        <v>0.64676141415817645</v>
      </c>
      <c r="AV9">
        <f t="shared" si="3"/>
        <v>0.64740817557233454</v>
      </c>
      <c r="AW9">
        <f t="shared" si="3"/>
        <v>0.64805558374790684</v>
      </c>
      <c r="AX9">
        <f t="shared" si="3"/>
        <v>0.64870363933165465</v>
      </c>
      <c r="AY9">
        <f t="shared" si="3"/>
        <v>0.64935234297098621</v>
      </c>
      <c r="AZ9">
        <f t="shared" si="3"/>
        <v>0.65000169531395713</v>
      </c>
      <c r="BA9">
        <f t="shared" si="3"/>
        <v>0.65065169700927106</v>
      </c>
      <c r="BB9">
        <f t="shared" si="3"/>
        <v>0.65130234870628023</v>
      </c>
    </row>
    <row r="10" spans="1:54" x14ac:dyDescent="0.25">
      <c r="A10" s="110" t="s">
        <v>407</v>
      </c>
      <c r="B10" s="110"/>
      <c r="C10" s="110"/>
      <c r="D10" s="110"/>
      <c r="E10" s="110"/>
      <c r="F10" s="110"/>
      <c r="Z10">
        <f t="shared" si="2"/>
        <v>0.36261908362316647</v>
      </c>
      <c r="AA10">
        <f t="shared" si="2"/>
        <v>0.33984898080642761</v>
      </c>
      <c r="AB10">
        <f t="shared" si="2"/>
        <v>0.30274022652539279</v>
      </c>
      <c r="AC10">
        <f t="shared" si="2"/>
        <v>0.28254553366867619</v>
      </c>
      <c r="AD10">
        <f t="shared" si="2"/>
        <v>0.29105248779560761</v>
      </c>
      <c r="AE10">
        <f>AD10*1.001</f>
        <v>0.2913435402834032</v>
      </c>
      <c r="AF10">
        <f t="shared" ref="AF10:BB10" si="4">AE10*1.001</f>
        <v>0.29163488382368657</v>
      </c>
      <c r="AG10">
        <f t="shared" si="4"/>
        <v>0.29192651870751024</v>
      </c>
      <c r="AH10">
        <f t="shared" si="4"/>
        <v>0.2922184452262177</v>
      </c>
      <c r="AI10">
        <f t="shared" si="4"/>
        <v>0.2925106636714439</v>
      </c>
      <c r="AJ10">
        <f t="shared" si="4"/>
        <v>0.29280317433511532</v>
      </c>
      <c r="AK10">
        <f t="shared" si="4"/>
        <v>0.29309597750945043</v>
      </c>
      <c r="AL10">
        <f t="shared" si="4"/>
        <v>0.29338907348695986</v>
      </c>
      <c r="AM10">
        <f t="shared" si="4"/>
        <v>0.29368246256044678</v>
      </c>
      <c r="AN10">
        <f t="shared" si="4"/>
        <v>0.29397614502300717</v>
      </c>
      <c r="AO10">
        <f t="shared" si="4"/>
        <v>0.29427012116803014</v>
      </c>
      <c r="AP10">
        <f t="shared" si="4"/>
        <v>0.29456439128919815</v>
      </c>
      <c r="AQ10">
        <f t="shared" si="4"/>
        <v>0.29485895568048731</v>
      </c>
      <c r="AR10">
        <f t="shared" si="4"/>
        <v>0.29515381463616774</v>
      </c>
      <c r="AS10">
        <f t="shared" si="4"/>
        <v>0.29544896845080387</v>
      </c>
      <c r="AT10">
        <f t="shared" si="4"/>
        <v>0.29574441741925467</v>
      </c>
      <c r="AU10">
        <f t="shared" si="4"/>
        <v>0.29604016183667387</v>
      </c>
      <c r="AV10">
        <f t="shared" si="4"/>
        <v>0.29633620199851052</v>
      </c>
      <c r="AW10">
        <f t="shared" si="4"/>
        <v>0.296632538200509</v>
      </c>
      <c r="AX10">
        <f t="shared" si="4"/>
        <v>0.2969291707387095</v>
      </c>
      <c r="AY10">
        <f t="shared" si="4"/>
        <v>0.2972260999094482</v>
      </c>
      <c r="AZ10">
        <f t="shared" si="4"/>
        <v>0.2975233260093576</v>
      </c>
      <c r="BA10">
        <f t="shared" si="4"/>
        <v>0.29782084933536696</v>
      </c>
      <c r="BB10">
        <f t="shared" si="4"/>
        <v>0.29811867018470228</v>
      </c>
    </row>
    <row r="11" spans="1:54" x14ac:dyDescent="0.25">
      <c r="A11" s="110"/>
      <c r="B11" s="110"/>
      <c r="C11" s="110"/>
      <c r="D11" s="110"/>
      <c r="E11" s="110"/>
      <c r="F11" s="110"/>
    </row>
    <row r="12" spans="1:54" x14ac:dyDescent="0.25">
      <c r="A12" s="110" t="s">
        <v>381</v>
      </c>
      <c r="B12" s="110"/>
      <c r="C12" s="110"/>
      <c r="D12" s="110"/>
      <c r="E12" s="110"/>
      <c r="F12" s="110"/>
      <c r="Z12">
        <f>Z33/Z25</f>
        <v>6.233136285716482E-2</v>
      </c>
      <c r="AA12">
        <f t="shared" ref="AA12:AD12" si="5">AA33/AA25</f>
        <v>6.8309564140393061E-2</v>
      </c>
      <c r="AB12">
        <f t="shared" si="5"/>
        <v>5.9904269074427925E-2</v>
      </c>
      <c r="AC12">
        <f t="shared" si="5"/>
        <v>6.657148363798665E-2</v>
      </c>
      <c r="AD12">
        <f t="shared" si="5"/>
        <v>7.8317483273248417E-2</v>
      </c>
      <c r="AE12" s="110">
        <f>1.01*AD12</f>
        <v>7.9100658105980909E-2</v>
      </c>
      <c r="AF12" s="110">
        <f t="shared" ref="AF12:BB12" si="6">1.01*AE12</f>
        <v>7.9891664687040717E-2</v>
      </c>
      <c r="AG12" s="110">
        <f t="shared" si="6"/>
        <v>8.0690581333911118E-2</v>
      </c>
      <c r="AH12" s="110">
        <f t="shared" si="6"/>
        <v>8.1497487147250233E-2</v>
      </c>
      <c r="AI12" s="110">
        <f t="shared" si="6"/>
        <v>8.2312462018722735E-2</v>
      </c>
      <c r="AJ12" s="110">
        <f t="shared" si="6"/>
        <v>8.3135586638909964E-2</v>
      </c>
      <c r="AK12" s="110">
        <f t="shared" si="6"/>
        <v>8.3966942505299069E-2</v>
      </c>
      <c r="AL12" s="110">
        <f t="shared" si="6"/>
        <v>8.4806611930352063E-2</v>
      </c>
      <c r="AM12" s="110">
        <f t="shared" si="6"/>
        <v>8.5654678049655583E-2</v>
      </c>
      <c r="AN12" s="110">
        <f t="shared" si="6"/>
        <v>8.6511224830152139E-2</v>
      </c>
      <c r="AO12" s="110">
        <f t="shared" si="6"/>
        <v>8.7376337078453659E-2</v>
      </c>
      <c r="AP12" s="110">
        <f t="shared" si="6"/>
        <v>8.82501004492382E-2</v>
      </c>
      <c r="AQ12" s="110">
        <f t="shared" si="6"/>
        <v>8.9132601453730587E-2</v>
      </c>
      <c r="AR12" s="110">
        <f t="shared" si="6"/>
        <v>9.0023927468267886E-2</v>
      </c>
      <c r="AS12" s="110">
        <f t="shared" si="6"/>
        <v>9.0924166742950563E-2</v>
      </c>
      <c r="AT12" s="110">
        <f t="shared" si="6"/>
        <v>9.1833408410380069E-2</v>
      </c>
      <c r="AU12" s="110">
        <f t="shared" si="6"/>
        <v>9.2751742494483869E-2</v>
      </c>
      <c r="AV12" s="110">
        <f t="shared" si="6"/>
        <v>9.3679259919428715E-2</v>
      </c>
      <c r="AW12" s="110">
        <f t="shared" si="6"/>
        <v>9.4616052518622998E-2</v>
      </c>
      <c r="AX12" s="110">
        <f t="shared" si="6"/>
        <v>9.5562213043809227E-2</v>
      </c>
      <c r="AY12" s="110">
        <f t="shared" si="6"/>
        <v>9.6517835174247321E-2</v>
      </c>
      <c r="AZ12" s="110">
        <f t="shared" si="6"/>
        <v>9.7483013525989801E-2</v>
      </c>
      <c r="BA12" s="110">
        <f t="shared" si="6"/>
        <v>9.8457843661249697E-2</v>
      </c>
      <c r="BB12" s="110">
        <f t="shared" si="6"/>
        <v>9.9442422097862193E-2</v>
      </c>
    </row>
    <row r="13" spans="1:54" x14ac:dyDescent="0.25">
      <c r="A13" s="110" t="s">
        <v>382</v>
      </c>
      <c r="B13" s="110"/>
      <c r="C13" s="110"/>
      <c r="D13" s="110"/>
      <c r="E13" s="110"/>
      <c r="F13" s="110"/>
      <c r="Z13">
        <f>Z34/Z25</f>
        <v>7.0126146348213125E-2</v>
      </c>
      <c r="AA13">
        <f t="shared" ref="AA13:AD13" si="7">AA34/AA25</f>
        <v>7.2549769593646979E-2</v>
      </c>
      <c r="AB13">
        <f t="shared" si="7"/>
        <v>6.006555190163388E-2</v>
      </c>
      <c r="AC13">
        <f t="shared" si="7"/>
        <v>6.3637378020328261E-2</v>
      </c>
      <c r="AD13">
        <f t="shared" si="7"/>
        <v>6.5265004477000232E-2</v>
      </c>
      <c r="AE13">
        <f>AD13*1.001</f>
        <v>6.5330269481477229E-2</v>
      </c>
      <c r="AF13">
        <f t="shared" ref="AF13:BB13" si="8">AE13*1.001</f>
        <v>6.5395599750958697E-2</v>
      </c>
      <c r="AG13">
        <f t="shared" si="8"/>
        <v>6.546099535070965E-2</v>
      </c>
      <c r="AH13">
        <f t="shared" si="8"/>
        <v>6.5526456346060358E-2</v>
      </c>
      <c r="AI13">
        <f t="shared" si="8"/>
        <v>6.5591982802406412E-2</v>
      </c>
      <c r="AJ13">
        <f t="shared" si="8"/>
        <v>6.5657574785208811E-2</v>
      </c>
      <c r="AK13">
        <f t="shared" si="8"/>
        <v>6.5723232359994013E-2</v>
      </c>
      <c r="AL13">
        <f t="shared" si="8"/>
        <v>6.5788955592353995E-2</v>
      </c>
      <c r="AM13">
        <f t="shared" si="8"/>
        <v>6.5854744547946348E-2</v>
      </c>
      <c r="AN13">
        <f t="shared" si="8"/>
        <v>6.5920599292494289E-2</v>
      </c>
      <c r="AO13">
        <f t="shared" si="8"/>
        <v>6.5986519891786777E-2</v>
      </c>
      <c r="AP13">
        <f t="shared" si="8"/>
        <v>6.6052506411678563E-2</v>
      </c>
      <c r="AQ13">
        <f t="shared" si="8"/>
        <v>6.6118558918090237E-2</v>
      </c>
      <c r="AR13">
        <f t="shared" si="8"/>
        <v>6.6184677477008319E-2</v>
      </c>
      <c r="AS13">
        <f t="shared" si="8"/>
        <v>6.6250862154485321E-2</v>
      </c>
      <c r="AT13">
        <f t="shared" si="8"/>
        <v>6.6317113016639798E-2</v>
      </c>
      <c r="AU13">
        <f t="shared" si="8"/>
        <v>6.6383430129656432E-2</v>
      </c>
      <c r="AV13">
        <f t="shared" si="8"/>
        <v>6.6449813559786075E-2</v>
      </c>
      <c r="AW13">
        <f t="shared" si="8"/>
        <v>6.651626337334586E-2</v>
      </c>
      <c r="AX13">
        <f t="shared" si="8"/>
        <v>6.65827796367192E-2</v>
      </c>
      <c r="AY13">
        <f t="shared" si="8"/>
        <v>6.6649362416355912E-2</v>
      </c>
      <c r="AZ13">
        <f t="shared" si="8"/>
        <v>6.6716011778772261E-2</v>
      </c>
      <c r="BA13">
        <f t="shared" si="8"/>
        <v>6.6782727790551027E-2</v>
      </c>
      <c r="BB13">
        <f t="shared" si="8"/>
        <v>6.6849510518341565E-2</v>
      </c>
    </row>
    <row r="14" spans="1:54" x14ac:dyDescent="0.25">
      <c r="A14" s="110"/>
      <c r="B14" s="110"/>
      <c r="C14" s="110"/>
      <c r="D14" s="110"/>
      <c r="E14" s="110"/>
      <c r="F14" s="110"/>
    </row>
    <row r="15" spans="1:54" x14ac:dyDescent="0.25">
      <c r="A15" s="110" t="s">
        <v>408</v>
      </c>
      <c r="B15" s="110"/>
      <c r="C15" s="110"/>
      <c r="D15" s="110"/>
      <c r="E15" s="110"/>
      <c r="F15" s="110"/>
    </row>
    <row r="16" spans="1:54" x14ac:dyDescent="0.25">
      <c r="A16" s="110"/>
      <c r="B16" s="110"/>
      <c r="C16" s="110"/>
      <c r="D16" s="110"/>
      <c r="E16" s="110"/>
      <c r="F16" s="110"/>
    </row>
    <row r="17" spans="1:54" x14ac:dyDescent="0.25">
      <c r="A17" s="110" t="s">
        <v>325</v>
      </c>
      <c r="B17" s="110"/>
      <c r="C17" s="110"/>
      <c r="D17" s="110"/>
      <c r="E17" s="110"/>
      <c r="F17" s="110"/>
      <c r="Z17">
        <f>Z41/Z40</f>
        <v>0.15943836804235059</v>
      </c>
      <c r="AA17">
        <f t="shared" ref="AA17:AC17" si="9">AA41/AA40</f>
        <v>0.14428164731484103</v>
      </c>
      <c r="AB17">
        <f t="shared" si="9"/>
        <v>0.13302260844085087</v>
      </c>
      <c r="AC17">
        <f t="shared" si="9"/>
        <v>0.16204461684424407</v>
      </c>
      <c r="AE17" s="130"/>
    </row>
    <row r="18" spans="1:54" x14ac:dyDescent="0.25">
      <c r="A18" s="110"/>
      <c r="B18" s="110"/>
      <c r="C18" s="110"/>
      <c r="D18" s="110"/>
      <c r="E18" s="110"/>
      <c r="F18" s="110"/>
      <c r="AE18" s="130"/>
    </row>
    <row r="19" spans="1:54" x14ac:dyDescent="0.25">
      <c r="A19" t="s">
        <v>387</v>
      </c>
      <c r="B19" s="110"/>
      <c r="C19" s="110"/>
      <c r="D19" s="110"/>
      <c r="E19" s="110"/>
      <c r="F19" s="110"/>
      <c r="Z19">
        <f>Z52/Z25</f>
        <v>4.8225418373857493E-2</v>
      </c>
      <c r="AA19">
        <f t="shared" ref="AA19:AC19" si="10">AA52/AA25</f>
        <v>4.0274666229532081E-2</v>
      </c>
      <c r="AB19">
        <f t="shared" si="10"/>
        <v>3.084602410494865E-2</v>
      </c>
      <c r="AC19">
        <f t="shared" si="10"/>
        <v>2.8159298857803657E-2</v>
      </c>
      <c r="AE19" s="130"/>
    </row>
    <row r="20" spans="1:54" x14ac:dyDescent="0.25">
      <c r="A20" t="s">
        <v>388</v>
      </c>
      <c r="B20" s="110"/>
      <c r="C20" s="110"/>
      <c r="D20" s="110"/>
      <c r="E20" s="110"/>
      <c r="F20" s="110"/>
      <c r="Z20">
        <f>Z53/Z25</f>
        <v>2.3322853167495598E-2</v>
      </c>
      <c r="AA20">
        <f t="shared" ref="AA20:AC20" si="11">AA53/AA25</f>
        <v>2.4876600550061016E-2</v>
      </c>
      <c r="AB20">
        <f t="shared" si="11"/>
        <v>2.1611898845597662E-2</v>
      </c>
      <c r="AC20">
        <f t="shared" si="11"/>
        <v>2.2920005680550203E-2</v>
      </c>
      <c r="AE20" s="130"/>
    </row>
    <row r="21" spans="1:54" x14ac:dyDescent="0.25">
      <c r="A21" s="110" t="s">
        <v>410</v>
      </c>
      <c r="B21" s="110"/>
      <c r="C21" s="110"/>
      <c r="D21" s="110"/>
      <c r="E21" s="110"/>
      <c r="F21" s="110"/>
      <c r="U21" s="380">
        <f>((W25+V25)/(R25+S25))-1</f>
        <v>-1.999589429473414E-2</v>
      </c>
      <c r="Z21">
        <f>(Z53+Z54)/Z25</f>
        <v>3.1148385311368546E-2</v>
      </c>
      <c r="AA21">
        <f t="shared" ref="AA21:AC21" si="12">(AA53+AA54)/AA25</f>
        <v>3.4908839225543234E-2</v>
      </c>
      <c r="AB21">
        <f t="shared" si="12"/>
        <v>3.9533427916143865E-2</v>
      </c>
      <c r="AC21">
        <f t="shared" si="12"/>
        <v>3.8701284210099204E-2</v>
      </c>
      <c r="AE21" s="130"/>
    </row>
    <row r="22" spans="1:54" x14ac:dyDescent="0.25">
      <c r="A22" s="110" t="s">
        <v>117</v>
      </c>
      <c r="B22" s="110"/>
      <c r="C22" s="110"/>
      <c r="D22" s="110"/>
      <c r="E22" s="110"/>
      <c r="F22" s="110"/>
      <c r="U22">
        <f>((W25+V25)/(F25+G25))-1</f>
        <v>0.57956252682787235</v>
      </c>
      <c r="Z22">
        <f>Z55/Z25</f>
        <v>4.033838892433525E-2</v>
      </c>
      <c r="AA22">
        <f t="shared" ref="AA22:AC22" si="13">AA55/AA25</f>
        <v>2.6625138881299748E-2</v>
      </c>
      <c r="AB22">
        <f t="shared" si="13"/>
        <v>3.0302036264033657E-2</v>
      </c>
      <c r="AC22">
        <f t="shared" si="13"/>
        <v>2.7155058732831552E-2</v>
      </c>
      <c r="AE22" s="130"/>
    </row>
    <row r="23" spans="1:54" x14ac:dyDescent="0.25">
      <c r="A23" s="110" t="s">
        <v>411</v>
      </c>
      <c r="B23" s="110"/>
      <c r="C23" s="110"/>
      <c r="D23" s="110"/>
      <c r="E23" s="110"/>
      <c r="F23" s="110"/>
      <c r="Z23">
        <f>Z21/Z20</f>
        <v>1.3355306526038233</v>
      </c>
      <c r="AA23">
        <f t="shared" ref="AA23:AC23" si="14">AA21/AA20</f>
        <v>1.4032801288622054</v>
      </c>
      <c r="AB23">
        <f t="shared" si="14"/>
        <v>1.8292436124462434</v>
      </c>
      <c r="AC23">
        <f t="shared" si="14"/>
        <v>1.6885372870104003</v>
      </c>
      <c r="AE23" s="130"/>
    </row>
    <row r="24" spans="1:54" x14ac:dyDescent="0.25">
      <c r="A24" s="110"/>
      <c r="B24" s="110"/>
      <c r="C24" s="110"/>
      <c r="D24" s="110"/>
      <c r="E24" s="110"/>
      <c r="F24" s="110"/>
    </row>
    <row r="25" spans="1:54" x14ac:dyDescent="0.25">
      <c r="A25" t="s">
        <v>377</v>
      </c>
      <c r="C25">
        <f t="shared" ref="C25:W25" si="15">C26+C27</f>
        <v>53265</v>
      </c>
      <c r="D25">
        <f t="shared" si="15"/>
        <v>64040</v>
      </c>
      <c r="E25">
        <f t="shared" si="15"/>
        <v>84310</v>
      </c>
      <c r="F25">
        <f t="shared" si="15"/>
        <v>58015</v>
      </c>
      <c r="G25">
        <f t="shared" si="15"/>
        <v>53809</v>
      </c>
      <c r="H25">
        <f t="shared" si="15"/>
        <v>64040</v>
      </c>
      <c r="I25">
        <f t="shared" si="15"/>
        <v>91819</v>
      </c>
      <c r="J25">
        <f t="shared" si="15"/>
        <v>58313</v>
      </c>
      <c r="K25">
        <f t="shared" si="15"/>
        <v>59685</v>
      </c>
      <c r="L25">
        <f t="shared" si="15"/>
        <v>64698</v>
      </c>
      <c r="M25">
        <f t="shared" si="15"/>
        <v>111439</v>
      </c>
      <c r="N25">
        <f t="shared" si="15"/>
        <v>89584</v>
      </c>
      <c r="O25">
        <f t="shared" si="15"/>
        <v>81434</v>
      </c>
      <c r="P25">
        <f t="shared" si="15"/>
        <v>83360</v>
      </c>
      <c r="Q25">
        <f t="shared" si="15"/>
        <v>123945</v>
      </c>
      <c r="R25">
        <f t="shared" si="15"/>
        <v>97278</v>
      </c>
      <c r="S25">
        <f t="shared" si="15"/>
        <v>82959</v>
      </c>
      <c r="T25">
        <f t="shared" si="15"/>
        <v>90146</v>
      </c>
      <c r="U25">
        <f t="shared" si="15"/>
        <v>117154</v>
      </c>
      <c r="V25">
        <f t="shared" si="15"/>
        <v>94836</v>
      </c>
      <c r="W25">
        <f t="shared" si="15"/>
        <v>81797</v>
      </c>
      <c r="X25">
        <f>X26+X27</f>
        <v>89282</v>
      </c>
      <c r="Z25">
        <f>Z26+Z27</f>
        <v>260174</v>
      </c>
      <c r="AA25">
        <f>AA26+AA27</f>
        <v>274515</v>
      </c>
      <c r="AB25">
        <f>AB26+AB27</f>
        <v>365817</v>
      </c>
      <c r="AC25">
        <f>AC26+AC27</f>
        <v>394328</v>
      </c>
      <c r="AD25">
        <f>AD26+AD27</f>
        <v>383069</v>
      </c>
      <c r="AE25">
        <f t="shared" ref="AE25:BB25" si="16">AE26+AE27</f>
        <v>404095.69999999995</v>
      </c>
      <c r="AF25">
        <f t="shared" si="16"/>
        <v>426020.38502915</v>
      </c>
      <c r="AG25">
        <f t="shared" si="16"/>
        <v>448860.48893937253</v>
      </c>
      <c r="AH25">
        <f t="shared" si="16"/>
        <v>472632.31682514609</v>
      </c>
      <c r="AI25">
        <f t="shared" si="16"/>
        <v>497350.97627166676</v>
      </c>
      <c r="AJ25">
        <f t="shared" si="16"/>
        <v>523030.31453687267</v>
      </c>
      <c r="AK25">
        <f t="shared" si="16"/>
        <v>549682.8620322668</v>
      </c>
      <c r="AL25">
        <f t="shared" si="16"/>
        <v>577319.78240064369</v>
      </c>
      <c r="AM25">
        <f t="shared" si="16"/>
        <v>605950.82942131127</v>
      </c>
      <c r="AN25">
        <f t="shared" si="16"/>
        <v>635584.31090613932</v>
      </c>
      <c r="AO25">
        <f t="shared" si="16"/>
        <v>666227.05968362512</v>
      </c>
      <c r="AP25">
        <f t="shared" si="16"/>
        <v>697884.41170396539</v>
      </c>
      <c r="AQ25">
        <f t="shared" si="16"/>
        <v>730560.19123654719</v>
      </c>
      <c r="AR25">
        <f t="shared" si="16"/>
        <v>764256.70307296689</v>
      </c>
      <c r="AS25">
        <f t="shared" si="16"/>
        <v>798974.73159418046</v>
      </c>
      <c r="AT25">
        <f t="shared" si="16"/>
        <v>834713.54651011061</v>
      </c>
      <c r="AU25">
        <f t="shared" si="16"/>
        <v>871470.91503434</v>
      </c>
      <c r="AV25">
        <f t="shared" si="16"/>
        <v>909243.1202156581</v>
      </c>
      <c r="AW25">
        <f t="shared" si="16"/>
        <v>948024.98511235893</v>
      </c>
      <c r="AX25">
        <f t="shared" si="16"/>
        <v>987809.90246440098</v>
      </c>
      <c r="AY25">
        <f t="shared" si="16"/>
        <v>1028589.869492837</v>
      </c>
      <c r="AZ25">
        <f t="shared" si="16"/>
        <v>1070355.5274352536</v>
      </c>
      <c r="BA25">
        <f t="shared" si="16"/>
        <v>1113096.2054101799</v>
      </c>
      <c r="BB25">
        <f t="shared" si="16"/>
        <v>1156799.9681923776</v>
      </c>
    </row>
    <row r="26" spans="1:54" x14ac:dyDescent="0.25">
      <c r="A26" s="379" t="s">
        <v>378</v>
      </c>
      <c r="B26" s="379"/>
      <c r="C26" s="379">
        <v>43095</v>
      </c>
      <c r="D26" s="379">
        <v>51529</v>
      </c>
      <c r="E26" s="379">
        <v>73435</v>
      </c>
      <c r="F26" s="379">
        <v>46565</v>
      </c>
      <c r="G26" s="379">
        <v>42354</v>
      </c>
      <c r="H26" s="379">
        <v>51529</v>
      </c>
      <c r="I26" s="379">
        <v>79104</v>
      </c>
      <c r="J26" s="379">
        <v>44965</v>
      </c>
      <c r="K26" s="379">
        <v>46529</v>
      </c>
      <c r="L26" s="379">
        <v>50149</v>
      </c>
      <c r="M26">
        <v>95678</v>
      </c>
      <c r="N26" s="194">
        <v>72683</v>
      </c>
      <c r="O26">
        <v>63948</v>
      </c>
      <c r="P26">
        <v>65083</v>
      </c>
      <c r="Q26">
        <v>104429</v>
      </c>
      <c r="R26">
        <v>77457</v>
      </c>
      <c r="S26">
        <v>63355</v>
      </c>
      <c r="T26">
        <v>70958</v>
      </c>
      <c r="U26">
        <v>96388</v>
      </c>
      <c r="V26">
        <v>73929</v>
      </c>
      <c r="W26">
        <v>60584</v>
      </c>
      <c r="X26">
        <v>67977</v>
      </c>
      <c r="Z26">
        <f>SUM(E26:H26)</f>
        <v>213883</v>
      </c>
      <c r="AA26">
        <f>SUM(I26:L26)</f>
        <v>220747</v>
      </c>
      <c r="AB26">
        <f>SUM(M26:P26)</f>
        <v>297392</v>
      </c>
      <c r="AC26">
        <f>SUM(Q26:T26)</f>
        <v>316199</v>
      </c>
      <c r="AD26">
        <f>SUM(U26:X26)</f>
        <v>298878</v>
      </c>
      <c r="AE26" s="110">
        <f>(1+AE5)*AD26</f>
        <v>312327.50999999995</v>
      </c>
      <c r="AF26" s="110">
        <f t="shared" ref="AF26:BB26" si="17">(1+AF5)*AE26</f>
        <v>326199.53635665</v>
      </c>
      <c r="AG26" s="110">
        <f t="shared" si="17"/>
        <v>340499.34278263594</v>
      </c>
      <c r="AH26" s="110">
        <f t="shared" si="17"/>
        <v>355231.97169030906</v>
      </c>
      <c r="AI26" s="110">
        <f t="shared" si="17"/>
        <v>370402.23681401042</v>
      </c>
      <c r="AJ26" s="110">
        <f t="shared" si="17"/>
        <v>386014.71619399753</v>
      </c>
      <c r="AK26" s="110">
        <f t="shared" si="17"/>
        <v>402073.74553397647</v>
      </c>
      <c r="AL26" s="110">
        <f t="shared" si="17"/>
        <v>418583.41194309283</v>
      </c>
      <c r="AM26" s="110">
        <f t="shared" si="17"/>
        <v>435547.54807207413</v>
      </c>
      <c r="AN26" s="110">
        <f t="shared" si="17"/>
        <v>452969.72665205173</v>
      </c>
      <c r="AO26" s="110">
        <f t="shared" si="17"/>
        <v>470853.25544342265</v>
      </c>
      <c r="AP26" s="110">
        <f t="shared" si="17"/>
        <v>489201.17260095105</v>
      </c>
      <c r="AQ26" s="110">
        <f t="shared" si="17"/>
        <v>508016.2424601533</v>
      </c>
      <c r="AR26" s="110">
        <f t="shared" si="17"/>
        <v>527300.95174886822</v>
      </c>
      <c r="AS26" s="110">
        <f t="shared" si="17"/>
        <v>547057.50622678723</v>
      </c>
      <c r="AT26" s="110">
        <f t="shared" si="17"/>
        <v>567287.82775461243</v>
      </c>
      <c r="AU26" s="110">
        <f t="shared" si="17"/>
        <v>587993.55179342255</v>
      </c>
      <c r="AV26" s="110">
        <f t="shared" si="17"/>
        <v>609176.02533377125</v>
      </c>
      <c r="AW26" s="110">
        <f t="shared" si="17"/>
        <v>630836.30525300954</v>
      </c>
      <c r="AX26" s="110">
        <f t="shared" si="17"/>
        <v>652975.15709832637</v>
      </c>
      <c r="AY26" s="110">
        <f t="shared" si="17"/>
        <v>675593.05429203343</v>
      </c>
      <c r="AZ26" s="110">
        <f t="shared" si="17"/>
        <v>698690.17775469646</v>
      </c>
      <c r="BA26" s="110">
        <f t="shared" si="17"/>
        <v>722266.41594081966</v>
      </c>
      <c r="BB26" s="110">
        <f t="shared" si="17"/>
        <v>746321.36528094101</v>
      </c>
    </row>
    <row r="27" spans="1:54" x14ac:dyDescent="0.25">
      <c r="A27" s="379" t="s">
        <v>379</v>
      </c>
      <c r="B27" s="379"/>
      <c r="C27" s="379">
        <v>10170</v>
      </c>
      <c r="D27" s="379">
        <v>12511</v>
      </c>
      <c r="E27" s="379">
        <v>10875</v>
      </c>
      <c r="F27" s="379">
        <v>11450</v>
      </c>
      <c r="G27" s="379">
        <v>11455</v>
      </c>
      <c r="H27" s="379">
        <v>12511</v>
      </c>
      <c r="I27" s="379">
        <v>12715</v>
      </c>
      <c r="J27" s="379">
        <v>13348</v>
      </c>
      <c r="K27" s="379">
        <v>13156</v>
      </c>
      <c r="L27" s="379">
        <v>14549</v>
      </c>
      <c r="M27">
        <v>15761</v>
      </c>
      <c r="N27">
        <v>16901</v>
      </c>
      <c r="O27">
        <v>17486</v>
      </c>
      <c r="P27">
        <v>18277</v>
      </c>
      <c r="Q27">
        <v>19516</v>
      </c>
      <c r="R27">
        <v>19821</v>
      </c>
      <c r="S27">
        <v>19604</v>
      </c>
      <c r="T27">
        <v>19188</v>
      </c>
      <c r="U27">
        <v>20766</v>
      </c>
      <c r="V27">
        <v>20907</v>
      </c>
      <c r="W27">
        <v>21213</v>
      </c>
      <c r="X27">
        <v>21305</v>
      </c>
      <c r="Z27">
        <f>SUM(E27:H27)</f>
        <v>46291</v>
      </c>
      <c r="AA27">
        <f>SUM(I27:L27)</f>
        <v>53768</v>
      </c>
      <c r="AB27">
        <f>SUM(M27:P27)</f>
        <v>68425</v>
      </c>
      <c r="AC27">
        <f>SUM(Q27:T27)</f>
        <v>78129</v>
      </c>
      <c r="AD27">
        <f>SUM(U27:X27)</f>
        <v>84191</v>
      </c>
      <c r="AE27" s="110">
        <f>(1+AE6)*AD27</f>
        <v>91768.19</v>
      </c>
      <c r="AF27" s="110">
        <f t="shared" ref="AF27:BB27" si="18">(1+AF6)*AE27</f>
        <v>99820.848672499997</v>
      </c>
      <c r="AG27" s="110">
        <f t="shared" si="18"/>
        <v>108361.14615673658</v>
      </c>
      <c r="AH27" s="110">
        <f t="shared" si="18"/>
        <v>117400.34513483704</v>
      </c>
      <c r="AI27" s="110">
        <f t="shared" si="18"/>
        <v>126948.73945765635</v>
      </c>
      <c r="AJ27" s="110">
        <f t="shared" si="18"/>
        <v>137015.59834287516</v>
      </c>
      <c r="AK27" s="110">
        <f t="shared" si="18"/>
        <v>147609.11649829036</v>
      </c>
      <c r="AL27" s="110">
        <f t="shared" si="18"/>
        <v>158736.3704575508</v>
      </c>
      <c r="AM27" s="110">
        <f t="shared" si="18"/>
        <v>170403.28134923716</v>
      </c>
      <c r="AN27" s="110">
        <f t="shared" si="18"/>
        <v>182614.58425408759</v>
      </c>
      <c r="AO27" s="110">
        <f t="shared" si="18"/>
        <v>195373.80424020247</v>
      </c>
      <c r="AP27" s="110">
        <f t="shared" si="18"/>
        <v>208683.23910301441</v>
      </c>
      <c r="AQ27" s="110">
        <f t="shared" si="18"/>
        <v>222543.9487763939</v>
      </c>
      <c r="AR27" s="110">
        <f t="shared" si="18"/>
        <v>236955.75132409864</v>
      </c>
      <c r="AS27" s="110">
        <f t="shared" si="18"/>
        <v>251917.22536739323</v>
      </c>
      <c r="AT27" s="110">
        <f t="shared" si="18"/>
        <v>267425.71875549818</v>
      </c>
      <c r="AU27" s="110">
        <f t="shared" si="18"/>
        <v>283477.36324091739</v>
      </c>
      <c r="AV27" s="110">
        <f t="shared" si="18"/>
        <v>300067.09488188679</v>
      </c>
      <c r="AW27" s="110">
        <f t="shared" si="18"/>
        <v>317188.67985934939</v>
      </c>
      <c r="AX27" s="110">
        <f t="shared" si="18"/>
        <v>334834.74536607461</v>
      </c>
      <c r="AY27" s="110">
        <f t="shared" si="18"/>
        <v>352996.81520080357</v>
      </c>
      <c r="AZ27" s="110">
        <f t="shared" si="18"/>
        <v>371665.34968055709</v>
      </c>
      <c r="BA27" s="110">
        <f t="shared" si="18"/>
        <v>390829.78946936032</v>
      </c>
      <c r="BB27" s="110">
        <f t="shared" si="18"/>
        <v>410478.60291143652</v>
      </c>
    </row>
    <row r="28" spans="1:54" x14ac:dyDescent="0.25">
      <c r="C28" s="110" t="s">
        <v>263</v>
      </c>
    </row>
    <row r="29" spans="1:54" x14ac:dyDescent="0.25">
      <c r="A29" t="s">
        <v>380</v>
      </c>
    </row>
    <row r="30" spans="1:54" x14ac:dyDescent="0.25">
      <c r="A30" s="379" t="s">
        <v>378</v>
      </c>
      <c r="B30" s="379"/>
      <c r="C30" s="379">
        <v>28956</v>
      </c>
      <c r="D30" s="379">
        <v>35238</v>
      </c>
      <c r="E30" s="379">
        <v>48238</v>
      </c>
      <c r="F30" s="379">
        <v>32047</v>
      </c>
      <c r="G30" s="379">
        <v>29473</v>
      </c>
      <c r="H30" s="379">
        <v>35238</v>
      </c>
      <c r="I30" s="379">
        <v>52075</v>
      </c>
      <c r="J30" s="379">
        <v>31321</v>
      </c>
      <c r="K30" s="379">
        <v>32693</v>
      </c>
      <c r="L30" s="379">
        <v>35197</v>
      </c>
      <c r="M30">
        <v>62130</v>
      </c>
      <c r="N30">
        <v>46447</v>
      </c>
      <c r="O30">
        <v>40899</v>
      </c>
      <c r="P30">
        <v>42790</v>
      </c>
      <c r="Q30">
        <v>64309</v>
      </c>
      <c r="R30">
        <v>49290</v>
      </c>
      <c r="S30">
        <v>41485</v>
      </c>
      <c r="T30">
        <v>46387</v>
      </c>
      <c r="U30">
        <v>60765</v>
      </c>
      <c r="V30">
        <v>46795</v>
      </c>
      <c r="W30">
        <v>39136</v>
      </c>
      <c r="X30">
        <v>43350</v>
      </c>
      <c r="Z30">
        <f>SUM(E30:H30)</f>
        <v>144996</v>
      </c>
      <c r="AA30">
        <f>SUM(I30:L30)</f>
        <v>151286</v>
      </c>
      <c r="AB30">
        <f>SUM(M30:P30)</f>
        <v>192266</v>
      </c>
      <c r="AC30">
        <f>SUM(Q30:T30)</f>
        <v>201471</v>
      </c>
      <c r="AD30">
        <f>SUM(U30:X30)</f>
        <v>190046</v>
      </c>
      <c r="AE30">
        <f>AE9*AE26</f>
        <v>198796.66806999993</v>
      </c>
      <c r="AF30">
        <f t="shared" ref="AF30:BB30" si="19">AF9*AF26</f>
        <v>207833.84830441131</v>
      </c>
      <c r="AG30">
        <f t="shared" si="19"/>
        <v>217161.731238462</v>
      </c>
      <c r="AH30">
        <f t="shared" si="19"/>
        <v>226784.38120445397</v>
      </c>
      <c r="AI30">
        <f t="shared" si="19"/>
        <v>236705.73094695766</v>
      </c>
      <c r="AJ30">
        <f t="shared" si="19"/>
        <v>246929.57643898326</v>
      </c>
      <c r="AK30">
        <f t="shared" si="19"/>
        <v>257459.57190833043</v>
      </c>
      <c r="AL30">
        <f t="shared" si="19"/>
        <v>268299.22508264828</v>
      </c>
      <c r="AM30">
        <f t="shared" si="19"/>
        <v>279451.89266105503</v>
      </c>
      <c r="AN30">
        <f t="shared" si="19"/>
        <v>290920.7760194756</v>
      </c>
      <c r="AO30">
        <f t="shared" si="19"/>
        <v>302708.91715615429</v>
      </c>
      <c r="AP30">
        <f t="shared" si="19"/>
        <v>314819.19488309877</v>
      </c>
      <c r="AQ30">
        <f t="shared" si="19"/>
        <v>327254.32126850577</v>
      </c>
      <c r="AR30">
        <f t="shared" si="19"/>
        <v>340016.83833451505</v>
      </c>
      <c r="AS30">
        <f t="shared" si="19"/>
        <v>353109.1150139395</v>
      </c>
      <c r="AT30">
        <f t="shared" si="19"/>
        <v>366533.34436892427</v>
      </c>
      <c r="AU30">
        <f t="shared" si="19"/>
        <v>380291.54107380292</v>
      </c>
      <c r="AV30">
        <f t="shared" si="19"/>
        <v>394385.53916374309</v>
      </c>
      <c r="AW30">
        <f t="shared" si="19"/>
        <v>408816.99005011184</v>
      </c>
      <c r="AX30">
        <f t="shared" si="19"/>
        <v>423587.36080284324</v>
      </c>
      <c r="AY30">
        <f t="shared" si="19"/>
        <v>438697.93269945658</v>
      </c>
      <c r="AZ30">
        <f t="shared" si="19"/>
        <v>454149.80003976275</v>
      </c>
      <c r="BA30">
        <f t="shared" si="19"/>
        <v>469943.86922469834</v>
      </c>
      <c r="BB30">
        <f t="shared" si="19"/>
        <v>486080.85809715459</v>
      </c>
    </row>
    <row r="31" spans="1:54" x14ac:dyDescent="0.25">
      <c r="A31" s="379" t="s">
        <v>379</v>
      </c>
      <c r="B31" s="379"/>
      <c r="C31" s="379">
        <v>3888</v>
      </c>
      <c r="D31" s="379">
        <v>4489</v>
      </c>
      <c r="E31" s="379">
        <v>4041</v>
      </c>
      <c r="F31" s="379">
        <v>4147</v>
      </c>
      <c r="G31" s="379">
        <v>4109</v>
      </c>
      <c r="H31" s="379">
        <v>4489</v>
      </c>
      <c r="I31" s="379">
        <v>4527</v>
      </c>
      <c r="J31" s="379">
        <v>4622</v>
      </c>
      <c r="K31" s="379">
        <v>4312</v>
      </c>
      <c r="L31" s="379">
        <v>4812</v>
      </c>
      <c r="M31">
        <v>4981</v>
      </c>
      <c r="N31">
        <v>5058</v>
      </c>
      <c r="O31">
        <v>5280</v>
      </c>
      <c r="P31">
        <v>5396</v>
      </c>
      <c r="Q31">
        <v>5393</v>
      </c>
      <c r="R31">
        <v>5429</v>
      </c>
      <c r="S31">
        <v>5589</v>
      </c>
      <c r="T31">
        <v>5664</v>
      </c>
      <c r="U31">
        <v>6057</v>
      </c>
      <c r="V31">
        <v>6065</v>
      </c>
      <c r="W31">
        <v>6248</v>
      </c>
      <c r="X31">
        <v>6134</v>
      </c>
      <c r="Z31">
        <f>SUM(E31:H31)</f>
        <v>16786</v>
      </c>
      <c r="AA31">
        <f>SUM(I31:L31)</f>
        <v>18273</v>
      </c>
      <c r="AB31">
        <f>SUM(M31:P31)</f>
        <v>20715</v>
      </c>
      <c r="AC31">
        <f>SUM(Q31:T31)</f>
        <v>22075</v>
      </c>
      <c r="AD31">
        <f>SUM(U31:X31)</f>
        <v>24504</v>
      </c>
      <c r="AE31">
        <f>AE10*AE27</f>
        <v>26736.069360000001</v>
      </c>
      <c r="AF31">
        <f t="shared" ref="AF31:BB31" si="20">AF10*AF27</f>
        <v>29111.241605786334</v>
      </c>
      <c r="AG31">
        <f t="shared" si="20"/>
        <v>31633.492160691811</v>
      </c>
      <c r="AH31">
        <f t="shared" si="20"/>
        <v>34306.546324323434</v>
      </c>
      <c r="AI31">
        <f t="shared" si="20"/>
        <v>37133.860031012278</v>
      </c>
      <c r="AJ31">
        <f t="shared" si="20"/>
        <v>40118.602128219012</v>
      </c>
      <c r="AK31">
        <f t="shared" si="20"/>
        <v>43263.638289372757</v>
      </c>
      <c r="AL31">
        <f t="shared" si="20"/>
        <v>46571.516657223656</v>
      </c>
      <c r="AM31">
        <f t="shared" si="20"/>
        <v>50044.455295024622</v>
      </c>
      <c r="AN31">
        <f t="shared" si="20"/>
        <v>53684.331503995818</v>
      </c>
      <c r="AO31">
        <f t="shared" si="20"/>
        <v>57492.67304682338</v>
      </c>
      <c r="AP31">
        <f t="shared" si="20"/>
        <v>61470.651298637633</v>
      </c>
      <c r="AQ31">
        <f t="shared" si="20"/>
        <v>65619.076329219373</v>
      </c>
      <c r="AR31">
        <f t="shared" si="20"/>
        <v>69938.393903286866</v>
      </c>
      <c r="AS31">
        <f t="shared" si="20"/>
        <v>74428.684369785013</v>
      </c>
      <c r="AT31">
        <f t="shared" si="20"/>
        <v>79089.663396270262</v>
      </c>
      <c r="AU31">
        <f t="shared" si="20"/>
        <v>83920.684490874773</v>
      </c>
      <c r="AV31">
        <f t="shared" si="20"/>
        <v>88920.743242025026</v>
      </c>
      <c r="AW31">
        <f t="shared" si="20"/>
        <v>94088.483195147477</v>
      </c>
      <c r="AX31">
        <f t="shared" si="20"/>
        <v>99422.203276055487</v>
      </c>
      <c r="AY31">
        <f t="shared" si="20"/>
        <v>104919.86666259107</v>
      </c>
      <c r="AZ31">
        <f t="shared" si="20"/>
        <v>110579.11099939028</v>
      </c>
      <c r="BA31">
        <f t="shared" si="20"/>
        <v>116397.25984532754</v>
      </c>
      <c r="BB31">
        <f t="shared" si="20"/>
        <v>122371.33523923192</v>
      </c>
    </row>
    <row r="33" spans="1:54" x14ac:dyDescent="0.25">
      <c r="A33" t="s">
        <v>381</v>
      </c>
      <c r="C33">
        <v>3701</v>
      </c>
      <c r="D33">
        <v>4110</v>
      </c>
      <c r="E33">
        <v>3902</v>
      </c>
      <c r="F33">
        <v>3948</v>
      </c>
      <c r="G33">
        <v>4257</v>
      </c>
      <c r="H33">
        <v>4110</v>
      </c>
      <c r="I33">
        <v>4451</v>
      </c>
      <c r="J33">
        <v>4565</v>
      </c>
      <c r="K33">
        <v>4758</v>
      </c>
      <c r="L33">
        <v>4978</v>
      </c>
      <c r="M33">
        <v>5163</v>
      </c>
      <c r="N33">
        <v>5262</v>
      </c>
      <c r="O33">
        <v>5717</v>
      </c>
      <c r="P33">
        <v>5772</v>
      </c>
      <c r="Q33">
        <v>6306</v>
      </c>
      <c r="R33">
        <v>6387</v>
      </c>
      <c r="S33">
        <v>6797</v>
      </c>
      <c r="T33">
        <v>6761</v>
      </c>
      <c r="U33">
        <v>7709</v>
      </c>
      <c r="V33">
        <v>7457</v>
      </c>
      <c r="W33">
        <v>7442</v>
      </c>
      <c r="X33">
        <v>7393</v>
      </c>
      <c r="Z33">
        <f>SUM(E33:H33)</f>
        <v>16217</v>
      </c>
      <c r="AA33">
        <f>SUM(I33:L33)</f>
        <v>18752</v>
      </c>
      <c r="AB33">
        <f>SUM(M33:P33)</f>
        <v>21914</v>
      </c>
      <c r="AC33">
        <f>SUM(Q33:T33)</f>
        <v>26251</v>
      </c>
      <c r="AD33">
        <f>SUM(U33:X33)</f>
        <v>30001</v>
      </c>
      <c r="AE33">
        <f>AE12*AE$25</f>
        <v>31964.235807797028</v>
      </c>
      <c r="AF33">
        <f t="shared" ref="AF33:BB33" si="21">AF12*AF$25</f>
        <v>34035.477750592836</v>
      </c>
      <c r="AG33">
        <f t="shared" si="21"/>
        <v>36218.813790341548</v>
      </c>
      <c r="AH33">
        <f t="shared" si="21"/>
        <v>38518.346165832445</v>
      </c>
      <c r="AI33">
        <f t="shared" si="21"/>
        <v>40938.183344336241</v>
      </c>
      <c r="AJ33">
        <f t="shared" si="21"/>
        <v>43482.432028956508</v>
      </c>
      <c r="AK33">
        <f t="shared" si="21"/>
        <v>46155.18927241159</v>
      </c>
      <c r="AL33">
        <f t="shared" si="21"/>
        <v>48960.534745766687</v>
      </c>
      <c r="AM33">
        <f t="shared" si="21"/>
        <v>51902.523208004182</v>
      </c>
      <c r="AN33">
        <f t="shared" si="21"/>
        <v>54985.177219318335</v>
      </c>
      <c r="AO33">
        <f t="shared" si="21"/>
        <v>58212.480137703489</v>
      </c>
      <c r="AP33">
        <f t="shared" si="21"/>
        <v>61588.369434832457</v>
      </c>
      <c r="AQ33">
        <f t="shared" si="21"/>
        <v>65116.730363448361</v>
      </c>
      <c r="AR33">
        <f t="shared" si="21"/>
        <v>68801.390004578323</v>
      </c>
      <c r="AS33">
        <f t="shared" si="21"/>
        <v>72646.111718873435</v>
      </c>
      <c r="AT33">
        <f t="shared" si="21"/>
        <v>76654.590022339762</v>
      </c>
      <c r="AU33">
        <f t="shared" si="21"/>
        <v>80830.445902697335</v>
      </c>
      <c r="AV33">
        <f t="shared" si="21"/>
        <v>85177.222588635006</v>
      </c>
      <c r="AW33">
        <f t="shared" si="21"/>
        <v>89698.38178035774</v>
      </c>
      <c r="AX33">
        <f t="shared" si="21"/>
        <v>94397.300346087504</v>
      </c>
      <c r="AY33">
        <f t="shared" si="21"/>
        <v>99277.267485610209</v>
      </c>
      <c r="AZ33">
        <f t="shared" si="21"/>
        <v>104341.48235858878</v>
      </c>
      <c r="BA33">
        <f t="shared" si="21"/>
        <v>109593.05217220577</v>
      </c>
      <c r="BB33">
        <f t="shared" si="21"/>
        <v>115034.99071977998</v>
      </c>
    </row>
    <row r="34" spans="1:54" x14ac:dyDescent="0.25">
      <c r="A34" t="s">
        <v>382</v>
      </c>
      <c r="C34">
        <v>4108</v>
      </c>
      <c r="D34">
        <v>4578</v>
      </c>
      <c r="E34">
        <v>4783</v>
      </c>
      <c r="F34">
        <v>4458</v>
      </c>
      <c r="G34">
        <v>4426</v>
      </c>
      <c r="H34">
        <v>4578</v>
      </c>
      <c r="I34">
        <v>5197</v>
      </c>
      <c r="J34">
        <v>4952</v>
      </c>
      <c r="K34">
        <v>4831</v>
      </c>
      <c r="L34">
        <v>4936</v>
      </c>
      <c r="M34">
        <v>5631</v>
      </c>
      <c r="N34">
        <v>5314</v>
      </c>
      <c r="O34">
        <v>5412</v>
      </c>
      <c r="P34">
        <v>5616</v>
      </c>
      <c r="Q34">
        <v>6449</v>
      </c>
      <c r="R34">
        <v>6193</v>
      </c>
      <c r="S34">
        <v>6012</v>
      </c>
      <c r="T34">
        <v>6440</v>
      </c>
      <c r="U34">
        <v>6607</v>
      </c>
      <c r="V34">
        <v>6201</v>
      </c>
      <c r="W34">
        <v>5973</v>
      </c>
      <c r="X34">
        <v>6220</v>
      </c>
      <c r="Z34">
        <f>SUM(E34:H34)</f>
        <v>18245</v>
      </c>
      <c r="AA34">
        <f>SUM(I34:L34)</f>
        <v>19916</v>
      </c>
      <c r="AB34">
        <f>SUM(M34:P34)</f>
        <v>21973</v>
      </c>
      <c r="AC34">
        <f>SUM(Q34:T34)</f>
        <v>25094</v>
      </c>
      <c r="AD34">
        <f>SUM(U34:X34)</f>
        <v>25001</v>
      </c>
      <c r="AE34">
        <f>AE13*AE$25</f>
        <v>26399.680977306176</v>
      </c>
      <c r="AF34">
        <f t="shared" ref="AF34:BB34" si="22">AF13*AF$25</f>
        <v>27859.858585115609</v>
      </c>
      <c r="AG34">
        <f t="shared" si="22"/>
        <v>29382.854379577526</v>
      </c>
      <c r="AH34">
        <f t="shared" si="22"/>
        <v>30969.920876180302</v>
      </c>
      <c r="AI34">
        <f t="shared" si="22"/>
        <v>32622.236682371207</v>
      </c>
      <c r="AJ34">
        <f t="shared" si="22"/>
        <v>34340.901991636005</v>
      </c>
      <c r="AK34">
        <f t="shared" si="22"/>
        <v>36126.934465653205</v>
      </c>
      <c r="AL34">
        <f t="shared" si="22"/>
        <v>37981.265526943418</v>
      </c>
      <c r="AM34">
        <f t="shared" si="22"/>
        <v>39904.737080156665</v>
      </c>
      <c r="AN34">
        <f t="shared" si="22"/>
        <v>41898.098675839719</v>
      </c>
      <c r="AO34">
        <f t="shared" si="22"/>
        <v>43962.005126260148</v>
      </c>
      <c r="AP34">
        <f t="shared" si="22"/>
        <v>46097.0145786867</v>
      </c>
      <c r="AQ34">
        <f t="shared" si="22"/>
        <v>48303.587047484914</v>
      </c>
      <c r="AR34">
        <f t="shared" si="22"/>
        <v>50582.083402526026</v>
      </c>
      <c r="AS34">
        <f t="shared" si="22"/>
        <v>52932.764807762956</v>
      </c>
      <c r="AT34">
        <f t="shared" si="22"/>
        <v>55355.792600431225</v>
      </c>
      <c r="AU34">
        <f t="shared" si="22"/>
        <v>57851.228598209869</v>
      </c>
      <c r="AV34">
        <f t="shared" si="22"/>
        <v>60419.035818848635</v>
      </c>
      <c r="AW34">
        <f t="shared" si="22"/>
        <v>63059.079594245952</v>
      </c>
      <c r="AX34">
        <f t="shared" si="22"/>
        <v>65771.129058756298</v>
      </c>
      <c r="AY34">
        <f t="shared" si="22"/>
        <v>68554.858989620319</v>
      </c>
      <c r="AZ34">
        <f t="shared" si="22"/>
        <v>71409.851975844373</v>
      </c>
      <c r="BA34">
        <f t="shared" si="22"/>
        <v>74335.600890603324</v>
      </c>
      <c r="BB34">
        <f t="shared" si="22"/>
        <v>77331.511641293531</v>
      </c>
    </row>
    <row r="36" spans="1:54" x14ac:dyDescent="0.25">
      <c r="A36" s="110" t="s">
        <v>409</v>
      </c>
      <c r="C36">
        <f>C25-C30-C31-C33-C34</f>
        <v>12612</v>
      </c>
      <c r="D36">
        <f t="shared" ref="D36:BB36" si="23">D25-D30-D31-D33-D34</f>
        <v>15625</v>
      </c>
      <c r="E36">
        <f t="shared" si="23"/>
        <v>23346</v>
      </c>
      <c r="F36">
        <f t="shared" si="23"/>
        <v>13415</v>
      </c>
      <c r="G36">
        <f t="shared" si="23"/>
        <v>11544</v>
      </c>
      <c r="H36">
        <f t="shared" si="23"/>
        <v>15625</v>
      </c>
      <c r="I36">
        <f t="shared" si="23"/>
        <v>25569</v>
      </c>
      <c r="J36">
        <f t="shared" si="23"/>
        <v>12853</v>
      </c>
      <c r="K36">
        <f t="shared" si="23"/>
        <v>13091</v>
      </c>
      <c r="L36">
        <f t="shared" si="23"/>
        <v>14775</v>
      </c>
      <c r="M36">
        <f t="shared" si="23"/>
        <v>33534</v>
      </c>
      <c r="N36">
        <f t="shared" si="23"/>
        <v>27503</v>
      </c>
      <c r="O36">
        <f t="shared" si="23"/>
        <v>24126</v>
      </c>
      <c r="P36">
        <f t="shared" si="23"/>
        <v>23786</v>
      </c>
      <c r="Q36">
        <f t="shared" si="23"/>
        <v>41488</v>
      </c>
      <c r="R36">
        <f t="shared" si="23"/>
        <v>29979</v>
      </c>
      <c r="S36">
        <f t="shared" si="23"/>
        <v>23076</v>
      </c>
      <c r="T36">
        <f t="shared" si="23"/>
        <v>24894</v>
      </c>
      <c r="U36">
        <f t="shared" si="23"/>
        <v>36016</v>
      </c>
      <c r="V36">
        <f t="shared" si="23"/>
        <v>28318</v>
      </c>
      <c r="W36">
        <f t="shared" si="23"/>
        <v>22998</v>
      </c>
      <c r="X36">
        <f>X25-X30-X31-X33-X34</f>
        <v>26185</v>
      </c>
      <c r="Z36">
        <f t="shared" si="23"/>
        <v>63930</v>
      </c>
      <c r="AA36">
        <f t="shared" si="23"/>
        <v>66288</v>
      </c>
      <c r="AB36">
        <f t="shared" si="23"/>
        <v>108949</v>
      </c>
      <c r="AC36">
        <f t="shared" si="23"/>
        <v>119437</v>
      </c>
      <c r="AD36">
        <f t="shared" si="23"/>
        <v>113517</v>
      </c>
      <c r="AE36">
        <f t="shared" si="23"/>
        <v>120199.04578489682</v>
      </c>
      <c r="AF36">
        <f t="shared" si="23"/>
        <v>127179.9587832439</v>
      </c>
      <c r="AG36">
        <f t="shared" si="23"/>
        <v>134463.59737029963</v>
      </c>
      <c r="AH36">
        <f t="shared" si="23"/>
        <v>142053.12225435593</v>
      </c>
      <c r="AI36">
        <f t="shared" si="23"/>
        <v>149950.9652669894</v>
      </c>
      <c r="AJ36">
        <f t="shared" si="23"/>
        <v>158158.8019490779</v>
      </c>
      <c r="AK36">
        <f t="shared" si="23"/>
        <v>166677.52809649881</v>
      </c>
      <c r="AL36">
        <f t="shared" si="23"/>
        <v>175507.24038806168</v>
      </c>
      <c r="AM36">
        <f t="shared" si="23"/>
        <v>184647.22117707078</v>
      </c>
      <c r="AN36">
        <f t="shared" si="23"/>
        <v>194095.92748750985</v>
      </c>
      <c r="AO36">
        <f t="shared" si="23"/>
        <v>203850.98421668384</v>
      </c>
      <c r="AP36">
        <f t="shared" si="23"/>
        <v>213909.18150870985</v>
      </c>
      <c r="AQ36">
        <f t="shared" si="23"/>
        <v>224266.47622788875</v>
      </c>
      <c r="AR36">
        <f t="shared" si="23"/>
        <v>234917.99742806063</v>
      </c>
      <c r="AS36">
        <f t="shared" si="23"/>
        <v>245858.05568381955</v>
      </c>
      <c r="AT36">
        <f t="shared" si="23"/>
        <v>257080.1561221451</v>
      </c>
      <c r="AU36">
        <f t="shared" si="23"/>
        <v>268577.01496875513</v>
      </c>
      <c r="AV36">
        <f t="shared" si="23"/>
        <v>280340.57940240635</v>
      </c>
      <c r="AW36">
        <f t="shared" si="23"/>
        <v>292362.050492496</v>
      </c>
      <c r="AX36">
        <f t="shared" si="23"/>
        <v>304631.90898065845</v>
      </c>
      <c r="AY36">
        <f t="shared" si="23"/>
        <v>317139.94365555886</v>
      </c>
      <c r="AZ36">
        <f t="shared" si="23"/>
        <v>329875.28206166747</v>
      </c>
      <c r="BA36">
        <f t="shared" si="23"/>
        <v>342826.42327734496</v>
      </c>
      <c r="BB36">
        <f t="shared" si="23"/>
        <v>355981.2724949175</v>
      </c>
    </row>
    <row r="37" spans="1:54" x14ac:dyDescent="0.25">
      <c r="AB37" s="110"/>
      <c r="AC37" s="110"/>
    </row>
    <row r="38" spans="1:54" x14ac:dyDescent="0.25">
      <c r="A38" t="s">
        <v>383</v>
      </c>
      <c r="C38">
        <v>672</v>
      </c>
      <c r="D38">
        <v>502</v>
      </c>
      <c r="E38">
        <v>560</v>
      </c>
      <c r="F38">
        <v>378</v>
      </c>
      <c r="G38">
        <v>367</v>
      </c>
      <c r="H38">
        <v>502</v>
      </c>
      <c r="I38">
        <v>349</v>
      </c>
      <c r="J38">
        <v>282</v>
      </c>
      <c r="K38">
        <v>46</v>
      </c>
      <c r="L38">
        <v>126</v>
      </c>
      <c r="M38">
        <v>45</v>
      </c>
      <c r="N38">
        <v>508</v>
      </c>
      <c r="O38">
        <v>243</v>
      </c>
      <c r="P38">
        <v>-538</v>
      </c>
      <c r="Q38">
        <v>-247</v>
      </c>
      <c r="R38">
        <v>160</v>
      </c>
      <c r="S38">
        <v>-10</v>
      </c>
      <c r="T38">
        <v>-237</v>
      </c>
      <c r="U38">
        <v>-393</v>
      </c>
      <c r="V38">
        <v>64</v>
      </c>
      <c r="W38">
        <v>-265</v>
      </c>
      <c r="Z38">
        <f>SUM(E38:H38)</f>
        <v>1807</v>
      </c>
      <c r="AA38">
        <f>SUM(I38:L38)</f>
        <v>803</v>
      </c>
      <c r="AB38">
        <f>SUM(M38:P38)</f>
        <v>258</v>
      </c>
      <c r="AC38">
        <f>SUM(Q38:T38)</f>
        <v>-334</v>
      </c>
    </row>
    <row r="39" spans="1:54" x14ac:dyDescent="0.25">
      <c r="AC39" s="110"/>
    </row>
    <row r="40" spans="1:54" x14ac:dyDescent="0.25">
      <c r="A40" t="s">
        <v>384</v>
      </c>
      <c r="C40">
        <f t="shared" ref="C40:W40" si="24">C26+C27-C30-C31-C33-C34+C38</f>
        <v>13284</v>
      </c>
      <c r="D40">
        <f t="shared" si="24"/>
        <v>16127</v>
      </c>
      <c r="E40">
        <f t="shared" si="24"/>
        <v>23906</v>
      </c>
      <c r="F40">
        <f t="shared" si="24"/>
        <v>13793</v>
      </c>
      <c r="G40">
        <f t="shared" si="24"/>
        <v>11911</v>
      </c>
      <c r="H40">
        <f t="shared" si="24"/>
        <v>16127</v>
      </c>
      <c r="I40">
        <f t="shared" si="24"/>
        <v>25918</v>
      </c>
      <c r="J40">
        <f t="shared" si="24"/>
        <v>13135</v>
      </c>
      <c r="K40">
        <f t="shared" si="24"/>
        <v>13137</v>
      </c>
      <c r="L40">
        <f t="shared" si="24"/>
        <v>14901</v>
      </c>
      <c r="M40">
        <f t="shared" si="24"/>
        <v>33579</v>
      </c>
      <c r="N40">
        <f t="shared" si="24"/>
        <v>28011</v>
      </c>
      <c r="O40">
        <f t="shared" si="24"/>
        <v>24369</v>
      </c>
      <c r="P40">
        <f t="shared" si="24"/>
        <v>23248</v>
      </c>
      <c r="Q40">
        <f t="shared" si="24"/>
        <v>41241</v>
      </c>
      <c r="R40">
        <f t="shared" si="24"/>
        <v>30139</v>
      </c>
      <c r="S40">
        <f t="shared" si="24"/>
        <v>23066</v>
      </c>
      <c r="T40">
        <f t="shared" si="24"/>
        <v>24657</v>
      </c>
      <c r="U40">
        <f t="shared" si="24"/>
        <v>35623</v>
      </c>
      <c r="V40">
        <f t="shared" si="24"/>
        <v>28382</v>
      </c>
      <c r="W40">
        <f t="shared" si="24"/>
        <v>22733</v>
      </c>
      <c r="Z40">
        <f>SUM(E40:H40)</f>
        <v>65737</v>
      </c>
      <c r="AA40">
        <f>SUM(I40:L40)</f>
        <v>67091</v>
      </c>
      <c r="AB40">
        <f>SUM(M40:P40)</f>
        <v>109207</v>
      </c>
      <c r="AC40">
        <f>SUM(Q40:T40)</f>
        <v>119103</v>
      </c>
    </row>
    <row r="41" spans="1:54" x14ac:dyDescent="0.25">
      <c r="A41" t="s">
        <v>385</v>
      </c>
      <c r="C41">
        <v>1765</v>
      </c>
      <c r="D41">
        <v>2441</v>
      </c>
      <c r="E41">
        <v>3941</v>
      </c>
      <c r="F41">
        <v>2232</v>
      </c>
      <c r="G41">
        <v>1867</v>
      </c>
      <c r="H41">
        <v>2441</v>
      </c>
      <c r="I41">
        <v>3682</v>
      </c>
      <c r="J41">
        <v>1886</v>
      </c>
      <c r="K41">
        <v>1884</v>
      </c>
      <c r="L41">
        <v>2228</v>
      </c>
      <c r="M41">
        <v>4824</v>
      </c>
      <c r="N41">
        <v>4381</v>
      </c>
      <c r="O41">
        <v>2625</v>
      </c>
      <c r="P41">
        <v>2697</v>
      </c>
      <c r="Q41">
        <v>6611</v>
      </c>
      <c r="R41">
        <v>5129</v>
      </c>
      <c r="S41">
        <v>3624</v>
      </c>
      <c r="T41">
        <v>3936</v>
      </c>
      <c r="U41">
        <v>5625</v>
      </c>
      <c r="V41">
        <v>4222</v>
      </c>
      <c r="W41">
        <v>2852</v>
      </c>
      <c r="Z41">
        <f>SUM(E41:H41)</f>
        <v>10481</v>
      </c>
      <c r="AA41">
        <f>SUM(I41:L41)</f>
        <v>9680</v>
      </c>
      <c r="AB41">
        <f>SUM(M41:P41)</f>
        <v>14527</v>
      </c>
      <c r="AC41">
        <f>SUM(Q41:T41)</f>
        <v>19300</v>
      </c>
    </row>
    <row r="42" spans="1:54" x14ac:dyDescent="0.25">
      <c r="A42" t="s">
        <v>386</v>
      </c>
      <c r="C42">
        <f t="shared" ref="C42:W42" si="25">C40-C41</f>
        <v>11519</v>
      </c>
      <c r="D42">
        <f t="shared" si="25"/>
        <v>13686</v>
      </c>
      <c r="E42">
        <f t="shared" si="25"/>
        <v>19965</v>
      </c>
      <c r="F42">
        <f t="shared" si="25"/>
        <v>11561</v>
      </c>
      <c r="G42">
        <f t="shared" si="25"/>
        <v>10044</v>
      </c>
      <c r="H42">
        <f t="shared" si="25"/>
        <v>13686</v>
      </c>
      <c r="I42">
        <f t="shared" si="25"/>
        <v>22236</v>
      </c>
      <c r="J42">
        <f t="shared" si="25"/>
        <v>11249</v>
      </c>
      <c r="K42">
        <f t="shared" si="25"/>
        <v>11253</v>
      </c>
      <c r="L42">
        <f t="shared" si="25"/>
        <v>12673</v>
      </c>
      <c r="M42">
        <f t="shared" si="25"/>
        <v>28755</v>
      </c>
      <c r="N42">
        <f t="shared" si="25"/>
        <v>23630</v>
      </c>
      <c r="O42">
        <f t="shared" si="25"/>
        <v>21744</v>
      </c>
      <c r="P42">
        <f t="shared" si="25"/>
        <v>20551</v>
      </c>
      <c r="Q42">
        <f t="shared" si="25"/>
        <v>34630</v>
      </c>
      <c r="R42">
        <f t="shared" si="25"/>
        <v>25010</v>
      </c>
      <c r="S42">
        <f t="shared" si="25"/>
        <v>19442</v>
      </c>
      <c r="T42">
        <f t="shared" si="25"/>
        <v>20721</v>
      </c>
      <c r="U42">
        <f t="shared" si="25"/>
        <v>29998</v>
      </c>
      <c r="V42">
        <f t="shared" si="25"/>
        <v>24160</v>
      </c>
      <c r="W42">
        <f t="shared" si="25"/>
        <v>19881</v>
      </c>
    </row>
    <row r="45" spans="1:54" x14ac:dyDescent="0.25">
      <c r="A45" t="s">
        <v>387</v>
      </c>
      <c r="E45">
        <v>3395</v>
      </c>
      <c r="F45">
        <v>6435</v>
      </c>
      <c r="G45">
        <v>9368</v>
      </c>
      <c r="H45">
        <v>12547</v>
      </c>
      <c r="I45">
        <v>2816</v>
      </c>
      <c r="J45">
        <v>5602</v>
      </c>
      <c r="K45">
        <v>8354</v>
      </c>
      <c r="L45">
        <v>11056</v>
      </c>
      <c r="M45">
        <v>2666</v>
      </c>
      <c r="N45">
        <v>5463</v>
      </c>
      <c r="O45">
        <v>8295</v>
      </c>
      <c r="P45">
        <v>11284</v>
      </c>
      <c r="Q45">
        <v>2697</v>
      </c>
      <c r="R45">
        <v>5434</v>
      </c>
      <c r="S45">
        <v>8239</v>
      </c>
      <c r="T45">
        <v>11104</v>
      </c>
      <c r="U45">
        <v>2916</v>
      </c>
      <c r="V45">
        <v>5814</v>
      </c>
      <c r="W45">
        <v>8866</v>
      </c>
    </row>
    <row r="46" spans="1:54" x14ac:dyDescent="0.25">
      <c r="A46" t="s">
        <v>388</v>
      </c>
      <c r="E46">
        <v>1559</v>
      </c>
      <c r="F46">
        <v>3073</v>
      </c>
      <c r="G46">
        <v>4569</v>
      </c>
      <c r="H46">
        <v>6068</v>
      </c>
      <c r="I46">
        <v>1710</v>
      </c>
      <c r="J46">
        <v>3407</v>
      </c>
      <c r="K46">
        <v>5105</v>
      </c>
      <c r="L46">
        <v>6829</v>
      </c>
      <c r="M46">
        <v>2020</v>
      </c>
      <c r="N46">
        <v>4001</v>
      </c>
      <c r="O46">
        <v>5961</v>
      </c>
      <c r="P46">
        <v>7906</v>
      </c>
      <c r="Q46">
        <v>2265</v>
      </c>
      <c r="R46">
        <v>4517</v>
      </c>
      <c r="S46">
        <v>6760</v>
      </c>
      <c r="T46">
        <v>9038</v>
      </c>
      <c r="U46">
        <v>2905</v>
      </c>
      <c r="V46">
        <v>5591</v>
      </c>
      <c r="W46">
        <v>8208</v>
      </c>
    </row>
    <row r="47" spans="1:54" x14ac:dyDescent="0.25">
      <c r="A47" t="s">
        <v>389</v>
      </c>
      <c r="E47">
        <v>1318</v>
      </c>
      <c r="F47">
        <v>1037</v>
      </c>
      <c r="G47">
        <v>2325</v>
      </c>
      <c r="H47">
        <v>2036</v>
      </c>
      <c r="I47">
        <v>1377</v>
      </c>
      <c r="J47">
        <v>1136</v>
      </c>
      <c r="K47">
        <v>2804</v>
      </c>
      <c r="L47">
        <v>2754</v>
      </c>
      <c r="M47">
        <v>2861</v>
      </c>
      <c r="N47">
        <v>3160</v>
      </c>
      <c r="O47">
        <v>5855</v>
      </c>
      <c r="P47">
        <v>6556</v>
      </c>
      <c r="Q47">
        <v>2888</v>
      </c>
      <c r="R47">
        <v>3218</v>
      </c>
      <c r="S47">
        <v>5915</v>
      </c>
      <c r="T47">
        <v>6223</v>
      </c>
      <c r="U47">
        <v>2316</v>
      </c>
      <c r="V47">
        <v>2734</v>
      </c>
      <c r="W47">
        <v>5119</v>
      </c>
    </row>
    <row r="48" spans="1:54" x14ac:dyDescent="0.25">
      <c r="A48" t="s">
        <v>117</v>
      </c>
      <c r="E48">
        <v>3355</v>
      </c>
      <c r="F48">
        <v>5718</v>
      </c>
      <c r="G48">
        <v>7718</v>
      </c>
      <c r="H48">
        <v>10495</v>
      </c>
      <c r="I48">
        <v>2107</v>
      </c>
      <c r="J48">
        <v>3960</v>
      </c>
      <c r="K48">
        <v>5525</v>
      </c>
      <c r="L48">
        <v>7309</v>
      </c>
      <c r="M48">
        <v>3500</v>
      </c>
      <c r="N48">
        <v>5769</v>
      </c>
      <c r="O48">
        <v>7862</v>
      </c>
      <c r="P48">
        <v>11085</v>
      </c>
      <c r="Q48">
        <v>2803</v>
      </c>
      <c r="R48">
        <v>5317</v>
      </c>
      <c r="S48">
        <v>7419</v>
      </c>
      <c r="T48">
        <v>10708</v>
      </c>
      <c r="U48">
        <v>3787</v>
      </c>
      <c r="V48">
        <v>6703</v>
      </c>
      <c r="W48">
        <v>8796</v>
      </c>
    </row>
    <row r="49" spans="1:29" x14ac:dyDescent="0.25">
      <c r="A49" t="s">
        <v>390</v>
      </c>
      <c r="E49">
        <v>3568</v>
      </c>
      <c r="F49">
        <v>7011</v>
      </c>
      <c r="G49">
        <v>10640</v>
      </c>
      <c r="H49">
        <v>14119</v>
      </c>
      <c r="I49">
        <v>3539</v>
      </c>
      <c r="J49">
        <v>6914</v>
      </c>
      <c r="K49">
        <v>10570</v>
      </c>
      <c r="L49">
        <v>14081</v>
      </c>
      <c r="M49">
        <v>3613</v>
      </c>
      <c r="N49">
        <v>7060</v>
      </c>
      <c r="O49">
        <v>10827</v>
      </c>
      <c r="P49">
        <v>14467</v>
      </c>
      <c r="Q49">
        <v>3732</v>
      </c>
      <c r="R49">
        <v>7327</v>
      </c>
      <c r="S49">
        <v>11138</v>
      </c>
      <c r="T49">
        <v>14841</v>
      </c>
      <c r="U49">
        <v>3768</v>
      </c>
      <c r="V49">
        <v>7418</v>
      </c>
      <c r="W49">
        <v>11267</v>
      </c>
    </row>
    <row r="50" spans="1:29" x14ac:dyDescent="0.25">
      <c r="A50" t="s">
        <v>391</v>
      </c>
      <c r="E50">
        <v>8796</v>
      </c>
      <c r="F50">
        <v>32498</v>
      </c>
      <c r="G50">
        <v>49463</v>
      </c>
      <c r="H50">
        <v>66897</v>
      </c>
      <c r="I50">
        <v>20706</v>
      </c>
      <c r="J50">
        <v>39280</v>
      </c>
      <c r="K50">
        <v>55171</v>
      </c>
      <c r="L50">
        <v>72358</v>
      </c>
      <c r="M50">
        <v>24775</v>
      </c>
      <c r="N50">
        <v>43323</v>
      </c>
      <c r="O50">
        <v>66223</v>
      </c>
      <c r="P50">
        <v>85971</v>
      </c>
      <c r="Q50">
        <v>20478</v>
      </c>
      <c r="R50">
        <v>43109</v>
      </c>
      <c r="S50">
        <v>64974</v>
      </c>
      <c r="T50">
        <v>89402</v>
      </c>
      <c r="U50">
        <v>19475</v>
      </c>
      <c r="V50">
        <v>39069</v>
      </c>
      <c r="W50">
        <v>56547</v>
      </c>
    </row>
    <row r="52" spans="1:29" x14ac:dyDescent="0.25">
      <c r="A52" t="s">
        <v>387</v>
      </c>
      <c r="E52">
        <f>E45</f>
        <v>3395</v>
      </c>
      <c r="F52">
        <f t="shared" ref="F52" si="26">F45-E45</f>
        <v>3040</v>
      </c>
      <c r="G52">
        <f t="shared" ref="G52" si="27">G45-F45</f>
        <v>2933</v>
      </c>
      <c r="H52">
        <f t="shared" ref="H52" si="28">H45-G45</f>
        <v>3179</v>
      </c>
      <c r="I52">
        <f>I45</f>
        <v>2816</v>
      </c>
      <c r="J52">
        <f t="shared" ref="J52:K52" si="29">J45-I45</f>
        <v>2786</v>
      </c>
      <c r="K52">
        <f t="shared" si="29"/>
        <v>2752</v>
      </c>
      <c r="L52">
        <f>L45-K45</f>
        <v>2702</v>
      </c>
      <c r="M52">
        <f>M45</f>
        <v>2666</v>
      </c>
      <c r="N52">
        <f>N45-M45</f>
        <v>2797</v>
      </c>
      <c r="O52">
        <f>O45-N45</f>
        <v>2832</v>
      </c>
      <c r="P52">
        <f>P45-O45</f>
        <v>2989</v>
      </c>
      <c r="Q52">
        <f>Q45</f>
        <v>2697</v>
      </c>
      <c r="R52">
        <f>R45-Q45</f>
        <v>2737</v>
      </c>
      <c r="S52">
        <f>S45-R45</f>
        <v>2805</v>
      </c>
      <c r="T52">
        <f>T45-S45</f>
        <v>2865</v>
      </c>
      <c r="U52">
        <f>U45</f>
        <v>2916</v>
      </c>
      <c r="V52">
        <f>V45-U45</f>
        <v>2898</v>
      </c>
      <c r="W52">
        <f>W45-V45</f>
        <v>3052</v>
      </c>
      <c r="X52">
        <v>3262</v>
      </c>
      <c r="Z52">
        <f>SUM(E52:H52)</f>
        <v>12547</v>
      </c>
      <c r="AA52">
        <f>SUM(I52:L52)</f>
        <v>11056</v>
      </c>
      <c r="AB52">
        <f>SUM(M52:P52)</f>
        <v>11284</v>
      </c>
      <c r="AC52">
        <f>SUM(Q52:T52)</f>
        <v>11104</v>
      </c>
    </row>
    <row r="53" spans="1:29" x14ac:dyDescent="0.25">
      <c r="A53" t="s">
        <v>388</v>
      </c>
      <c r="E53">
        <f t="shared" ref="E53:E57" si="30">E46</f>
        <v>1559</v>
      </c>
      <c r="F53">
        <f t="shared" ref="F53" si="31">F46-E46</f>
        <v>1514</v>
      </c>
      <c r="G53">
        <f t="shared" ref="G53" si="32">G46-F46</f>
        <v>1496</v>
      </c>
      <c r="H53">
        <f t="shared" ref="H53" si="33">H46-G46</f>
        <v>1499</v>
      </c>
      <c r="I53">
        <f t="shared" ref="I53:I57" si="34">I46</f>
        <v>1710</v>
      </c>
      <c r="J53">
        <f t="shared" ref="J53:L57" si="35">J46-I46</f>
        <v>1697</v>
      </c>
      <c r="K53">
        <f t="shared" si="35"/>
        <v>1698</v>
      </c>
      <c r="L53">
        <f t="shared" si="35"/>
        <v>1724</v>
      </c>
      <c r="M53">
        <f t="shared" ref="M53:M57" si="36">M46</f>
        <v>2020</v>
      </c>
      <c r="N53">
        <f t="shared" ref="N53:P53" si="37">N46-M46</f>
        <v>1981</v>
      </c>
      <c r="O53">
        <f t="shared" si="37"/>
        <v>1960</v>
      </c>
      <c r="P53">
        <f t="shared" si="37"/>
        <v>1945</v>
      </c>
      <c r="Q53">
        <f t="shared" ref="Q53:Q57" si="38">Q46</f>
        <v>2265</v>
      </c>
      <c r="R53">
        <f t="shared" ref="R53:T53" si="39">R46-Q46</f>
        <v>2252</v>
      </c>
      <c r="S53">
        <f t="shared" si="39"/>
        <v>2243</v>
      </c>
      <c r="T53">
        <f t="shared" si="39"/>
        <v>2278</v>
      </c>
      <c r="U53">
        <f t="shared" ref="U53:U57" si="40">U46</f>
        <v>2905</v>
      </c>
      <c r="V53">
        <f t="shared" ref="V53:W53" si="41">V46-U46</f>
        <v>2686</v>
      </c>
      <c r="W53">
        <f t="shared" si="41"/>
        <v>2617</v>
      </c>
      <c r="Z53">
        <f t="shared" ref="Z53:Z57" si="42">SUM(E53:H53)</f>
        <v>6068</v>
      </c>
      <c r="AA53">
        <f t="shared" ref="AA53:AA57" si="43">SUM(I53:L53)</f>
        <v>6829</v>
      </c>
      <c r="AB53">
        <f t="shared" ref="AB53:AB57" si="44">SUM(M53:P53)</f>
        <v>7906</v>
      </c>
      <c r="AC53">
        <f t="shared" ref="AC53:AC57" si="45">SUM(Q53:T53)</f>
        <v>9038</v>
      </c>
    </row>
    <row r="54" spans="1:29" x14ac:dyDescent="0.25">
      <c r="A54" t="s">
        <v>389</v>
      </c>
      <c r="E54">
        <f t="shared" si="30"/>
        <v>1318</v>
      </c>
      <c r="F54">
        <f t="shared" ref="F54" si="46">F47-E47</f>
        <v>-281</v>
      </c>
      <c r="G54">
        <f t="shared" ref="G54" si="47">G47-F47</f>
        <v>1288</v>
      </c>
      <c r="H54">
        <f t="shared" ref="H54" si="48">H47-G47</f>
        <v>-289</v>
      </c>
      <c r="I54">
        <f t="shared" si="34"/>
        <v>1377</v>
      </c>
      <c r="J54">
        <f t="shared" si="35"/>
        <v>-241</v>
      </c>
      <c r="K54">
        <f t="shared" si="35"/>
        <v>1668</v>
      </c>
      <c r="L54">
        <f t="shared" si="35"/>
        <v>-50</v>
      </c>
      <c r="M54">
        <f t="shared" si="36"/>
        <v>2861</v>
      </c>
      <c r="N54">
        <f t="shared" ref="N54:P54" si="49">N47-M47</f>
        <v>299</v>
      </c>
      <c r="O54">
        <f t="shared" si="49"/>
        <v>2695</v>
      </c>
      <c r="P54">
        <f t="shared" si="49"/>
        <v>701</v>
      </c>
      <c r="Q54">
        <f t="shared" si="38"/>
        <v>2888</v>
      </c>
      <c r="R54">
        <f t="shared" ref="R54:T54" si="50">R47-Q47</f>
        <v>330</v>
      </c>
      <c r="S54">
        <f t="shared" si="50"/>
        <v>2697</v>
      </c>
      <c r="T54">
        <f t="shared" si="50"/>
        <v>308</v>
      </c>
      <c r="U54">
        <f t="shared" si="40"/>
        <v>2316</v>
      </c>
      <c r="V54">
        <f t="shared" ref="V54:W54" si="51">V47-U47</f>
        <v>418</v>
      </c>
      <c r="W54">
        <f t="shared" si="51"/>
        <v>2385</v>
      </c>
      <c r="Z54">
        <f t="shared" si="42"/>
        <v>2036</v>
      </c>
      <c r="AA54">
        <f t="shared" si="43"/>
        <v>2754</v>
      </c>
      <c r="AB54">
        <f t="shared" si="44"/>
        <v>6556</v>
      </c>
      <c r="AC54">
        <f t="shared" si="45"/>
        <v>6223</v>
      </c>
    </row>
    <row r="55" spans="1:29" x14ac:dyDescent="0.25">
      <c r="A55" t="s">
        <v>117</v>
      </c>
      <c r="E55">
        <f t="shared" si="30"/>
        <v>3355</v>
      </c>
      <c r="F55">
        <f t="shared" ref="F55" si="52">F48-E48</f>
        <v>2363</v>
      </c>
      <c r="G55">
        <f t="shared" ref="G55" si="53">G48-F48</f>
        <v>2000</v>
      </c>
      <c r="H55">
        <f t="shared" ref="H55" si="54">H48-G48</f>
        <v>2777</v>
      </c>
      <c r="I55">
        <f t="shared" si="34"/>
        <v>2107</v>
      </c>
      <c r="J55">
        <f t="shared" si="35"/>
        <v>1853</v>
      </c>
      <c r="K55">
        <f t="shared" si="35"/>
        <v>1565</v>
      </c>
      <c r="L55">
        <f t="shared" si="35"/>
        <v>1784</v>
      </c>
      <c r="M55">
        <f t="shared" si="36"/>
        <v>3500</v>
      </c>
      <c r="N55">
        <f t="shared" ref="N55:P55" si="55">N48-M48</f>
        <v>2269</v>
      </c>
      <c r="O55">
        <f t="shared" si="55"/>
        <v>2093</v>
      </c>
      <c r="P55">
        <f t="shared" si="55"/>
        <v>3223</v>
      </c>
      <c r="Q55">
        <f t="shared" si="38"/>
        <v>2803</v>
      </c>
      <c r="R55">
        <f t="shared" ref="R55:T55" si="56">R48-Q48</f>
        <v>2514</v>
      </c>
      <c r="S55">
        <f t="shared" si="56"/>
        <v>2102</v>
      </c>
      <c r="T55">
        <f t="shared" si="56"/>
        <v>3289</v>
      </c>
      <c r="U55">
        <f t="shared" si="40"/>
        <v>3787</v>
      </c>
      <c r="V55">
        <f t="shared" ref="V55:W55" si="57">V48-U48</f>
        <v>2916</v>
      </c>
      <c r="W55">
        <f t="shared" si="57"/>
        <v>2093</v>
      </c>
      <c r="Z55">
        <f t="shared" si="42"/>
        <v>10495</v>
      </c>
      <c r="AA55">
        <f t="shared" si="43"/>
        <v>7309</v>
      </c>
      <c r="AB55">
        <f t="shared" si="44"/>
        <v>11085</v>
      </c>
      <c r="AC55">
        <f t="shared" si="45"/>
        <v>10708</v>
      </c>
    </row>
    <row r="56" spans="1:29" x14ac:dyDescent="0.25">
      <c r="A56" t="s">
        <v>390</v>
      </c>
      <c r="E56">
        <f t="shared" si="30"/>
        <v>3568</v>
      </c>
      <c r="F56">
        <f t="shared" ref="F56" si="58">F49-E49</f>
        <v>3443</v>
      </c>
      <c r="G56">
        <f t="shared" ref="G56" si="59">G49-F49</f>
        <v>3629</v>
      </c>
      <c r="H56">
        <f t="shared" ref="H56" si="60">H49-G49</f>
        <v>3479</v>
      </c>
      <c r="I56">
        <f t="shared" si="34"/>
        <v>3539</v>
      </c>
      <c r="J56">
        <f t="shared" si="35"/>
        <v>3375</v>
      </c>
      <c r="K56">
        <f t="shared" si="35"/>
        <v>3656</v>
      </c>
      <c r="L56">
        <f t="shared" si="35"/>
        <v>3511</v>
      </c>
      <c r="M56">
        <f t="shared" si="36"/>
        <v>3613</v>
      </c>
      <c r="N56">
        <f t="shared" ref="N56:P56" si="61">N49-M49</f>
        <v>3447</v>
      </c>
      <c r="O56">
        <f t="shared" si="61"/>
        <v>3767</v>
      </c>
      <c r="P56">
        <f t="shared" si="61"/>
        <v>3640</v>
      </c>
      <c r="Q56">
        <f t="shared" si="38"/>
        <v>3732</v>
      </c>
      <c r="R56">
        <f t="shared" ref="R56:T56" si="62">R49-Q49</f>
        <v>3595</v>
      </c>
      <c r="S56">
        <f t="shared" si="62"/>
        <v>3811</v>
      </c>
      <c r="T56">
        <f t="shared" si="62"/>
        <v>3703</v>
      </c>
      <c r="U56">
        <f t="shared" si="40"/>
        <v>3768</v>
      </c>
      <c r="V56">
        <f t="shared" ref="V56:W56" si="63">V49-U49</f>
        <v>3650</v>
      </c>
      <c r="W56">
        <f t="shared" si="63"/>
        <v>3849</v>
      </c>
      <c r="Z56">
        <f t="shared" si="42"/>
        <v>14119</v>
      </c>
      <c r="AA56">
        <f t="shared" si="43"/>
        <v>14081</v>
      </c>
      <c r="AB56">
        <f t="shared" si="44"/>
        <v>14467</v>
      </c>
      <c r="AC56">
        <f t="shared" si="45"/>
        <v>14841</v>
      </c>
    </row>
    <row r="57" spans="1:29" x14ac:dyDescent="0.25">
      <c r="A57" t="s">
        <v>391</v>
      </c>
      <c r="E57">
        <f t="shared" si="30"/>
        <v>8796</v>
      </c>
      <c r="F57">
        <f t="shared" ref="F57" si="64">F50-E50</f>
        <v>23702</v>
      </c>
      <c r="G57">
        <f t="shared" ref="G57" si="65">G50-F50</f>
        <v>16965</v>
      </c>
      <c r="H57">
        <f t="shared" ref="H57" si="66">H50-G50</f>
        <v>17434</v>
      </c>
      <c r="I57">
        <f t="shared" si="34"/>
        <v>20706</v>
      </c>
      <c r="J57">
        <f>J50-I50</f>
        <v>18574</v>
      </c>
      <c r="K57">
        <f t="shared" si="35"/>
        <v>15891</v>
      </c>
      <c r="L57">
        <f t="shared" si="35"/>
        <v>17187</v>
      </c>
      <c r="M57">
        <f t="shared" si="36"/>
        <v>24775</v>
      </c>
      <c r="N57">
        <f t="shared" ref="N57:P57" si="67">N50-M50</f>
        <v>18548</v>
      </c>
      <c r="O57">
        <f t="shared" si="67"/>
        <v>22900</v>
      </c>
      <c r="P57">
        <f t="shared" si="67"/>
        <v>19748</v>
      </c>
      <c r="Q57">
        <f t="shared" si="38"/>
        <v>20478</v>
      </c>
      <c r="R57">
        <f t="shared" ref="R57:T57" si="68">R50-Q50</f>
        <v>22631</v>
      </c>
      <c r="S57">
        <f t="shared" si="68"/>
        <v>21865</v>
      </c>
      <c r="T57">
        <f t="shared" si="68"/>
        <v>24428</v>
      </c>
      <c r="U57">
        <f t="shared" si="40"/>
        <v>19475</v>
      </c>
      <c r="V57">
        <f t="shared" ref="V57:W57" si="69">V50-U50</f>
        <v>19594</v>
      </c>
      <c r="W57">
        <f t="shared" si="69"/>
        <v>17478</v>
      </c>
      <c r="Z57">
        <f t="shared" si="42"/>
        <v>66897</v>
      </c>
      <c r="AA57">
        <f t="shared" si="43"/>
        <v>72358</v>
      </c>
      <c r="AB57">
        <f t="shared" si="44"/>
        <v>85971</v>
      </c>
      <c r="AC57">
        <f t="shared" si="45"/>
        <v>89402</v>
      </c>
    </row>
    <row r="63" spans="1:29" x14ac:dyDescent="0.25">
      <c r="J63">
        <v>-1</v>
      </c>
    </row>
  </sheetData>
  <phoneticPr fontId="6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Props1.xml><?xml version="1.0" encoding="utf-8"?>
<ds:datastoreItem xmlns:ds="http://schemas.openxmlformats.org/officeDocument/2006/customXml" ds:itemID="{97FB3ED4-AE09-4A5F-AFD9-51C7AB84015B}">
  <ds:schemaRefs>
    <ds:schemaRef ds:uri="http://schemas.microsoft.com/sharepoint/v3/contenttype/forms"/>
  </ds:schemaRefs>
</ds:datastoreItem>
</file>

<file path=customXml/itemProps2.xml><?xml version="1.0" encoding="utf-8"?>
<ds:datastoreItem xmlns:ds="http://schemas.openxmlformats.org/officeDocument/2006/customXml" ds:itemID="{A1E2497B-331A-4D0B-960A-8BD126C811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a73c8a-1af7-4183-b158-1cd1291da2b6"/>
    <ds:schemaRef ds:uri="8c89d0e4-a8d9-42ba-a773-c59a56f772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4F95F15-C902-4F29-BCC3-173A7BFB5290}">
  <ds:schemaRefs>
    <ds:schemaRef ds:uri="http://purl.org/dc/elements/1.1/"/>
    <ds:schemaRef ds:uri="8c89d0e4-a8d9-42ba-a773-c59a56f7723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 ds:uri="6ba73c8a-1af7-4183-b158-1cd1291da2b6"/>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Folhas de Cálculo</vt:lpstr>
      </vt:variant>
      <vt:variant>
        <vt:i4>11</vt:i4>
      </vt:variant>
      <vt:variant>
        <vt:lpstr>Intervalos com Nome</vt:lpstr>
      </vt:variant>
      <vt:variant>
        <vt:i4>2</vt:i4>
      </vt:variant>
    </vt:vector>
  </HeadingPairs>
  <TitlesOfParts>
    <vt:vector size="13" baseType="lpstr">
      <vt:lpstr>COVID-19 impact</vt:lpstr>
      <vt:lpstr>OP</vt:lpstr>
      <vt:lpstr>Peers</vt:lpstr>
      <vt:lpstr>Segments</vt:lpstr>
      <vt:lpstr>Acuerdo</vt:lpstr>
      <vt:lpstr>ESG</vt:lpstr>
      <vt:lpstr>DCF</vt:lpstr>
      <vt:lpstr>DCFF</vt:lpstr>
      <vt:lpstr>Cifras_en_Millones</vt:lpstr>
      <vt:lpstr>Cifras_Originales</vt:lpstr>
      <vt:lpstr>Q</vt:lpstr>
      <vt:lpstr>Cifras_en_Millones!Área_de_Impressão</vt:lpstr>
      <vt:lpstr>OP!Área_de_Impressão</vt:lpstr>
    </vt:vector>
  </TitlesOfParts>
  <Company>HIL CONSULTORES, 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 E. HERNANDEZ P.</dc:creator>
  <cp:lastModifiedBy>João Pedro Carocinho Morgado Baioa</cp:lastModifiedBy>
  <cp:lastPrinted>2019-08-19T22:45:59Z</cp:lastPrinted>
  <dcterms:created xsi:type="dcterms:W3CDTF">2000-04-19T14:51:26Z</dcterms:created>
  <dcterms:modified xsi:type="dcterms:W3CDTF">2025-04-11T18:01:10Z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