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omments3.xml" ContentType="application/vnd.openxmlformats-officedocument.spreadsheetml.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8"/>
  <workbookPr codeName="ThisWorkbook"/>
  <mc:AlternateContent xmlns:mc="http://schemas.openxmlformats.org/markup-compatibility/2006">
    <mc:Choice Requires="x15">
      <x15ac:absPath xmlns:x15ac="http://schemas.microsoft.com/office/spreadsheetml/2010/11/ac" url="https://phdisegutl.sharepoint.com/sites/LIS-GENERAL-SecuritiesResearch/Shared Documents/Securities Research/One Pagers/24-25/1st cycle/Team 5 (Daniyar Myrzashev)/"/>
    </mc:Choice>
  </mc:AlternateContent>
  <xr:revisionPtr revIDLastSave="4432" documentId="1_{45B1FE11-D3EA-4C88-8AF5-EAFDD34BE0EC}" xr6:coauthVersionLast="47" xr6:coauthVersionMax="47" xr10:uidLastSave="{AFD1AF40-0A80-4562-A0BB-8D1BF884EB57}"/>
  <bookViews>
    <workbookView xWindow="-165" yWindow="-165" windowWidth="29130" windowHeight="15810" tabRatio="625" firstSheet="4" activeTab="7" xr2:uid="{00000000-000D-0000-FFFF-FFFF00000000}"/>
  </bookViews>
  <sheets>
    <sheet name="OP" sheetId="1" r:id="rId1"/>
    <sheet name="Segments " sheetId="26" r:id="rId2"/>
    <sheet name="Acuerdo" sheetId="11" state="hidden" r:id="rId3"/>
    <sheet name="Peers" sheetId="25" r:id="rId4"/>
    <sheet name="ESG" sheetId="19" r:id="rId5"/>
    <sheet name="DCF" sheetId="4" r:id="rId6"/>
    <sheet name="Assumptions" sheetId="22" r:id="rId7"/>
    <sheet name="Fin. Data" sheetId="16" r:id="rId8"/>
    <sheet name="Sector Impact" sheetId="18" state="hidden" r:id="rId9"/>
    <sheet name="Inputs" sheetId="17" r:id="rId10"/>
  </sheets>
  <externalReferences>
    <externalReference r:id="rId11"/>
    <externalReference r:id="rId12"/>
  </externalReferences>
  <definedNames>
    <definedName name="_xlnm.Print_Area" localSheetId="0">OP!$A$1:$M$82</definedName>
    <definedName name="Sectors" localSheetId="6">'[1]Sector Impact'!$K$4:$K$16</definedName>
    <definedName name="Sectors">'Sector Impact'!$K$4:$K$16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2" i="26" l="1"/>
  <c r="H22" i="26"/>
  <c r="G22" i="26"/>
  <c r="G23" i="26"/>
  <c r="F23" i="26"/>
  <c r="E23" i="26"/>
  <c r="D22" i="26"/>
  <c r="E22" i="26"/>
  <c r="F22" i="26"/>
  <c r="D23" i="26"/>
  <c r="H23" i="26"/>
  <c r="I23" i="26"/>
  <c r="E21" i="26"/>
  <c r="F21" i="26"/>
  <c r="G21" i="26"/>
  <c r="H21" i="26"/>
  <c r="I21" i="26"/>
  <c r="D19" i="26"/>
  <c r="E19" i="26"/>
  <c r="F19" i="26"/>
  <c r="G19" i="26"/>
  <c r="H19" i="26"/>
  <c r="I19" i="26"/>
  <c r="K8" i="4" l="1"/>
  <c r="E18" i="26"/>
  <c r="F18" i="26"/>
  <c r="G18" i="26"/>
  <c r="H18" i="26"/>
  <c r="I18" i="26"/>
  <c r="D24" i="26"/>
  <c r="G18" i="25"/>
  <c r="E18" i="25"/>
  <c r="E67" i="4"/>
  <c r="D6" i="26"/>
  <c r="D20" i="26"/>
  <c r="D18" i="26"/>
  <c r="I10" i="26"/>
  <c r="H10" i="26"/>
  <c r="G10" i="26"/>
  <c r="F10" i="26"/>
  <c r="E10" i="26"/>
  <c r="D10" i="26"/>
  <c r="I9" i="26"/>
  <c r="H9" i="26"/>
  <c r="G9" i="26"/>
  <c r="F9" i="26"/>
  <c r="E9" i="26"/>
  <c r="D9" i="26"/>
  <c r="I8" i="26"/>
  <c r="H8" i="26"/>
  <c r="G8" i="26"/>
  <c r="F8" i="26"/>
  <c r="E8" i="26"/>
  <c r="D8" i="26"/>
  <c r="I7" i="26"/>
  <c r="H7" i="26"/>
  <c r="G7" i="26"/>
  <c r="F7" i="26"/>
  <c r="E7" i="26"/>
  <c r="D7" i="26"/>
  <c r="I6" i="26"/>
  <c r="H6" i="26"/>
  <c r="G6" i="26"/>
  <c r="F6" i="26"/>
  <c r="E6" i="26"/>
  <c r="I5" i="26"/>
  <c r="H5" i="26"/>
  <c r="G5" i="26"/>
  <c r="F5" i="26"/>
  <c r="E5" i="26"/>
  <c r="D24" i="22" l="1"/>
  <c r="E24" i="22"/>
  <c r="F24" i="22"/>
  <c r="G24" i="22"/>
  <c r="C24" i="22"/>
  <c r="AF5" i="4" l="1"/>
  <c r="D67" i="4" l="1"/>
  <c r="R5" i="4" l="1"/>
  <c r="S5" i="4"/>
  <c r="T5" i="4"/>
  <c r="U5" i="4"/>
  <c r="V5" i="4"/>
  <c r="W5" i="4"/>
  <c r="X5" i="4"/>
  <c r="Y5" i="4"/>
  <c r="Z5" i="4"/>
  <c r="AA5" i="4"/>
  <c r="AB5" i="4"/>
  <c r="AC5" i="4"/>
  <c r="AD5" i="4"/>
  <c r="AE5" i="4"/>
  <c r="Q5" i="4"/>
  <c r="P5" i="4"/>
  <c r="O5" i="4"/>
  <c r="N5" i="4"/>
  <c r="M5" i="4"/>
  <c r="L5" i="4"/>
  <c r="K5" i="4"/>
  <c r="J5" i="4"/>
  <c r="I5" i="4"/>
  <c r="H5" i="4"/>
  <c r="AF7" i="4"/>
  <c r="O7" i="4"/>
  <c r="P7" i="4"/>
  <c r="Q7" i="4"/>
  <c r="R7" i="4"/>
  <c r="S7" i="4"/>
  <c r="T7" i="4"/>
  <c r="U7" i="4"/>
  <c r="V7" i="4"/>
  <c r="W7" i="4"/>
  <c r="X7" i="4"/>
  <c r="Y7" i="4"/>
  <c r="Z7" i="4"/>
  <c r="AA7" i="4"/>
  <c r="AB7" i="4"/>
  <c r="AC7" i="4"/>
  <c r="AD7" i="4"/>
  <c r="AE7" i="4"/>
  <c r="M7" i="4"/>
  <c r="N7" i="4"/>
  <c r="L7" i="4"/>
  <c r="K7" i="4"/>
  <c r="J7" i="4"/>
  <c r="I7" i="4"/>
  <c r="H7" i="4"/>
  <c r="G7" i="4"/>
  <c r="C59" i="25"/>
  <c r="C57" i="25"/>
  <c r="B14" i="17"/>
  <c r="D24" i="4"/>
  <c r="G29" i="22" l="1"/>
  <c r="F29" i="22"/>
  <c r="E29" i="22"/>
  <c r="D29" i="22"/>
  <c r="C29" i="22"/>
  <c r="G28" i="22"/>
  <c r="F28" i="22"/>
  <c r="E28" i="22"/>
  <c r="D28" i="22"/>
  <c r="C28" i="22"/>
  <c r="G31" i="4" l="1"/>
  <c r="H31" i="4" s="1"/>
  <c r="I31" i="4" s="1"/>
  <c r="J31" i="4" l="1"/>
  <c r="K31" i="4" s="1"/>
  <c r="H44" i="25"/>
  <c r="G44" i="25"/>
  <c r="F44" i="25"/>
  <c r="E44" i="25"/>
  <c r="D44" i="25"/>
  <c r="S26" i="17" a="1"/>
  <c r="S26" i="17" s="1"/>
  <c r="C44" i="25"/>
  <c r="E30" i="22"/>
  <c r="F30" i="22"/>
  <c r="G30" i="22"/>
  <c r="C30" i="22"/>
  <c r="D30" i="22"/>
  <c r="G18" i="22"/>
  <c r="F18" i="22"/>
  <c r="E18" i="22"/>
  <c r="G17" i="22"/>
  <c r="F17" i="22"/>
  <c r="I16" i="22"/>
  <c r="I24" i="22"/>
  <c r="I25" i="22"/>
  <c r="D18" i="22"/>
  <c r="C18" i="22"/>
  <c r="E17" i="22"/>
  <c r="D17" i="22"/>
  <c r="C17" i="22"/>
  <c r="E20" i="4"/>
  <c r="F20" i="4"/>
  <c r="D20" i="4"/>
  <c r="I30" i="22" l="1"/>
  <c r="L31" i="4"/>
  <c r="I18" i="22"/>
  <c r="M31" i="4" l="1"/>
  <c r="N31" i="4" s="1"/>
  <c r="F18" i="25"/>
  <c r="H63" i="25"/>
  <c r="G63" i="25"/>
  <c r="H60" i="25"/>
  <c r="G60" i="25"/>
  <c r="F60" i="25"/>
  <c r="E60" i="25"/>
  <c r="D60" i="25"/>
  <c r="D57" i="25"/>
  <c r="Q4" i="19"/>
  <c r="P4" i="19"/>
  <c r="O4" i="19"/>
  <c r="N4" i="19"/>
  <c r="M4" i="19"/>
  <c r="D14" i="25"/>
  <c r="F30" i="1"/>
  <c r="F28" i="1"/>
  <c r="F29" i="1"/>
  <c r="F31" i="1"/>
  <c r="F27" i="1"/>
  <c r="F23" i="1"/>
  <c r="F24" i="1"/>
  <c r="F25" i="1"/>
  <c r="F22" i="1"/>
  <c r="F21" i="1"/>
  <c r="D43" i="26"/>
  <c r="O23" i="26"/>
  <c r="N23" i="26"/>
  <c r="M23" i="26"/>
  <c r="L23" i="26"/>
  <c r="K23" i="26"/>
  <c r="O22" i="26"/>
  <c r="N22" i="26"/>
  <c r="M22" i="26"/>
  <c r="L22" i="26"/>
  <c r="K22" i="26"/>
  <c r="O21" i="26"/>
  <c r="N21" i="26"/>
  <c r="M21" i="26"/>
  <c r="O19" i="26"/>
  <c r="N19" i="26"/>
  <c r="M19" i="26"/>
  <c r="L19" i="26"/>
  <c r="K19" i="26"/>
  <c r="I24" i="26"/>
  <c r="K17" i="26"/>
  <c r="L17" i="26" s="1"/>
  <c r="M17" i="26" s="1"/>
  <c r="N17" i="26" s="1"/>
  <c r="O17" i="26" s="1"/>
  <c r="P17" i="26" s="1"/>
  <c r="D17" i="26"/>
  <c r="E17" i="26" s="1"/>
  <c r="F17" i="26" s="1"/>
  <c r="G17" i="26" s="1"/>
  <c r="H17" i="26" s="1"/>
  <c r="I17" i="26" s="1"/>
  <c r="B15" i="26"/>
  <c r="O10" i="26"/>
  <c r="N10" i="26"/>
  <c r="M10" i="26"/>
  <c r="L10" i="26"/>
  <c r="K10" i="26"/>
  <c r="O9" i="26"/>
  <c r="N9" i="26"/>
  <c r="M9" i="26"/>
  <c r="L9" i="26"/>
  <c r="K9" i="26"/>
  <c r="O8" i="26"/>
  <c r="N8" i="26"/>
  <c r="M8" i="26"/>
  <c r="L8" i="26"/>
  <c r="K8" i="26"/>
  <c r="O7" i="26"/>
  <c r="N7" i="26"/>
  <c r="M7" i="26"/>
  <c r="L7" i="26"/>
  <c r="K7" i="26"/>
  <c r="O6" i="26"/>
  <c r="N6" i="26"/>
  <c r="M6" i="26"/>
  <c r="L6" i="26"/>
  <c r="I13" i="26"/>
  <c r="K4" i="26"/>
  <c r="L4" i="26" s="1"/>
  <c r="M4" i="26" s="1"/>
  <c r="N4" i="26" s="1"/>
  <c r="O4" i="26" s="1"/>
  <c r="P4" i="26" s="1"/>
  <c r="D4" i="26"/>
  <c r="E4" i="26" s="1"/>
  <c r="F4" i="26" s="1"/>
  <c r="G4" i="26" s="1"/>
  <c r="H4" i="26" s="1"/>
  <c r="I4" i="26" s="1"/>
  <c r="B2" i="26"/>
  <c r="M80" i="1"/>
  <c r="H49" i="25"/>
  <c r="G49" i="25"/>
  <c r="F49" i="25"/>
  <c r="E49" i="25"/>
  <c r="D49" i="25"/>
  <c r="C49" i="25"/>
  <c r="H61" i="25"/>
  <c r="G61" i="25"/>
  <c r="H54" i="25"/>
  <c r="H55" i="25"/>
  <c r="G55" i="25"/>
  <c r="H56" i="25"/>
  <c r="G56" i="25"/>
  <c r="G54" i="25"/>
  <c r="F56" i="25"/>
  <c r="F55" i="25"/>
  <c r="F54" i="25"/>
  <c r="E54" i="25"/>
  <c r="E56" i="25"/>
  <c r="E55" i="25"/>
  <c r="D54" i="25"/>
  <c r="D55" i="25"/>
  <c r="D56" i="25"/>
  <c r="H67" i="25"/>
  <c r="E57" i="25"/>
  <c r="F57" i="25"/>
  <c r="F59" i="25"/>
  <c r="F62" i="25"/>
  <c r="F61" i="25"/>
  <c r="F74" i="25"/>
  <c r="F72" i="25"/>
  <c r="F71" i="25"/>
  <c r="F70" i="25"/>
  <c r="F69" i="25"/>
  <c r="F68" i="25"/>
  <c r="F67" i="25"/>
  <c r="F66" i="25"/>
  <c r="F65" i="25"/>
  <c r="E61" i="25"/>
  <c r="D59" i="25"/>
  <c r="E69" i="25"/>
  <c r="E66" i="25"/>
  <c r="H66" i="25"/>
  <c r="H65" i="25"/>
  <c r="H70" i="25"/>
  <c r="H71" i="25"/>
  <c r="E59" i="25"/>
  <c r="E62" i="25"/>
  <c r="E74" i="25"/>
  <c r="E65" i="25"/>
  <c r="H68" i="25"/>
  <c r="G59" i="25"/>
  <c r="G62" i="25"/>
  <c r="G74" i="25"/>
  <c r="G72" i="25"/>
  <c r="G71" i="25"/>
  <c r="G70" i="25"/>
  <c r="G69" i="25"/>
  <c r="G68" i="25"/>
  <c r="G67" i="25"/>
  <c r="G66" i="25"/>
  <c r="G65" i="25"/>
  <c r="D74" i="25"/>
  <c r="H59" i="25"/>
  <c r="H74" i="25"/>
  <c r="H73" i="25"/>
  <c r="H72" i="25"/>
  <c r="H62" i="25"/>
  <c r="H58" i="25"/>
  <c r="E58" i="25"/>
  <c r="D73" i="25"/>
  <c r="D72" i="25"/>
  <c r="D71" i="25"/>
  <c r="D70" i="25"/>
  <c r="D69" i="25"/>
  <c r="D68" i="25"/>
  <c r="D67" i="25"/>
  <c r="D66" i="25"/>
  <c r="D65" i="25"/>
  <c r="D62" i="25"/>
  <c r="D61" i="25"/>
  <c r="D58" i="25"/>
  <c r="E73" i="25"/>
  <c r="E72" i="25"/>
  <c r="E71" i="25"/>
  <c r="E70" i="25"/>
  <c r="E68" i="25"/>
  <c r="E67" i="25"/>
  <c r="C72" i="25"/>
  <c r="C24" i="25" s="1"/>
  <c r="C71" i="25"/>
  <c r="C68" i="25"/>
  <c r="I48" i="25"/>
  <c r="I46" i="25"/>
  <c r="J46" i="25" s="1"/>
  <c r="I44" i="25"/>
  <c r="J44" i="25" s="1"/>
  <c r="I43" i="25"/>
  <c r="J43" i="25" s="1"/>
  <c r="I38" i="25"/>
  <c r="I32" i="25"/>
  <c r="H31" i="25"/>
  <c r="G31" i="25"/>
  <c r="F31" i="25"/>
  <c r="E31" i="25"/>
  <c r="D31" i="25"/>
  <c r="H30" i="25"/>
  <c r="G30" i="25"/>
  <c r="F30" i="25"/>
  <c r="E30" i="25"/>
  <c r="D30" i="25"/>
  <c r="H29" i="25"/>
  <c r="G29" i="25"/>
  <c r="F29" i="25"/>
  <c r="E29" i="25"/>
  <c r="D29" i="25"/>
  <c r="C29" i="25"/>
  <c r="H28" i="25"/>
  <c r="G28" i="25"/>
  <c r="F28" i="25"/>
  <c r="E28" i="25"/>
  <c r="D28" i="25"/>
  <c r="H27" i="25"/>
  <c r="G27" i="25"/>
  <c r="F27" i="25"/>
  <c r="E27" i="25"/>
  <c r="D27" i="25"/>
  <c r="I26" i="25"/>
  <c r="H25" i="25"/>
  <c r="G25" i="25"/>
  <c r="F25" i="25"/>
  <c r="E25" i="25"/>
  <c r="D25" i="25"/>
  <c r="H24" i="25"/>
  <c r="G24" i="25"/>
  <c r="F24" i="25"/>
  <c r="E24" i="25"/>
  <c r="D24" i="25"/>
  <c r="H21" i="25"/>
  <c r="G21" i="25"/>
  <c r="F21" i="25"/>
  <c r="D21" i="25"/>
  <c r="H20" i="25"/>
  <c r="G20" i="25"/>
  <c r="F20" i="25"/>
  <c r="E20" i="25"/>
  <c r="D20" i="25"/>
  <c r="I19" i="25"/>
  <c r="H18" i="25"/>
  <c r="D18" i="25"/>
  <c r="H17" i="25"/>
  <c r="G17" i="25"/>
  <c r="F17" i="25"/>
  <c r="E17" i="25"/>
  <c r="D17" i="25"/>
  <c r="H16" i="25"/>
  <c r="G16" i="25"/>
  <c r="F16" i="25"/>
  <c r="E16" i="25"/>
  <c r="D16" i="25"/>
  <c r="H15" i="25"/>
  <c r="G15" i="25"/>
  <c r="F15" i="25"/>
  <c r="E15" i="25"/>
  <c r="D15" i="25"/>
  <c r="H14" i="25"/>
  <c r="G14" i="25"/>
  <c r="F14" i="25"/>
  <c r="E14" i="25"/>
  <c r="H13" i="25"/>
  <c r="G13" i="25"/>
  <c r="F13" i="25"/>
  <c r="E13" i="25"/>
  <c r="D13" i="25"/>
  <c r="I12" i="25"/>
  <c r="H11" i="25"/>
  <c r="H50" i="25" s="1"/>
  <c r="G11" i="25"/>
  <c r="G50" i="25" s="1"/>
  <c r="F11" i="25"/>
  <c r="E11" i="25"/>
  <c r="D11" i="25"/>
  <c r="I9" i="25"/>
  <c r="H8" i="25"/>
  <c r="M107" i="1" s="1"/>
  <c r="G8" i="25"/>
  <c r="L107" i="1" s="1"/>
  <c r="F8" i="25"/>
  <c r="K107" i="1" s="1"/>
  <c r="E8" i="25"/>
  <c r="D8" i="25"/>
  <c r="I107" i="1" s="1"/>
  <c r="B23" i="17"/>
  <c r="B13" i="17"/>
  <c r="I19" i="1"/>
  <c r="E10" i="25" l="1" a="1"/>
  <c r="E10" i="25" s="1"/>
  <c r="J107" i="1"/>
  <c r="O31" i="4"/>
  <c r="D10" i="25" a="1"/>
  <c r="D10" i="25" s="1"/>
  <c r="D33" i="25" s="1"/>
  <c r="D45" i="25" a="1"/>
  <c r="D45" i="25" s="1"/>
  <c r="D47" i="25" s="1"/>
  <c r="E13" i="26"/>
  <c r="L5" i="26"/>
  <c r="K5" i="26"/>
  <c r="F13" i="26"/>
  <c r="M5" i="26"/>
  <c r="G13" i="26"/>
  <c r="N5" i="26"/>
  <c r="H13" i="26"/>
  <c r="O13" i="26" s="1"/>
  <c r="O5" i="26"/>
  <c r="D13" i="26"/>
  <c r="K6" i="26"/>
  <c r="K18" i="26"/>
  <c r="E24" i="26"/>
  <c r="L18" i="26"/>
  <c r="F24" i="26"/>
  <c r="M18" i="26"/>
  <c r="G24" i="26"/>
  <c r="N18" i="26"/>
  <c r="H24" i="26"/>
  <c r="O18" i="26"/>
  <c r="L21" i="26"/>
  <c r="K21" i="26"/>
  <c r="D52" i="25"/>
  <c r="E52" i="25"/>
  <c r="E45" i="25" a="1"/>
  <c r="E45" i="25" s="1"/>
  <c r="E47" i="25" s="1"/>
  <c r="F52" i="25"/>
  <c r="F45" i="25" a="1"/>
  <c r="F45" i="25" s="1"/>
  <c r="F10" i="25" a="1"/>
  <c r="F10" i="25" s="1"/>
  <c r="F36" i="25" s="1"/>
  <c r="G52" i="25"/>
  <c r="G45" i="25" a="1"/>
  <c r="G45" i="25" s="1"/>
  <c r="G10" i="25" a="1"/>
  <c r="G10" i="25" s="1"/>
  <c r="H52" i="25"/>
  <c r="H45" i="25" a="1"/>
  <c r="H45" i="25" s="1"/>
  <c r="H47" i="25" s="1"/>
  <c r="H10" i="25" a="1"/>
  <c r="H10" i="25" s="1"/>
  <c r="I22" i="25"/>
  <c r="J22" i="25" s="1"/>
  <c r="I24" i="25"/>
  <c r="J24" i="25" s="1"/>
  <c r="I29" i="25"/>
  <c r="J29" i="25" s="1"/>
  <c r="I49" i="25"/>
  <c r="J49" i="25" s="1"/>
  <c r="M21" i="1"/>
  <c r="M20" i="1"/>
  <c r="C39" i="25" s="1"/>
  <c r="I39" i="25" s="1"/>
  <c r="J39" i="25" s="1"/>
  <c r="M23" i="1"/>
  <c r="O24" i="26" l="1"/>
  <c r="P31" i="4"/>
  <c r="Q31" i="4" s="1"/>
  <c r="N24" i="26"/>
  <c r="M24" i="26"/>
  <c r="L24" i="26"/>
  <c r="K24" i="26"/>
  <c r="B23" i="26"/>
  <c r="H30" i="1" s="1"/>
  <c r="B22" i="26"/>
  <c r="H31" i="1" s="1"/>
  <c r="B21" i="26"/>
  <c r="B20" i="26"/>
  <c r="H29" i="1" s="1"/>
  <c r="B19" i="26"/>
  <c r="H28" i="1" s="1"/>
  <c r="B18" i="26"/>
  <c r="K13" i="26"/>
  <c r="B12" i="26"/>
  <c r="B11" i="26"/>
  <c r="B10" i="26"/>
  <c r="B9" i="26"/>
  <c r="H25" i="1" s="1"/>
  <c r="B8" i="26"/>
  <c r="H24" i="1" s="1"/>
  <c r="B7" i="26"/>
  <c r="H23" i="1" s="1"/>
  <c r="B6" i="26"/>
  <c r="H22" i="1" s="1"/>
  <c r="B5" i="26"/>
  <c r="N13" i="26"/>
  <c r="M13" i="26"/>
  <c r="L13" i="26"/>
  <c r="H37" i="25"/>
  <c r="H36" i="25"/>
  <c r="H35" i="25"/>
  <c r="H34" i="25"/>
  <c r="H33" i="25"/>
  <c r="G37" i="25"/>
  <c r="G36" i="25"/>
  <c r="G35" i="25"/>
  <c r="G34" i="25"/>
  <c r="G33" i="25"/>
  <c r="F37" i="25"/>
  <c r="F35" i="25"/>
  <c r="F34" i="25"/>
  <c r="F33" i="25"/>
  <c r="E37" i="25"/>
  <c r="E36" i="25"/>
  <c r="E35" i="25"/>
  <c r="E34" i="25"/>
  <c r="E33" i="25"/>
  <c r="D37" i="25"/>
  <c r="D36" i="25"/>
  <c r="D35" i="25"/>
  <c r="D34" i="25"/>
  <c r="B24" i="26" l="1"/>
  <c r="H27" i="1"/>
  <c r="B13" i="26"/>
  <c r="H21" i="1"/>
  <c r="R31" i="4"/>
  <c r="D23" i="22"/>
  <c r="E23" i="22"/>
  <c r="F23" i="22"/>
  <c r="C23" i="22"/>
  <c r="I23" i="22" s="1"/>
  <c r="D26" i="22"/>
  <c r="E26" i="22"/>
  <c r="F26" i="22"/>
  <c r="G26" i="22"/>
  <c r="C26" i="22"/>
  <c r="D27" i="22"/>
  <c r="E27" i="22"/>
  <c r="F27" i="22"/>
  <c r="G27" i="22"/>
  <c r="C27" i="22"/>
  <c r="F54" i="4"/>
  <c r="F55" i="4"/>
  <c r="F56" i="4"/>
  <c r="F57" i="4"/>
  <c r="F58" i="4"/>
  <c r="F59" i="4"/>
  <c r="F60" i="4"/>
  <c r="F61" i="4"/>
  <c r="F62" i="4"/>
  <c r="F63" i="4"/>
  <c r="F64" i="4"/>
  <c r="F65" i="4"/>
  <c r="F66" i="4"/>
  <c r="F53" i="4"/>
  <c r="D54" i="4"/>
  <c r="G10" i="4" s="1"/>
  <c r="E54" i="4"/>
  <c r="D55" i="4"/>
  <c r="E55" i="4"/>
  <c r="E56" i="4"/>
  <c r="E57" i="4"/>
  <c r="E58" i="4"/>
  <c r="E59" i="4"/>
  <c r="D60" i="4"/>
  <c r="E60" i="4"/>
  <c r="D61" i="4"/>
  <c r="E61" i="4"/>
  <c r="E62" i="4"/>
  <c r="E63" i="4"/>
  <c r="E64" i="4"/>
  <c r="E65" i="4"/>
  <c r="D66" i="4"/>
  <c r="E66" i="4"/>
  <c r="E53" i="4"/>
  <c r="B87" i="17"/>
  <c r="S31" i="4" l="1"/>
  <c r="T31" i="4"/>
  <c r="I27" i="22"/>
  <c r="I26" i="22"/>
  <c r="D62" i="4" s="1"/>
  <c r="I28" i="22"/>
  <c r="D64" i="4" s="1"/>
  <c r="I29" i="22"/>
  <c r="D65" i="4" s="1"/>
  <c r="D59" i="4"/>
  <c r="D63" i="4" l="1"/>
  <c r="U31" i="4"/>
  <c r="D6" i="4"/>
  <c r="E19" i="22" s="1"/>
  <c r="E6" i="4"/>
  <c r="D19" i="22" s="1"/>
  <c r="F6" i="4"/>
  <c r="C16" i="22"/>
  <c r="C60" i="17"/>
  <c r="D60" i="17"/>
  <c r="E60" i="17"/>
  <c r="F60" i="17"/>
  <c r="G60" i="17"/>
  <c r="H60" i="17"/>
  <c r="I60" i="17"/>
  <c r="J60" i="17"/>
  <c r="K60" i="17"/>
  <c r="L60" i="17"/>
  <c r="M60" i="17"/>
  <c r="B60" i="17"/>
  <c r="F67" i="17"/>
  <c r="G67" i="17"/>
  <c r="E47" i="17"/>
  <c r="F47" i="17"/>
  <c r="G47" i="17"/>
  <c r="H47" i="17"/>
  <c r="I47" i="17"/>
  <c r="J47" i="17"/>
  <c r="K47" i="17"/>
  <c r="L47" i="17"/>
  <c r="M47" i="17"/>
  <c r="D47" i="17"/>
  <c r="E32" i="17"/>
  <c r="F32" i="17"/>
  <c r="G32" i="17"/>
  <c r="H32" i="17"/>
  <c r="I32" i="17"/>
  <c r="J32" i="17"/>
  <c r="K32" i="17"/>
  <c r="L32" i="17"/>
  <c r="M32" i="17"/>
  <c r="D32" i="17"/>
  <c r="C19" i="22" l="1"/>
  <c r="I19" i="22" s="1"/>
  <c r="G6" i="4"/>
  <c r="V31" i="4"/>
  <c r="W31" i="4" s="1"/>
  <c r="B77" i="17"/>
  <c r="B75" i="17"/>
  <c r="B67" i="17"/>
  <c r="B63" i="17"/>
  <c r="B56" i="17"/>
  <c r="B47" i="17"/>
  <c r="B50" i="17" s="1"/>
  <c r="B46" i="17"/>
  <c r="B32" i="17"/>
  <c r="B36" i="17" s="1"/>
  <c r="B31" i="17"/>
  <c r="G24" i="4" l="1"/>
  <c r="G8" i="4"/>
  <c r="H6" i="4"/>
  <c r="H8" i="4" s="1"/>
  <c r="G21" i="4"/>
  <c r="G27" i="4"/>
  <c r="G11" i="4"/>
  <c r="G20" i="4" s="1"/>
  <c r="G23" i="4"/>
  <c r="G40" i="4" s="1"/>
  <c r="X31" i="4"/>
  <c r="B37" i="17"/>
  <c r="I6" i="4" l="1"/>
  <c r="I8" i="4" s="1"/>
  <c r="H11" i="4"/>
  <c r="H20" i="4" s="1"/>
  <c r="H27" i="4"/>
  <c r="Y31" i="4"/>
  <c r="Z31" i="4" s="1"/>
  <c r="E10" i="22"/>
  <c r="F10" i="22"/>
  <c r="G10" i="22"/>
  <c r="G9" i="22"/>
  <c r="F9" i="22"/>
  <c r="E9" i="22"/>
  <c r="D10" i="22"/>
  <c r="D9" i="22"/>
  <c r="C10" i="22"/>
  <c r="C9" i="22"/>
  <c r="J6" i="4" l="1"/>
  <c r="J8" i="4" s="1"/>
  <c r="I11" i="4"/>
  <c r="I27" i="4"/>
  <c r="AA31" i="4"/>
  <c r="I10" i="22"/>
  <c r="I9" i="22"/>
  <c r="D8" i="22"/>
  <c r="K6" i="4" l="1"/>
  <c r="J27" i="4"/>
  <c r="J11" i="4"/>
  <c r="AB31" i="4"/>
  <c r="E8" i="22"/>
  <c r="D16" i="22"/>
  <c r="F50" i="4"/>
  <c r="L6" i="4" l="1"/>
  <c r="L8" i="4" s="1"/>
  <c r="K11" i="4"/>
  <c r="K20" i="4" s="1"/>
  <c r="K24" i="4"/>
  <c r="K21" i="4"/>
  <c r="K23" i="4"/>
  <c r="K27" i="4"/>
  <c r="AC31" i="4"/>
  <c r="AD31" i="4" s="1"/>
  <c r="J40" i="1"/>
  <c r="G45" i="4"/>
  <c r="F8" i="22"/>
  <c r="E16" i="22"/>
  <c r="E2" i="1"/>
  <c r="C77" i="17"/>
  <c r="F53" i="1" s="1"/>
  <c r="D77" i="17"/>
  <c r="F52" i="1" s="1"/>
  <c r="E77" i="17"/>
  <c r="F51" i="1" s="1"/>
  <c r="F77" i="17"/>
  <c r="F50" i="1" s="1"/>
  <c r="G77" i="17"/>
  <c r="F49" i="1" s="1"/>
  <c r="H77" i="17"/>
  <c r="F48" i="1" s="1"/>
  <c r="I77" i="17"/>
  <c r="F47" i="1" s="1"/>
  <c r="J77" i="17"/>
  <c r="F46" i="1" s="1"/>
  <c r="K77" i="17"/>
  <c r="L77" i="17"/>
  <c r="M77" i="17"/>
  <c r="F54" i="1"/>
  <c r="F55" i="1" s="1"/>
  <c r="L27" i="4" l="1"/>
  <c r="L24" i="4"/>
  <c r="L11" i="4"/>
  <c r="L20" i="4" s="1"/>
  <c r="L21" i="4"/>
  <c r="L23" i="4"/>
  <c r="AE31" i="4"/>
  <c r="AF31" i="4" s="1"/>
  <c r="C52" i="25"/>
  <c r="L4" i="19"/>
  <c r="C8" i="25"/>
  <c r="C10" i="25" s="1" a="1"/>
  <c r="C10" i="25" s="1"/>
  <c r="G107" i="1"/>
  <c r="B15" i="1" a="1"/>
  <c r="B15" i="1" s="1"/>
  <c r="L2" i="1" a="1"/>
  <c r="L2" i="1" s="1"/>
  <c r="G8" i="22"/>
  <c r="F16" i="22"/>
  <c r="C21" i="1" a="1"/>
  <c r="C21" i="1" s="1"/>
  <c r="C20" i="1" a="1"/>
  <c r="C20" i="1" s="1"/>
  <c r="C40" i="25" l="1"/>
  <c r="I40" i="25" s="1"/>
  <c r="J40" i="25" s="1"/>
  <c r="C45" i="25" a="1"/>
  <c r="C45" i="25" s="1"/>
  <c r="G16" i="22"/>
  <c r="D4" i="1" a="1"/>
  <c r="D4" i="1" s="1"/>
  <c r="L6" i="19"/>
  <c r="P9" i="19"/>
  <c r="P8" i="19"/>
  <c r="P7" i="19"/>
  <c r="P6" i="19"/>
  <c r="C23" i="17"/>
  <c r="B22" i="17" s="1"/>
  <c r="D23" i="17"/>
  <c r="E23" i="17"/>
  <c r="F23" i="17"/>
  <c r="D21" i="4"/>
  <c r="E21" i="4"/>
  <c r="F21" i="4"/>
  <c r="C33" i="25" l="1"/>
  <c r="I33" i="25" s="1"/>
  <c r="J33" i="25" s="1"/>
  <c r="I10" i="25"/>
  <c r="J10" i="25" s="1"/>
  <c r="C47" i="25"/>
  <c r="I47" i="25" s="1"/>
  <c r="J47" i="25" s="1"/>
  <c r="I45" i="25"/>
  <c r="J45" i="25" s="1"/>
  <c r="D27" i="4"/>
  <c r="E27" i="4"/>
  <c r="F27" i="4"/>
  <c r="F31" i="4" l="1"/>
  <c r="E67" i="17"/>
  <c r="E63" i="17"/>
  <c r="F63" i="17"/>
  <c r="G63" i="17"/>
  <c r="D28" i="4"/>
  <c r="E28" i="4"/>
  <c r="F28" i="4"/>
  <c r="F25" i="4"/>
  <c r="D73" i="4" l="1"/>
  <c r="E75" i="17" l="1"/>
  <c r="F75" i="17"/>
  <c r="G75" i="17"/>
  <c r="E36" i="17"/>
  <c r="F46" i="17"/>
  <c r="C32" i="17"/>
  <c r="K50" i="17"/>
  <c r="D75" i="17"/>
  <c r="D31" i="4" s="1"/>
  <c r="C75" i="17"/>
  <c r="E31" i="4" s="1"/>
  <c r="D63" i="17"/>
  <c r="C8" i="19"/>
  <c r="M6" i="19"/>
  <c r="N6" i="19"/>
  <c r="O6" i="19"/>
  <c r="Q6" i="19"/>
  <c r="M7" i="19"/>
  <c r="N7" i="19"/>
  <c r="O7" i="19"/>
  <c r="Q7" i="19"/>
  <c r="M8" i="19"/>
  <c r="N8" i="19"/>
  <c r="O8" i="19"/>
  <c r="Q8" i="19"/>
  <c r="M9" i="19"/>
  <c r="N9" i="19"/>
  <c r="O9" i="19"/>
  <c r="Q9" i="19"/>
  <c r="L7" i="19"/>
  <c r="L8" i="19"/>
  <c r="L9" i="19"/>
  <c r="E22" i="4"/>
  <c r="F22" i="4"/>
  <c r="C63" i="17"/>
  <c r="D67" i="17"/>
  <c r="D25" i="4" s="1"/>
  <c r="R8" i="19" l="1"/>
  <c r="R7" i="19"/>
  <c r="R6" i="19"/>
  <c r="R9" i="19"/>
  <c r="C6" i="19"/>
  <c r="H4" i="4"/>
  <c r="I4" i="4" s="1"/>
  <c r="J4" i="4" s="1"/>
  <c r="K4" i="4" s="1"/>
  <c r="L4" i="4" s="1"/>
  <c r="M4" i="4" s="1"/>
  <c r="N4" i="4" s="1"/>
  <c r="O4" i="4" s="1"/>
  <c r="P4" i="4" s="1"/>
  <c r="Q4" i="4" s="1"/>
  <c r="R4" i="4" s="1"/>
  <c r="S4" i="4" s="1"/>
  <c r="T4" i="4" s="1"/>
  <c r="U4" i="4" s="1"/>
  <c r="V4" i="4" s="1"/>
  <c r="W4" i="4" s="1"/>
  <c r="X4" i="4" s="1"/>
  <c r="Y4" i="4" s="1"/>
  <c r="Z4" i="4" s="1"/>
  <c r="AA4" i="4" s="1"/>
  <c r="AB4" i="4" s="1"/>
  <c r="AC4" i="4" s="1"/>
  <c r="AD4" i="4" s="1"/>
  <c r="AE4" i="4" s="1"/>
  <c r="AF4" i="4" s="1"/>
  <c r="M74" i="16"/>
  <c r="L74" i="16"/>
  <c r="K74" i="16"/>
  <c r="J74" i="16"/>
  <c r="I74" i="16"/>
  <c r="H74" i="16"/>
  <c r="G74" i="16"/>
  <c r="F74" i="16"/>
  <c r="E74" i="16"/>
  <c r="D74" i="16"/>
  <c r="C74" i="16"/>
  <c r="B74" i="16"/>
  <c r="M73" i="16"/>
  <c r="L73" i="16"/>
  <c r="K73" i="16"/>
  <c r="J73" i="16"/>
  <c r="I73" i="16"/>
  <c r="H73" i="16"/>
  <c r="G73" i="16"/>
  <c r="F73" i="16"/>
  <c r="E73" i="16"/>
  <c r="D73" i="16"/>
  <c r="C73" i="16"/>
  <c r="B73" i="16"/>
  <c r="M72" i="16"/>
  <c r="L72" i="16"/>
  <c r="K72" i="16"/>
  <c r="J72" i="16"/>
  <c r="I72" i="16"/>
  <c r="H72" i="16"/>
  <c r="G72" i="16"/>
  <c r="F72" i="16"/>
  <c r="E72" i="16"/>
  <c r="D72" i="16"/>
  <c r="C72" i="16"/>
  <c r="B72" i="16"/>
  <c r="M70" i="16"/>
  <c r="L70" i="16"/>
  <c r="K70" i="16"/>
  <c r="J70" i="16"/>
  <c r="I70" i="16"/>
  <c r="H70" i="16"/>
  <c r="G70" i="16"/>
  <c r="F70" i="16"/>
  <c r="E70" i="16"/>
  <c r="D70" i="16"/>
  <c r="C70" i="16"/>
  <c r="B70" i="16"/>
  <c r="M69" i="16"/>
  <c r="L69" i="16"/>
  <c r="K69" i="16"/>
  <c r="J69" i="16"/>
  <c r="I69" i="16"/>
  <c r="H69" i="16"/>
  <c r="G69" i="16"/>
  <c r="F69" i="16"/>
  <c r="E69" i="16"/>
  <c r="D69" i="16"/>
  <c r="C69" i="16"/>
  <c r="B69" i="16"/>
  <c r="B23" i="16"/>
  <c r="M62" i="16"/>
  <c r="L62" i="16"/>
  <c r="K62" i="16"/>
  <c r="J62" i="16"/>
  <c r="I62" i="16"/>
  <c r="H62" i="16"/>
  <c r="G62" i="16"/>
  <c r="F62" i="16"/>
  <c r="E62" i="16"/>
  <c r="D62" i="16"/>
  <c r="C62" i="16"/>
  <c r="B62" i="16"/>
  <c r="M84" i="16"/>
  <c r="L84" i="16"/>
  <c r="K84" i="16"/>
  <c r="J84" i="16"/>
  <c r="I84" i="16"/>
  <c r="H84" i="16"/>
  <c r="G84" i="16"/>
  <c r="F84" i="16"/>
  <c r="E84" i="16"/>
  <c r="D84" i="16"/>
  <c r="C84" i="16"/>
  <c r="B84" i="16"/>
  <c r="M83" i="16"/>
  <c r="L83" i="16"/>
  <c r="K83" i="16"/>
  <c r="J83" i="16"/>
  <c r="I83" i="16"/>
  <c r="H83" i="16"/>
  <c r="G83" i="16"/>
  <c r="F83" i="16"/>
  <c r="E83" i="16"/>
  <c r="D83" i="16"/>
  <c r="C83" i="16"/>
  <c r="B83" i="16"/>
  <c r="M82" i="16"/>
  <c r="L82" i="16"/>
  <c r="K82" i="16"/>
  <c r="J82" i="16"/>
  <c r="I82" i="16"/>
  <c r="H82" i="16"/>
  <c r="G82" i="16"/>
  <c r="F82" i="16"/>
  <c r="E82" i="16"/>
  <c r="D82" i="16"/>
  <c r="C82" i="16"/>
  <c r="M81" i="16"/>
  <c r="L81" i="16"/>
  <c r="K81" i="16"/>
  <c r="J81" i="16"/>
  <c r="I81" i="16"/>
  <c r="H81" i="16"/>
  <c r="G81" i="16"/>
  <c r="F81" i="16"/>
  <c r="E81" i="16"/>
  <c r="D81" i="16"/>
  <c r="C81" i="16"/>
  <c r="M80" i="16"/>
  <c r="L80" i="16"/>
  <c r="K80" i="16"/>
  <c r="J80" i="16"/>
  <c r="I80" i="16"/>
  <c r="H80" i="16"/>
  <c r="G80" i="16"/>
  <c r="F80" i="16"/>
  <c r="E80" i="16"/>
  <c r="D80" i="16"/>
  <c r="C80" i="16"/>
  <c r="M79" i="16"/>
  <c r="L79" i="16"/>
  <c r="K79" i="16"/>
  <c r="J79" i="16"/>
  <c r="I79" i="16"/>
  <c r="H79" i="16"/>
  <c r="G79" i="16"/>
  <c r="F79" i="16"/>
  <c r="E79" i="16"/>
  <c r="D79" i="16"/>
  <c r="C79" i="16"/>
  <c r="B79" i="16"/>
  <c r="M78" i="16"/>
  <c r="L78" i="16"/>
  <c r="K78" i="16"/>
  <c r="J78" i="16"/>
  <c r="I78" i="16"/>
  <c r="H78" i="16"/>
  <c r="G78" i="16"/>
  <c r="F78" i="16"/>
  <c r="E78" i="16"/>
  <c r="D78" i="16"/>
  <c r="C78" i="16"/>
  <c r="B78" i="16"/>
  <c r="M52" i="16"/>
  <c r="L52" i="16"/>
  <c r="J52" i="16"/>
  <c r="I52" i="16"/>
  <c r="H52" i="16"/>
  <c r="G52" i="16"/>
  <c r="F52" i="16"/>
  <c r="E52" i="16"/>
  <c r="D52" i="16"/>
  <c r="B52" i="16"/>
  <c r="C48" i="16"/>
  <c r="D48" i="16"/>
  <c r="E48" i="16"/>
  <c r="F48" i="16"/>
  <c r="G48" i="16"/>
  <c r="H48" i="16"/>
  <c r="I48" i="16"/>
  <c r="J48" i="16"/>
  <c r="K48" i="16"/>
  <c r="L48" i="16"/>
  <c r="M48" i="16"/>
  <c r="B48" i="16"/>
  <c r="M54" i="16"/>
  <c r="L54" i="16"/>
  <c r="K54" i="16"/>
  <c r="J54" i="16"/>
  <c r="I54" i="16"/>
  <c r="H54" i="16"/>
  <c r="G54" i="16"/>
  <c r="F54" i="16"/>
  <c r="E54" i="16"/>
  <c r="D54" i="16"/>
  <c r="C54" i="16"/>
  <c r="B54" i="16"/>
  <c r="M53" i="16"/>
  <c r="L53" i="16"/>
  <c r="K53" i="16"/>
  <c r="J53" i="16"/>
  <c r="I53" i="16"/>
  <c r="H53" i="16"/>
  <c r="G53" i="16"/>
  <c r="F53" i="16"/>
  <c r="E53" i="16"/>
  <c r="D53" i="16"/>
  <c r="C53" i="16"/>
  <c r="B53" i="16"/>
  <c r="M50" i="16"/>
  <c r="L50" i="16"/>
  <c r="K50" i="16"/>
  <c r="J50" i="16"/>
  <c r="I50" i="16"/>
  <c r="H50" i="16"/>
  <c r="G50" i="16"/>
  <c r="F50" i="16"/>
  <c r="E50" i="16"/>
  <c r="D50" i="16"/>
  <c r="C50" i="16"/>
  <c r="B50" i="16"/>
  <c r="M49" i="16"/>
  <c r="L49" i="16"/>
  <c r="K49" i="16"/>
  <c r="J49" i="16"/>
  <c r="I49" i="16"/>
  <c r="H49" i="16"/>
  <c r="G49" i="16"/>
  <c r="F49" i="16"/>
  <c r="E49" i="16"/>
  <c r="D49" i="16"/>
  <c r="C49" i="16"/>
  <c r="B49" i="16"/>
  <c r="B44" i="16"/>
  <c r="C70" i="25" s="1"/>
  <c r="M42" i="16"/>
  <c r="L42" i="16"/>
  <c r="K42" i="16"/>
  <c r="J42" i="16"/>
  <c r="I42" i="16"/>
  <c r="H42" i="16"/>
  <c r="G42" i="16"/>
  <c r="F42" i="16"/>
  <c r="E42" i="16"/>
  <c r="D42" i="16"/>
  <c r="C42" i="16"/>
  <c r="B42" i="16"/>
  <c r="C69" i="25" s="1"/>
  <c r="M41" i="16"/>
  <c r="L41" i="16"/>
  <c r="K41" i="16"/>
  <c r="J41" i="16"/>
  <c r="I41" i="16"/>
  <c r="H41" i="16"/>
  <c r="G41" i="16"/>
  <c r="F41" i="16"/>
  <c r="E41" i="16"/>
  <c r="D41" i="16"/>
  <c r="C41" i="16"/>
  <c r="B41" i="16"/>
  <c r="C67" i="25" s="1"/>
  <c r="C27" i="25" s="1"/>
  <c r="I27" i="25" s="1"/>
  <c r="J27" i="25" s="1"/>
  <c r="M40" i="16"/>
  <c r="L40" i="16"/>
  <c r="K40" i="16"/>
  <c r="J40" i="16"/>
  <c r="I40" i="16"/>
  <c r="H40" i="16"/>
  <c r="G40" i="16"/>
  <c r="F40" i="16"/>
  <c r="E40" i="16"/>
  <c r="D40" i="16"/>
  <c r="C40" i="16"/>
  <c r="B40" i="16"/>
  <c r="C66" i="25" s="1"/>
  <c r="M39" i="16"/>
  <c r="M26" i="16" s="1"/>
  <c r="L39" i="16"/>
  <c r="K39" i="16"/>
  <c r="J39" i="16"/>
  <c r="I39" i="16"/>
  <c r="H39" i="16"/>
  <c r="G39" i="16"/>
  <c r="F39" i="16"/>
  <c r="G22" i="22" s="1"/>
  <c r="E39" i="16"/>
  <c r="F22" i="22" s="1"/>
  <c r="D39" i="16"/>
  <c r="C39" i="16"/>
  <c r="D22" i="22" s="1"/>
  <c r="B39" i="16"/>
  <c r="M33" i="16"/>
  <c r="L33" i="16"/>
  <c r="K33" i="16"/>
  <c r="J33" i="16"/>
  <c r="I33" i="16"/>
  <c r="H33" i="16"/>
  <c r="G33" i="16"/>
  <c r="F33" i="16"/>
  <c r="E33" i="16"/>
  <c r="D33" i="16"/>
  <c r="C33" i="16"/>
  <c r="E24" i="4" s="1"/>
  <c r="B33" i="16"/>
  <c r="F24" i="4" s="1"/>
  <c r="M32" i="16"/>
  <c r="L32" i="16"/>
  <c r="K32" i="16"/>
  <c r="J32" i="16"/>
  <c r="I32" i="16"/>
  <c r="H32" i="16"/>
  <c r="G32" i="16"/>
  <c r="F32" i="16"/>
  <c r="E32" i="16"/>
  <c r="D32" i="16"/>
  <c r="C32" i="16"/>
  <c r="B32" i="16"/>
  <c r="F23" i="4" s="1"/>
  <c r="M28" i="16"/>
  <c r="L28" i="16"/>
  <c r="K28" i="16"/>
  <c r="J28" i="16"/>
  <c r="I28" i="16"/>
  <c r="H28" i="16"/>
  <c r="G28" i="16"/>
  <c r="F28" i="16"/>
  <c r="E28" i="16"/>
  <c r="D28" i="16"/>
  <c r="C28" i="16"/>
  <c r="B28" i="16"/>
  <c r="M27" i="16"/>
  <c r="L27" i="16"/>
  <c r="K27" i="16"/>
  <c r="J27" i="16"/>
  <c r="I27" i="16"/>
  <c r="H27" i="16"/>
  <c r="G27" i="16"/>
  <c r="F27" i="16"/>
  <c r="E27" i="16"/>
  <c r="D27" i="16"/>
  <c r="D30" i="4" s="1"/>
  <c r="C27" i="16"/>
  <c r="E30" i="4" s="1"/>
  <c r="B27" i="16"/>
  <c r="F30" i="4" s="1"/>
  <c r="M23" i="16"/>
  <c r="L23" i="16"/>
  <c r="K23" i="16"/>
  <c r="J23" i="16"/>
  <c r="I23" i="16"/>
  <c r="H23" i="16"/>
  <c r="G23" i="16"/>
  <c r="F23" i="16"/>
  <c r="E23" i="16"/>
  <c r="D23" i="16"/>
  <c r="D17" i="4" s="1"/>
  <c r="C23" i="16"/>
  <c r="E17" i="4" s="1"/>
  <c r="M21" i="16"/>
  <c r="L21" i="16"/>
  <c r="K21" i="16"/>
  <c r="J21" i="16"/>
  <c r="I21" i="16"/>
  <c r="H21" i="16"/>
  <c r="G21" i="16"/>
  <c r="F21" i="16"/>
  <c r="E21" i="16"/>
  <c r="D21" i="16"/>
  <c r="C21" i="16"/>
  <c r="B21" i="16"/>
  <c r="M17" i="16"/>
  <c r="L17" i="16"/>
  <c r="K17" i="16"/>
  <c r="J17" i="16"/>
  <c r="I17" i="16"/>
  <c r="H17" i="16"/>
  <c r="G17" i="16"/>
  <c r="F17" i="16"/>
  <c r="E17" i="16"/>
  <c r="D17" i="16"/>
  <c r="C17" i="16"/>
  <c r="B17" i="16"/>
  <c r="M15" i="16"/>
  <c r="L15" i="16"/>
  <c r="K15" i="16"/>
  <c r="J15" i="16"/>
  <c r="I15" i="16"/>
  <c r="H15" i="16"/>
  <c r="G15" i="16"/>
  <c r="F15" i="16"/>
  <c r="E15" i="16"/>
  <c r="D15" i="16"/>
  <c r="D14" i="4" s="1"/>
  <c r="C15" i="16"/>
  <c r="E14" i="4" s="1"/>
  <c r="B15" i="16"/>
  <c r="F14" i="4" s="1"/>
  <c r="M14" i="16"/>
  <c r="L14" i="16"/>
  <c r="K14" i="16"/>
  <c r="J14" i="16"/>
  <c r="I14" i="16"/>
  <c r="H14" i="16"/>
  <c r="G14" i="16"/>
  <c r="F14" i="16"/>
  <c r="E14" i="16"/>
  <c r="D14" i="16"/>
  <c r="D13" i="4" s="1"/>
  <c r="C14" i="16"/>
  <c r="E13" i="4" s="1"/>
  <c r="B14" i="16"/>
  <c r="C11" i="16"/>
  <c r="D11" i="16"/>
  <c r="D8" i="4" s="1"/>
  <c r="D12" i="4" s="1"/>
  <c r="E11" i="16"/>
  <c r="F11" i="16"/>
  <c r="G11" i="16"/>
  <c r="H11" i="16"/>
  <c r="I11" i="16"/>
  <c r="J11" i="16"/>
  <c r="K11" i="16"/>
  <c r="L11" i="16"/>
  <c r="M11" i="16"/>
  <c r="B11" i="16"/>
  <c r="C7" i="16"/>
  <c r="D7" i="16"/>
  <c r="E7" i="16"/>
  <c r="F7" i="16"/>
  <c r="G7" i="16"/>
  <c r="H7" i="16"/>
  <c r="I7" i="16"/>
  <c r="J7" i="16"/>
  <c r="K7" i="16"/>
  <c r="L7" i="16"/>
  <c r="M7" i="16"/>
  <c r="B7" i="16"/>
  <c r="M5" i="16"/>
  <c r="L5" i="16"/>
  <c r="K5" i="16"/>
  <c r="J5" i="16"/>
  <c r="I5" i="16"/>
  <c r="H5" i="16"/>
  <c r="G5" i="16"/>
  <c r="F5" i="16"/>
  <c r="E5" i="16"/>
  <c r="C54" i="25" s="1"/>
  <c r="D5" i="16"/>
  <c r="C5" i="16"/>
  <c r="C55" i="25" s="1"/>
  <c r="B5" i="16"/>
  <c r="C56" i="25" s="1"/>
  <c r="M13" i="17"/>
  <c r="L13" i="17"/>
  <c r="K13" i="17"/>
  <c r="J13" i="17"/>
  <c r="I13" i="17"/>
  <c r="H13" i="17"/>
  <c r="G13" i="17"/>
  <c r="F13" i="17"/>
  <c r="E13" i="17"/>
  <c r="D68" i="16"/>
  <c r="E68" i="16"/>
  <c r="F68" i="16"/>
  <c r="G68" i="16"/>
  <c r="H68" i="16"/>
  <c r="I68" i="16"/>
  <c r="K68" i="16"/>
  <c r="M71" i="16"/>
  <c r="L71" i="16"/>
  <c r="K71" i="16"/>
  <c r="J71" i="16"/>
  <c r="I71" i="16"/>
  <c r="H71" i="16"/>
  <c r="G71" i="16"/>
  <c r="F71" i="16"/>
  <c r="E71" i="16"/>
  <c r="D71" i="16"/>
  <c r="C71" i="16"/>
  <c r="B71" i="16"/>
  <c r="B67" i="16"/>
  <c r="M75" i="16"/>
  <c r="L75" i="16"/>
  <c r="K75" i="16"/>
  <c r="J75" i="16"/>
  <c r="I75" i="16"/>
  <c r="H75" i="16"/>
  <c r="G75" i="16"/>
  <c r="F75" i="16"/>
  <c r="E75" i="16"/>
  <c r="D75" i="16"/>
  <c r="C75" i="16"/>
  <c r="M67" i="16"/>
  <c r="J67" i="16"/>
  <c r="I67" i="16"/>
  <c r="H67" i="16"/>
  <c r="G67" i="16"/>
  <c r="F67" i="16"/>
  <c r="E67" i="16"/>
  <c r="D67" i="16"/>
  <c r="C67" i="16"/>
  <c r="C36" i="17"/>
  <c r="C31" i="17"/>
  <c r="D31" i="17"/>
  <c r="E31" i="17"/>
  <c r="F31" i="17"/>
  <c r="G31" i="17"/>
  <c r="H31" i="17"/>
  <c r="I31" i="17"/>
  <c r="J31" i="17"/>
  <c r="K31" i="17"/>
  <c r="L31" i="17"/>
  <c r="M31" i="17"/>
  <c r="C44" i="16"/>
  <c r="B56" i="16"/>
  <c r="D50" i="17"/>
  <c r="D55" i="16" s="1"/>
  <c r="E50" i="17"/>
  <c r="E55" i="16" s="1"/>
  <c r="F50" i="17"/>
  <c r="F55" i="16" s="1"/>
  <c r="G50" i="17"/>
  <c r="H50" i="17"/>
  <c r="I50" i="17"/>
  <c r="J50" i="17"/>
  <c r="L50" i="17"/>
  <c r="M50" i="17"/>
  <c r="M55" i="16" s="1"/>
  <c r="B55" i="16"/>
  <c r="C46" i="17"/>
  <c r="C51" i="16" s="1"/>
  <c r="D46" i="17"/>
  <c r="D51" i="16" s="1"/>
  <c r="E46" i="17"/>
  <c r="G46" i="17"/>
  <c r="H46" i="17"/>
  <c r="I46" i="17"/>
  <c r="J46" i="17"/>
  <c r="J51" i="16" s="1"/>
  <c r="K46" i="17"/>
  <c r="L46" i="17"/>
  <c r="M46" i="17"/>
  <c r="B51" i="16"/>
  <c r="AB38" i="17"/>
  <c r="G14" i="4" l="1"/>
  <c r="D43" i="4"/>
  <c r="E22" i="22"/>
  <c r="C14" i="25"/>
  <c r="I14" i="25" s="1"/>
  <c r="J14" i="25" s="1"/>
  <c r="C31" i="25"/>
  <c r="I31" i="25" s="1"/>
  <c r="J31" i="25" s="1"/>
  <c r="C30" i="25"/>
  <c r="I30" i="25" s="1"/>
  <c r="J30" i="25" s="1"/>
  <c r="C28" i="25"/>
  <c r="I28" i="25" s="1"/>
  <c r="J28" i="25" s="1"/>
  <c r="C16" i="25"/>
  <c r="I16" i="25" s="1"/>
  <c r="J16" i="25" s="1"/>
  <c r="C15" i="25"/>
  <c r="I15" i="25" s="1"/>
  <c r="J15" i="25" s="1"/>
  <c r="C13" i="25"/>
  <c r="I13" i="25" s="1"/>
  <c r="J13" i="25" s="1"/>
  <c r="C11" i="25"/>
  <c r="C34" i="25"/>
  <c r="I34" i="25" s="1"/>
  <c r="J34" i="25" s="1"/>
  <c r="C22" i="22"/>
  <c r="C65" i="25"/>
  <c r="C25" i="25" s="1"/>
  <c r="I25" i="25" s="1"/>
  <c r="J25" i="25" s="1"/>
  <c r="C20" i="22"/>
  <c r="B58" i="16"/>
  <c r="E16" i="4"/>
  <c r="D20" i="22"/>
  <c r="D16" i="4"/>
  <c r="E20" i="22"/>
  <c r="F20" i="22"/>
  <c r="G20" i="22"/>
  <c r="D7" i="4"/>
  <c r="E8" i="4"/>
  <c r="E7" i="4" s="1"/>
  <c r="C37" i="17"/>
  <c r="D29" i="4"/>
  <c r="E29" i="4"/>
  <c r="F16" i="4"/>
  <c r="F29" i="4"/>
  <c r="F32" i="4" s="1"/>
  <c r="G46" i="4"/>
  <c r="F45" i="4"/>
  <c r="F46" i="4"/>
  <c r="F47" i="4"/>
  <c r="H16" i="16"/>
  <c r="L58" i="16"/>
  <c r="M58" i="16"/>
  <c r="I58" i="16"/>
  <c r="J58" i="16"/>
  <c r="K58" i="16"/>
  <c r="E23" i="4"/>
  <c r="K47" i="4"/>
  <c r="O47" i="4"/>
  <c r="S47" i="4"/>
  <c r="W47" i="4"/>
  <c r="AA47" i="4"/>
  <c r="AE47" i="4"/>
  <c r="J46" i="4"/>
  <c r="N46" i="4"/>
  <c r="R46" i="4"/>
  <c r="V46" i="4"/>
  <c r="Z46" i="4"/>
  <c r="AD46" i="4"/>
  <c r="G47" i="4"/>
  <c r="K45" i="4"/>
  <c r="O45" i="4"/>
  <c r="S45" i="4"/>
  <c r="W45" i="4"/>
  <c r="AA45" i="4"/>
  <c r="AE45" i="4"/>
  <c r="M47" i="4"/>
  <c r="Y47" i="4"/>
  <c r="H46" i="4"/>
  <c r="P46" i="4"/>
  <c r="X46" i="4"/>
  <c r="AF46" i="4"/>
  <c r="M45" i="4"/>
  <c r="U45" i="4"/>
  <c r="AC45" i="4"/>
  <c r="J47" i="4"/>
  <c r="R47" i="4"/>
  <c r="Z47" i="4"/>
  <c r="AD47" i="4"/>
  <c r="M46" i="4"/>
  <c r="U46" i="4"/>
  <c r="AC46" i="4"/>
  <c r="J45" i="4"/>
  <c r="R45" i="4"/>
  <c r="Z45" i="4"/>
  <c r="H47" i="4"/>
  <c r="L47" i="4"/>
  <c r="P47" i="4"/>
  <c r="T47" i="4"/>
  <c r="X47" i="4"/>
  <c r="AB47" i="4"/>
  <c r="AF47" i="4"/>
  <c r="K46" i="4"/>
  <c r="O46" i="4"/>
  <c r="S46" i="4"/>
  <c r="W46" i="4"/>
  <c r="AA46" i="4"/>
  <c r="AE46" i="4"/>
  <c r="H45" i="4"/>
  <c r="L45" i="4"/>
  <c r="P45" i="4"/>
  <c r="T45" i="4"/>
  <c r="X45" i="4"/>
  <c r="AB45" i="4"/>
  <c r="AF45" i="4"/>
  <c r="I47" i="4"/>
  <c r="Q47" i="4"/>
  <c r="U47" i="4"/>
  <c r="AC47" i="4"/>
  <c r="L46" i="4"/>
  <c r="T46" i="4"/>
  <c r="AB46" i="4"/>
  <c r="I45" i="4"/>
  <c r="Q45" i="4"/>
  <c r="Y45" i="4"/>
  <c r="N47" i="4"/>
  <c r="V47" i="4"/>
  <c r="I46" i="4"/>
  <c r="Q46" i="4"/>
  <c r="Y46" i="4"/>
  <c r="N45" i="4"/>
  <c r="V45" i="4"/>
  <c r="AD45" i="4"/>
  <c r="H12" i="16"/>
  <c r="D23" i="4"/>
  <c r="E51" i="16"/>
  <c r="D58" i="16"/>
  <c r="E21" i="22" s="1"/>
  <c r="D15" i="4"/>
  <c r="C58" i="16"/>
  <c r="D21" i="22" s="1"/>
  <c r="G58" i="16"/>
  <c r="F58" i="16"/>
  <c r="E58" i="16"/>
  <c r="F13" i="4"/>
  <c r="F8" i="4"/>
  <c r="D13" i="17"/>
  <c r="D14" i="17" s="1"/>
  <c r="C13" i="17"/>
  <c r="C14" i="17" s="1"/>
  <c r="F17" i="4"/>
  <c r="E5" i="4"/>
  <c r="C24" i="1"/>
  <c r="H58" i="16"/>
  <c r="E8" i="16"/>
  <c r="G8" i="16"/>
  <c r="M24" i="16"/>
  <c r="M25" i="16" s="1"/>
  <c r="L51" i="16"/>
  <c r="I16" i="16"/>
  <c r="L55" i="16"/>
  <c r="F51" i="16"/>
  <c r="L22" i="16"/>
  <c r="M51" i="16"/>
  <c r="K16" i="16"/>
  <c r="C16" i="16"/>
  <c r="E16" i="16"/>
  <c r="M16" i="16"/>
  <c r="F24" i="16"/>
  <c r="B8" i="16"/>
  <c r="J24" i="16"/>
  <c r="H55" i="16"/>
  <c r="G24" i="16"/>
  <c r="M8" i="16"/>
  <c r="G22" i="16"/>
  <c r="C24" i="16"/>
  <c r="K24" i="16"/>
  <c r="I55" i="16"/>
  <c r="L8" i="16"/>
  <c r="D8" i="16"/>
  <c r="J55" i="16"/>
  <c r="I8" i="16"/>
  <c r="K8" i="16"/>
  <c r="C8" i="16"/>
  <c r="F8" i="16"/>
  <c r="G16" i="16"/>
  <c r="G51" i="16"/>
  <c r="G55" i="16"/>
  <c r="E22" i="16"/>
  <c r="E24" i="16"/>
  <c r="B16" i="16"/>
  <c r="H51" i="16"/>
  <c r="J16" i="16"/>
  <c r="I51" i="16"/>
  <c r="I12" i="16"/>
  <c r="B24" i="16"/>
  <c r="J8" i="16"/>
  <c r="F12" i="16"/>
  <c r="B19" i="16"/>
  <c r="K51" i="16"/>
  <c r="C22" i="16"/>
  <c r="K22" i="16"/>
  <c r="D22" i="16"/>
  <c r="L24" i="16"/>
  <c r="L16" i="16"/>
  <c r="D12" i="16"/>
  <c r="H8" i="16"/>
  <c r="G12" i="16"/>
  <c r="D16" i="16"/>
  <c r="F22" i="16"/>
  <c r="D24" i="16"/>
  <c r="J12" i="16"/>
  <c r="F16" i="16"/>
  <c r="I22" i="16"/>
  <c r="H22" i="16"/>
  <c r="K12" i="16"/>
  <c r="C12" i="16"/>
  <c r="L12" i="16"/>
  <c r="B22" i="16"/>
  <c r="J22" i="16"/>
  <c r="M12" i="16"/>
  <c r="M13" i="16" s="1"/>
  <c r="M22" i="16"/>
  <c r="E12" i="16"/>
  <c r="H24" i="16"/>
  <c r="I24" i="16"/>
  <c r="B12" i="16"/>
  <c r="C5" i="17"/>
  <c r="B4" i="16"/>
  <c r="L46" i="1"/>
  <c r="M46" i="1" s="1"/>
  <c r="B54" i="1"/>
  <c r="B53" i="1" s="1"/>
  <c r="B52" i="1" s="1"/>
  <c r="B51" i="1" s="1"/>
  <c r="B50" i="1" s="1"/>
  <c r="C12" i="19"/>
  <c r="C13" i="19"/>
  <c r="C14" i="19"/>
  <c r="C15" i="19"/>
  <c r="C16" i="19"/>
  <c r="C17" i="19"/>
  <c r="C18" i="19"/>
  <c r="C19" i="19"/>
  <c r="C20" i="19"/>
  <c r="C21" i="19"/>
  <c r="C22" i="19"/>
  <c r="C7" i="19"/>
  <c r="C9" i="19"/>
  <c r="C10" i="19"/>
  <c r="AD53" i="17"/>
  <c r="AC53" i="17"/>
  <c r="AD52" i="17"/>
  <c r="AC52" i="17"/>
  <c r="AG49" i="17"/>
  <c r="AG52" i="17" s="1"/>
  <c r="AF49" i="17"/>
  <c r="AE49" i="17"/>
  <c r="AB49" i="17"/>
  <c r="AB52" i="17" s="1"/>
  <c r="AA49" i="17"/>
  <c r="AA52" i="17" s="1"/>
  <c r="Z49" i="17"/>
  <c r="Z52" i="17" s="1"/>
  <c r="E56" i="17"/>
  <c r="AD48" i="17"/>
  <c r="AC48" i="17"/>
  <c r="AB48" i="17"/>
  <c r="AA48" i="17"/>
  <c r="Z48" i="17"/>
  <c r="AG44" i="17"/>
  <c r="AG48" i="17" s="1"/>
  <c r="AF44" i="17"/>
  <c r="AF48" i="17" s="1"/>
  <c r="AE44" i="17"/>
  <c r="AE48" i="17" s="1"/>
  <c r="AG39" i="17"/>
  <c r="AF39" i="17"/>
  <c r="AE39" i="17"/>
  <c r="AD39" i="17"/>
  <c r="AC39" i="17"/>
  <c r="AB31" i="17"/>
  <c r="AB39" i="17" s="1"/>
  <c r="AA31" i="17"/>
  <c r="AA39" i="17" s="1"/>
  <c r="Z31" i="17"/>
  <c r="Z39" i="17" s="1"/>
  <c r="G14" i="17"/>
  <c r="F14" i="17"/>
  <c r="E14" i="17"/>
  <c r="AA25" i="17"/>
  <c r="O74" i="17"/>
  <c r="AE12" i="17"/>
  <c r="AG11" i="17"/>
  <c r="AF11" i="17"/>
  <c r="AE11" i="17"/>
  <c r="AD11" i="17"/>
  <c r="D22" i="17"/>
  <c r="E22" i="17"/>
  <c r="C22" i="17"/>
  <c r="AG9" i="17"/>
  <c r="AF9" i="17"/>
  <c r="AD9" i="17"/>
  <c r="AC9" i="17"/>
  <c r="AB9" i="17"/>
  <c r="AA9" i="17"/>
  <c r="Z9" i="17"/>
  <c r="AG10" i="17"/>
  <c r="AF10" i="17"/>
  <c r="AE10" i="17"/>
  <c r="AD10" i="17"/>
  <c r="AC10" i="17"/>
  <c r="AB10" i="17"/>
  <c r="AA10" i="17"/>
  <c r="Z10" i="17"/>
  <c r="AG7" i="17"/>
  <c r="AG8" i="17" s="1"/>
  <c r="AF7" i="17"/>
  <c r="AF8" i="17" s="1"/>
  <c r="AE7" i="17"/>
  <c r="AE8" i="17" s="1"/>
  <c r="AD7" i="17"/>
  <c r="AD8" i="17" s="1"/>
  <c r="AC7" i="17"/>
  <c r="AC8" i="17" s="1"/>
  <c r="AB7" i="17"/>
  <c r="AB8" i="17" s="1"/>
  <c r="AA7" i="17"/>
  <c r="AA8" i="17" s="1"/>
  <c r="Z7" i="17"/>
  <c r="Z8" i="17" s="1"/>
  <c r="O7" i="17"/>
  <c r="A2" i="16"/>
  <c r="A1" i="16"/>
  <c r="C22" i="1"/>
  <c r="I22" i="22" l="1"/>
  <c r="D58" i="4" s="1"/>
  <c r="F12" i="4"/>
  <c r="G21" i="22"/>
  <c r="F21" i="22"/>
  <c r="C21" i="22"/>
  <c r="C73" i="25"/>
  <c r="I50" i="25"/>
  <c r="J50" i="25" s="1"/>
  <c r="I11" i="25"/>
  <c r="J11" i="25" s="1"/>
  <c r="I20" i="22"/>
  <c r="K31" i="1"/>
  <c r="E23" i="1"/>
  <c r="E29" i="1"/>
  <c r="E28" i="1"/>
  <c r="E24" i="1"/>
  <c r="C31" i="22"/>
  <c r="D56" i="4"/>
  <c r="Z13" i="17"/>
  <c r="Z14" i="17" s="1"/>
  <c r="D5" i="17"/>
  <c r="D87" i="17" s="1"/>
  <c r="C87" i="17"/>
  <c r="E15" i="4"/>
  <c r="E12" i="4"/>
  <c r="C23" i="1"/>
  <c r="C25" i="1" s="1"/>
  <c r="E32" i="4"/>
  <c r="D32" i="4"/>
  <c r="D22" i="4"/>
  <c r="F35" i="4"/>
  <c r="D35" i="4"/>
  <c r="E35" i="4"/>
  <c r="F7" i="4"/>
  <c r="B59" i="16"/>
  <c r="E26" i="1" s="1"/>
  <c r="D44" i="4"/>
  <c r="E44" i="4"/>
  <c r="F44" i="4"/>
  <c r="F26" i="4"/>
  <c r="F34" i="4" s="1"/>
  <c r="H13" i="16"/>
  <c r="G13" i="16"/>
  <c r="B60" i="16"/>
  <c r="D26" i="4"/>
  <c r="F15" i="4"/>
  <c r="F5" i="4"/>
  <c r="M47" i="1"/>
  <c r="M55" i="1"/>
  <c r="M48" i="1"/>
  <c r="L50" i="1"/>
  <c r="L51" i="1"/>
  <c r="M50" i="1"/>
  <c r="L54" i="1"/>
  <c r="M51" i="1"/>
  <c r="L55" i="1"/>
  <c r="M52" i="1"/>
  <c r="M53" i="1"/>
  <c r="M54" i="1"/>
  <c r="L47" i="1"/>
  <c r="L53" i="1"/>
  <c r="L52" i="1"/>
  <c r="L48" i="1"/>
  <c r="K22" i="1"/>
  <c r="K24" i="1"/>
  <c r="K30" i="1"/>
  <c r="K25" i="1"/>
  <c r="K23" i="1"/>
  <c r="B20" i="16"/>
  <c r="E22" i="1"/>
  <c r="E20" i="1"/>
  <c r="E21" i="1"/>
  <c r="L25" i="16"/>
  <c r="E25" i="16"/>
  <c r="I25" i="16"/>
  <c r="G25" i="16"/>
  <c r="D25" i="16"/>
  <c r="C13" i="16"/>
  <c r="B25" i="16"/>
  <c r="F25" i="16"/>
  <c r="E13" i="16"/>
  <c r="J25" i="16"/>
  <c r="H18" i="16"/>
  <c r="E18" i="16"/>
  <c r="L18" i="16"/>
  <c r="D56" i="16"/>
  <c r="K18" i="16"/>
  <c r="B18" i="16"/>
  <c r="G56" i="16"/>
  <c r="C18" i="16"/>
  <c r="C43" i="16"/>
  <c r="J56" i="16"/>
  <c r="F18" i="16"/>
  <c r="E56" i="16"/>
  <c r="B80" i="16"/>
  <c r="B43" i="16"/>
  <c r="E25" i="1" s="1"/>
  <c r="K25" i="16"/>
  <c r="G18" i="16"/>
  <c r="B64" i="16"/>
  <c r="C74" i="25" s="1"/>
  <c r="H56" i="16"/>
  <c r="I18" i="16"/>
  <c r="B82" i="16"/>
  <c r="B81" i="16"/>
  <c r="J18" i="16"/>
  <c r="L56" i="16"/>
  <c r="M56" i="16"/>
  <c r="F56" i="16"/>
  <c r="I56" i="16"/>
  <c r="M18" i="16"/>
  <c r="D18" i="16"/>
  <c r="K13" i="16"/>
  <c r="F13" i="16"/>
  <c r="B13" i="16"/>
  <c r="J13" i="16"/>
  <c r="C25" i="16"/>
  <c r="H25" i="16"/>
  <c r="I13" i="16"/>
  <c r="L13" i="16"/>
  <c r="D13" i="16"/>
  <c r="AD13" i="17"/>
  <c r="AD14" i="17" s="1"/>
  <c r="AB53" i="17"/>
  <c r="AG53" i="17"/>
  <c r="Z53" i="17"/>
  <c r="AA13" i="17"/>
  <c r="AA14" i="17" s="1"/>
  <c r="AC13" i="17"/>
  <c r="AC14" i="17" s="1"/>
  <c r="AG13" i="17"/>
  <c r="AG14" i="17" s="1"/>
  <c r="AA53" i="17"/>
  <c r="AB13" i="17"/>
  <c r="AB14" i="17" s="1"/>
  <c r="AE13" i="17"/>
  <c r="AE14" i="17" s="1"/>
  <c r="AE53" i="17"/>
  <c r="AF13" i="17"/>
  <c r="AF14" i="17" s="1"/>
  <c r="AF53" i="17"/>
  <c r="AF52" i="17"/>
  <c r="AE52" i="17"/>
  <c r="C4" i="16"/>
  <c r="D4" i="16" s="1"/>
  <c r="E4" i="16" s="1"/>
  <c r="F4" i="16" s="1"/>
  <c r="B49" i="1"/>
  <c r="I21" i="22" l="1"/>
  <c r="L21" i="22" s="1"/>
  <c r="D57" i="4" s="1"/>
  <c r="C17" i="25"/>
  <c r="I17" i="25" s="1"/>
  <c r="J17" i="25" s="1"/>
  <c r="C35" i="25"/>
  <c r="I35" i="25" s="1"/>
  <c r="J35" i="25" s="1"/>
  <c r="C21" i="25"/>
  <c r="I21" i="25" s="1"/>
  <c r="J21" i="25" s="1"/>
  <c r="C20" i="25"/>
  <c r="I20" i="25" s="1"/>
  <c r="J20" i="25" s="1"/>
  <c r="C18" i="25"/>
  <c r="I18" i="25" s="1"/>
  <c r="J18" i="25" s="1"/>
  <c r="C37" i="25"/>
  <c r="I37" i="25" s="1"/>
  <c r="J37" i="25" s="1"/>
  <c r="C36" i="25"/>
  <c r="I36" i="25" s="1"/>
  <c r="J36" i="25" s="1"/>
  <c r="M24" i="1"/>
  <c r="K27" i="1"/>
  <c r="E5" i="17"/>
  <c r="F5" i="17" s="1"/>
  <c r="M42" i="1"/>
  <c r="F36" i="4"/>
  <c r="M40" i="1"/>
  <c r="D34" i="4"/>
  <c r="D36" i="4" s="1"/>
  <c r="M32" i="1"/>
  <c r="K26" i="1"/>
  <c r="B34" i="16"/>
  <c r="M27" i="1"/>
  <c r="B35" i="16"/>
  <c r="G4" i="16"/>
  <c r="B48" i="1"/>
  <c r="C41" i="25" l="1"/>
  <c r="I41" i="25" s="1"/>
  <c r="J41" i="25" s="1"/>
  <c r="K28" i="1"/>
  <c r="B36" i="16"/>
  <c r="G5" i="17"/>
  <c r="H4" i="16"/>
  <c r="B47" i="1"/>
  <c r="H5" i="17" l="1"/>
  <c r="I4" i="16"/>
  <c r="J4" i="16" s="1"/>
  <c r="B46" i="1"/>
  <c r="D46" i="1" s="1" a="1"/>
  <c r="D55" i="1" s="1"/>
  <c r="D46" i="1" l="1"/>
  <c r="D58" i="1"/>
  <c r="H46" i="1" a="1"/>
  <c r="C46" i="1" a="1"/>
  <c r="C55" i="1" s="1"/>
  <c r="I5" i="17"/>
  <c r="H46" i="1" l="1"/>
  <c r="H55" i="1"/>
  <c r="C46" i="1"/>
  <c r="J5" i="17"/>
  <c r="K4" i="16"/>
  <c r="K5" i="17" l="1"/>
  <c r="L4" i="16"/>
  <c r="L5" i="17" l="1"/>
  <c r="M4" i="16"/>
  <c r="M5" i="17" l="1"/>
  <c r="B91" i="16" s="1"/>
  <c r="D91" i="16"/>
  <c r="E91" i="16"/>
  <c r="M6" i="16" l="1"/>
  <c r="D34" i="16"/>
  <c r="K35" i="16"/>
  <c r="K36" i="16" s="1"/>
  <c r="I34" i="16"/>
  <c r="G9" i="16"/>
  <c r="G10" i="16" s="1"/>
  <c r="K19" i="16"/>
  <c r="I19" i="16"/>
  <c r="K9" i="16"/>
  <c r="K10" i="16" s="1"/>
  <c r="I9" i="16"/>
  <c r="I10" i="16" s="1"/>
  <c r="M26" i="1"/>
  <c r="C34" i="16"/>
  <c r="H58" i="1"/>
  <c r="E34" i="16"/>
  <c r="C91" i="16"/>
  <c r="F26" i="16"/>
  <c r="I6" i="16"/>
  <c r="K26" i="16"/>
  <c r="K29" i="16" s="1"/>
  <c r="J26" i="16"/>
  <c r="I35" i="16"/>
  <c r="I36" i="16" s="1"/>
  <c r="K34" i="16"/>
  <c r="K20" i="16" l="1"/>
  <c r="I20" i="16"/>
  <c r="D60" i="16"/>
  <c r="K60" i="16"/>
  <c r="I60" i="16"/>
  <c r="L34" i="16"/>
  <c r="M34" i="16"/>
  <c r="M19" i="16"/>
  <c r="M20" i="16" s="1"/>
  <c r="L6" i="16"/>
  <c r="M9" i="16"/>
  <c r="M10" i="16" s="1"/>
  <c r="M29" i="16"/>
  <c r="M30" i="16" s="1"/>
  <c r="M31" i="16" s="1"/>
  <c r="E26" i="16"/>
  <c r="E29" i="16" s="1"/>
  <c r="M35" i="16"/>
  <c r="M36" i="16" s="1"/>
  <c r="L26" i="16"/>
  <c r="L29" i="16" s="1"/>
  <c r="R49" i="1"/>
  <c r="C35" i="16"/>
  <c r="C36" i="16" s="1"/>
  <c r="L35" i="16"/>
  <c r="L36" i="16" s="1"/>
  <c r="D26" i="16"/>
  <c r="D29" i="16" s="1"/>
  <c r="J35" i="16"/>
  <c r="J36" i="16" s="1"/>
  <c r="H34" i="16"/>
  <c r="C60" i="16"/>
  <c r="J34" i="16"/>
  <c r="G19" i="16"/>
  <c r="F35" i="16"/>
  <c r="F36" i="16" s="1"/>
  <c r="F29" i="16"/>
  <c r="G35" i="16"/>
  <c r="G36" i="16" s="1"/>
  <c r="J29" i="16"/>
  <c r="I26" i="16"/>
  <c r="I29" i="16" s="1"/>
  <c r="E9" i="16"/>
  <c r="E10" i="16" s="1"/>
  <c r="D6" i="16"/>
  <c r="D5" i="4" s="1"/>
  <c r="B6" i="16"/>
  <c r="C6" i="16"/>
  <c r="R54" i="1"/>
  <c r="R51" i="1"/>
  <c r="R50" i="1"/>
  <c r="J19" i="16"/>
  <c r="E35" i="16"/>
  <c r="E36" i="16" s="1"/>
  <c r="C26" i="16"/>
  <c r="C29" i="16" s="1"/>
  <c r="B26" i="16"/>
  <c r="B29" i="16" s="1"/>
  <c r="O50" i="1"/>
  <c r="F19" i="16"/>
  <c r="G31" i="22" s="1"/>
  <c r="H19" i="16"/>
  <c r="C9" i="16"/>
  <c r="C10" i="16" s="1"/>
  <c r="C19" i="16"/>
  <c r="D31" i="22" s="1"/>
  <c r="E19" i="16"/>
  <c r="F31" i="22" s="1"/>
  <c r="D35" i="16"/>
  <c r="D36" i="16" s="1"/>
  <c r="G6" i="16"/>
  <c r="H9" i="16"/>
  <c r="H10" i="16" s="1"/>
  <c r="H6" i="16"/>
  <c r="J9" i="16"/>
  <c r="J10" i="16" s="1"/>
  <c r="J6" i="16"/>
  <c r="D19" i="16"/>
  <c r="E31" i="22" s="1"/>
  <c r="H57" i="1"/>
  <c r="K6" i="16"/>
  <c r="L9" i="16"/>
  <c r="L10" i="16" s="1"/>
  <c r="G34" i="16"/>
  <c r="L19" i="16"/>
  <c r="D9" i="16"/>
  <c r="D10" i="16" s="1"/>
  <c r="G26" i="16"/>
  <c r="G29" i="16" s="1"/>
  <c r="H26" i="16"/>
  <c r="H29" i="16" s="1"/>
  <c r="E6" i="16"/>
  <c r="F9" i="16"/>
  <c r="F10" i="16" s="1"/>
  <c r="N50" i="1"/>
  <c r="F6" i="16"/>
  <c r="R48" i="1"/>
  <c r="H35" i="16"/>
  <c r="F34" i="16"/>
  <c r="I31" i="22" l="1"/>
  <c r="E31" i="1"/>
  <c r="J20" i="16"/>
  <c r="L20" i="16"/>
  <c r="H20" i="16"/>
  <c r="E46" i="1" a="1"/>
  <c r="E46" i="1" s="1"/>
  <c r="G20" i="16"/>
  <c r="F20" i="16"/>
  <c r="E20" i="16"/>
  <c r="D20" i="16"/>
  <c r="I46" i="1" a="1"/>
  <c r="S51" i="1" s="1"/>
  <c r="B30" i="16"/>
  <c r="B31" i="16" s="1"/>
  <c r="H36" i="16"/>
  <c r="K29" i="1"/>
  <c r="N55" i="1"/>
  <c r="C20" i="16"/>
  <c r="J60" i="16"/>
  <c r="M60" i="16"/>
  <c r="G60" i="16"/>
  <c r="F60" i="16"/>
  <c r="E60" i="16"/>
  <c r="L60" i="16"/>
  <c r="H60" i="16"/>
  <c r="C59" i="16"/>
  <c r="K30" i="16"/>
  <c r="K31" i="16" s="1"/>
  <c r="L30" i="16"/>
  <c r="L31" i="16" s="1"/>
  <c r="J30" i="16"/>
  <c r="J31" i="16" s="1"/>
  <c r="D30" i="16"/>
  <c r="D31" i="16" s="1"/>
  <c r="N51" i="1"/>
  <c r="E30" i="16"/>
  <c r="E31" i="16" s="1"/>
  <c r="I30" i="16"/>
  <c r="I31" i="16" s="1"/>
  <c r="H30" i="16"/>
  <c r="H31" i="16" s="1"/>
  <c r="G30" i="16"/>
  <c r="G31" i="16" s="1"/>
  <c r="C30" i="16"/>
  <c r="C31" i="16" s="1"/>
  <c r="C57" i="1"/>
  <c r="F30" i="16"/>
  <c r="F31" i="16" s="1"/>
  <c r="O51" i="1"/>
  <c r="R53" i="1"/>
  <c r="R52" i="1"/>
  <c r="N52" i="1"/>
  <c r="O52" i="1"/>
  <c r="O53" i="1"/>
  <c r="C58" i="1"/>
  <c r="N54" i="1"/>
  <c r="N53" i="1"/>
  <c r="E27" i="1" l="1"/>
  <c r="M31" i="1"/>
  <c r="M57" i="1"/>
  <c r="S50" i="1"/>
  <c r="S49" i="1"/>
  <c r="I46" i="1"/>
  <c r="S54" i="1"/>
  <c r="S53" i="1"/>
  <c r="S52" i="1"/>
  <c r="L57" i="1"/>
  <c r="S48" i="1"/>
  <c r="Q50" i="1"/>
  <c r="Q51" i="1"/>
  <c r="Q52" i="1"/>
  <c r="Q48" i="1"/>
  <c r="M29" i="1"/>
  <c r="C56" i="1"/>
  <c r="F57" i="1"/>
  <c r="F58" i="1"/>
  <c r="Q53" i="1"/>
  <c r="Q49" i="1"/>
  <c r="Q54" i="1"/>
  <c r="F56" i="1" l="1"/>
  <c r="H56" i="1"/>
  <c r="M25" i="1"/>
  <c r="O55" i="1" l="1"/>
  <c r="B9" i="16"/>
  <c r="B10" i="16" s="1"/>
  <c r="L58" i="1" l="1"/>
  <c r="D57" i="1"/>
  <c r="M28" i="1"/>
  <c r="O54" i="1"/>
  <c r="D56" i="1" s="1"/>
  <c r="M58" i="1" l="1"/>
  <c r="F36" i="17" l="1"/>
  <c r="F37" i="17" s="1"/>
  <c r="J36" i="17"/>
  <c r="J37" i="17" s="1"/>
  <c r="M44" i="16"/>
  <c r="M59" i="16" s="1"/>
  <c r="M36" i="17"/>
  <c r="M37" i="17" s="1"/>
  <c r="I44" i="16"/>
  <c r="I59" i="16" s="1"/>
  <c r="I36" i="17"/>
  <c r="I37" i="17" s="1"/>
  <c r="I43" i="16" s="1"/>
  <c r="E44" i="16"/>
  <c r="E59" i="16" s="1"/>
  <c r="E37" i="17"/>
  <c r="G36" i="17"/>
  <c r="G37" i="17" s="1"/>
  <c r="K36" i="17"/>
  <c r="K37" i="17" s="1"/>
  <c r="H36" i="17"/>
  <c r="H37" i="17" s="1"/>
  <c r="L44" i="16"/>
  <c r="L59" i="16" s="1"/>
  <c r="L36" i="17"/>
  <c r="L37" i="17" s="1"/>
  <c r="L43" i="16" s="1"/>
  <c r="G64" i="16" l="1"/>
  <c r="J44" i="16"/>
  <c r="J59" i="16" s="1"/>
  <c r="H64" i="16"/>
  <c r="K43" i="16"/>
  <c r="F43" i="16"/>
  <c r="J43" i="16"/>
  <c r="G43" i="16"/>
  <c r="F56" i="17"/>
  <c r="K44" i="16"/>
  <c r="K59" i="16" s="1"/>
  <c r="F44" i="16"/>
  <c r="F59" i="16" s="1"/>
  <c r="G44" i="16"/>
  <c r="G59" i="16" s="1"/>
  <c r="H44" i="16"/>
  <c r="H59" i="16" s="1"/>
  <c r="M64" i="16" l="1"/>
  <c r="I64" i="16"/>
  <c r="M43" i="16"/>
  <c r="H43" i="16"/>
  <c r="E43" i="16"/>
  <c r="F64" i="16"/>
  <c r="J64" i="16"/>
  <c r="L64" i="16"/>
  <c r="E64" i="16"/>
  <c r="D36" i="17"/>
  <c r="D37" i="17" s="1"/>
  <c r="D56" i="17"/>
  <c r="D64" i="16" s="1"/>
  <c r="C56" i="17"/>
  <c r="C64" i="16" s="1"/>
  <c r="C56" i="16"/>
  <c r="C47" i="17"/>
  <c r="C50" i="17" s="1"/>
  <c r="D43" i="16" l="1"/>
  <c r="D44" i="16"/>
  <c r="D59" i="16" s="1"/>
  <c r="G46" i="1" s="1" a="1"/>
  <c r="G46" i="1" s="1"/>
  <c r="C55" i="16"/>
  <c r="C52" i="16"/>
  <c r="B68" i="16"/>
  <c r="L49" i="1" s="1"/>
  <c r="L56" i="1" s="1"/>
  <c r="B75" i="16"/>
  <c r="C68" i="16"/>
  <c r="M49" i="1" s="1"/>
  <c r="M56" i="1" s="1"/>
  <c r="C67" i="17"/>
  <c r="E25" i="4" s="1"/>
  <c r="E26" i="4" s="1"/>
  <c r="E34" i="4" s="1"/>
  <c r="E36" i="4" l="1"/>
  <c r="E43" i="4" s="1"/>
  <c r="F43" i="4" s="1"/>
  <c r="K56" i="16"/>
  <c r="K52" i="16"/>
  <c r="K55" i="16"/>
  <c r="G13" i="4" l="1"/>
  <c r="G15" i="4" s="1"/>
  <c r="K64" i="16"/>
  <c r="K67" i="16" l="1"/>
  <c r="L67" i="16"/>
  <c r="J68" i="16"/>
  <c r="L68" i="16"/>
  <c r="M68" i="16"/>
  <c r="G25" i="4" l="1"/>
  <c r="G26" i="4" s="1"/>
  <c r="G16" i="4" l="1"/>
  <c r="G17" i="4" s="1"/>
  <c r="H24" i="4"/>
  <c r="H21" i="4"/>
  <c r="H23" i="4"/>
  <c r="G29" i="4" l="1"/>
  <c r="G30" i="4"/>
  <c r="I20" i="4"/>
  <c r="I23" i="4"/>
  <c r="I24" i="4"/>
  <c r="I21" i="4"/>
  <c r="G35" i="4" l="1"/>
  <c r="J20" i="4"/>
  <c r="J23" i="4"/>
  <c r="J24" i="4"/>
  <c r="J21" i="4"/>
  <c r="I17" i="22" l="1"/>
  <c r="D53" i="4" s="1"/>
  <c r="G9" i="4" s="1"/>
  <c r="G19" i="4" s="1"/>
  <c r="G41" i="4" l="1"/>
  <c r="H14" i="4"/>
  <c r="I14" i="4" s="1"/>
  <c r="H40" i="4"/>
  <c r="I40" i="4" s="1"/>
  <c r="J40" i="4" s="1"/>
  <c r="J9" i="4" s="1"/>
  <c r="H25" i="4"/>
  <c r="H26" i="4" s="1"/>
  <c r="I9" i="4" l="1"/>
  <c r="H9" i="4"/>
  <c r="H41" i="4" s="1"/>
  <c r="I25" i="4"/>
  <c r="J14" i="4"/>
  <c r="K14" i="4" s="1"/>
  <c r="I41" i="4" l="1"/>
  <c r="J41" i="4" s="1"/>
  <c r="L14" i="4"/>
  <c r="I26" i="4"/>
  <c r="J25" i="4"/>
  <c r="K25" i="4" l="1"/>
  <c r="K26" i="4" s="1"/>
  <c r="J26" i="4"/>
  <c r="L25" i="4" l="1"/>
  <c r="L26" i="4" s="1"/>
  <c r="M14" i="4" l="1"/>
  <c r="M25" i="4"/>
  <c r="K40" i="4"/>
  <c r="M6" i="4"/>
  <c r="M11" i="4" l="1"/>
  <c r="M20" i="4" s="1"/>
  <c r="M8" i="4"/>
  <c r="N6" i="4"/>
  <c r="N21" i="4" s="1"/>
  <c r="N24" i="4"/>
  <c r="N11" i="4"/>
  <c r="N20" i="4" s="1"/>
  <c r="L40" i="4"/>
  <c r="L9" i="4" s="1"/>
  <c r="K9" i="4"/>
  <c r="K41" i="4" s="1"/>
  <c r="M23" i="4"/>
  <c r="M27" i="4"/>
  <c r="M24" i="4"/>
  <c r="M21" i="4"/>
  <c r="N25" i="4"/>
  <c r="N14" i="4"/>
  <c r="N23" i="4"/>
  <c r="N27" i="4"/>
  <c r="O6" i="4" l="1"/>
  <c r="N8" i="4"/>
  <c r="M40" i="4"/>
  <c r="M9" i="4" s="1"/>
  <c r="M26" i="4"/>
  <c r="L41" i="4"/>
  <c r="O25" i="4"/>
  <c r="O14" i="4"/>
  <c r="P14" i="4" s="1"/>
  <c r="N26" i="4"/>
  <c r="O8" i="4" l="1"/>
  <c r="O23" i="4"/>
  <c r="O11" i="4"/>
  <c r="O20" i="4" s="1"/>
  <c r="O21" i="4"/>
  <c r="O24" i="4"/>
  <c r="O27" i="4"/>
  <c r="P6" i="4"/>
  <c r="N40" i="4"/>
  <c r="O40" i="4" s="1"/>
  <c r="M41" i="4"/>
  <c r="Q14" i="4"/>
  <c r="R14" i="4" s="1"/>
  <c r="P25" i="4"/>
  <c r="Q25" i="4" s="1"/>
  <c r="O26" i="4"/>
  <c r="P11" i="4" l="1"/>
  <c r="P20" i="4" s="1"/>
  <c r="P8" i="4"/>
  <c r="P24" i="4"/>
  <c r="P27" i="4"/>
  <c r="P23" i="4"/>
  <c r="Q6" i="4"/>
  <c r="P21" i="4"/>
  <c r="N9" i="4"/>
  <c r="N41" i="4" s="1"/>
  <c r="P40" i="4"/>
  <c r="O9" i="4"/>
  <c r="O41" i="4" s="1"/>
  <c r="P26" i="4"/>
  <c r="S14" i="4"/>
  <c r="R25" i="4"/>
  <c r="S25" i="4" s="1"/>
  <c r="Q11" i="4" l="1"/>
  <c r="Q20" i="4" s="1"/>
  <c r="Q8" i="4"/>
  <c r="Q21" i="4"/>
  <c r="Q27" i="4"/>
  <c r="Q24" i="4"/>
  <c r="R6" i="4"/>
  <c r="Q23" i="4"/>
  <c r="Q26" i="4" s="1"/>
  <c r="P9" i="4"/>
  <c r="P41" i="4" s="1"/>
  <c r="T14" i="4"/>
  <c r="T25" i="4"/>
  <c r="Q40" i="4" l="1"/>
  <c r="R11" i="4"/>
  <c r="R20" i="4" s="1"/>
  <c r="R8" i="4"/>
  <c r="R21" i="4"/>
  <c r="R24" i="4"/>
  <c r="R27" i="4"/>
  <c r="R23" i="4"/>
  <c r="R26" i="4" s="1"/>
  <c r="S6" i="4"/>
  <c r="Q9" i="4"/>
  <c r="Q41" i="4" s="1"/>
  <c r="R40" i="4"/>
  <c r="U25" i="4"/>
  <c r="U14" i="4"/>
  <c r="V14" i="4" s="1"/>
  <c r="W14" i="4" s="1"/>
  <c r="S11" i="4" l="1"/>
  <c r="S20" i="4" s="1"/>
  <c r="S8" i="4"/>
  <c r="T6" i="4"/>
  <c r="S27" i="4"/>
  <c r="S24" i="4"/>
  <c r="S21" i="4"/>
  <c r="S23" i="4"/>
  <c r="S26" i="4" s="1"/>
  <c r="R9" i="4"/>
  <c r="R41" i="4" s="1"/>
  <c r="V25" i="4"/>
  <c r="X14" i="4"/>
  <c r="S40" i="4" l="1"/>
  <c r="T11" i="4"/>
  <c r="T20" i="4" s="1"/>
  <c r="T8" i="4"/>
  <c r="T21" i="4"/>
  <c r="T27" i="4"/>
  <c r="U6" i="4"/>
  <c r="T23" i="4"/>
  <c r="T24" i="4"/>
  <c r="S9" i="4"/>
  <c r="S41" i="4" s="1"/>
  <c r="Y14" i="4"/>
  <c r="W25" i="4"/>
  <c r="X25" i="4" s="1"/>
  <c r="T26" i="4" l="1"/>
  <c r="T40" i="4"/>
  <c r="U11" i="4"/>
  <c r="U20" i="4" s="1"/>
  <c r="U8" i="4"/>
  <c r="U21" i="4"/>
  <c r="V6" i="4"/>
  <c r="U24" i="4"/>
  <c r="U23" i="4"/>
  <c r="U26" i="4" s="1"/>
  <c r="U27" i="4"/>
  <c r="T9" i="4"/>
  <c r="T41" i="4" s="1"/>
  <c r="U40" i="4"/>
  <c r="Z14" i="4"/>
  <c r="AA14" i="4" s="1"/>
  <c r="Y25" i="4"/>
  <c r="Z25" i="4" s="1"/>
  <c r="V11" i="4" l="1"/>
  <c r="V20" i="4" s="1"/>
  <c r="V8" i="4"/>
  <c r="V24" i="4"/>
  <c r="V23" i="4"/>
  <c r="V26" i="4" s="1"/>
  <c r="V21" i="4"/>
  <c r="W6" i="4"/>
  <c r="V27" i="4"/>
  <c r="U9" i="4"/>
  <c r="U41" i="4" s="1"/>
  <c r="V40" i="4"/>
  <c r="AB14" i="4"/>
  <c r="AC14" i="4" s="1"/>
  <c r="AD14" i="4" s="1"/>
  <c r="AA25" i="4"/>
  <c r="AB25" i="4" s="1"/>
  <c r="W11" i="4" l="1"/>
  <c r="W20" i="4" s="1"/>
  <c r="W8" i="4"/>
  <c r="W21" i="4"/>
  <c r="W27" i="4"/>
  <c r="W23" i="4"/>
  <c r="W24" i="4"/>
  <c r="X6" i="4"/>
  <c r="V9" i="4"/>
  <c r="V41" i="4" s="1"/>
  <c r="W40" i="4"/>
  <c r="AC25" i="4"/>
  <c r="AD25" i="4" s="1"/>
  <c r="AE14" i="4"/>
  <c r="AF14" i="4" s="1"/>
  <c r="W26" i="4" l="1"/>
  <c r="X11" i="4"/>
  <c r="X20" i="4" s="1"/>
  <c r="X8" i="4"/>
  <c r="Y6" i="4"/>
  <c r="X24" i="4"/>
  <c r="X21" i="4"/>
  <c r="X23" i="4"/>
  <c r="X26" i="4" s="1"/>
  <c r="X27" i="4"/>
  <c r="W9" i="4"/>
  <c r="W41" i="4" s="1"/>
  <c r="AE25" i="4"/>
  <c r="AF25" i="4" s="1"/>
  <c r="X40" i="4" l="1"/>
  <c r="Y11" i="4"/>
  <c r="Y20" i="4" s="1"/>
  <c r="Y8" i="4"/>
  <c r="Y27" i="4"/>
  <c r="Z6" i="4"/>
  <c r="Y23" i="4"/>
  <c r="Y21" i="4"/>
  <c r="Y24" i="4"/>
  <c r="X9" i="4"/>
  <c r="X41" i="4" s="1"/>
  <c r="Y40" i="4"/>
  <c r="Y26" i="4" l="1"/>
  <c r="Z11" i="4"/>
  <c r="Z20" i="4" s="1"/>
  <c r="Z8" i="4"/>
  <c r="Z27" i="4"/>
  <c r="AA6" i="4"/>
  <c r="Z24" i="4"/>
  <c r="Z21" i="4"/>
  <c r="Z23" i="4"/>
  <c r="Z26" i="4" s="1"/>
  <c r="Y9" i="4"/>
  <c r="Y41" i="4" s="1"/>
  <c r="Z40" i="4" l="1"/>
  <c r="AA11" i="4"/>
  <c r="AA20" i="4" s="1"/>
  <c r="AA8" i="4"/>
  <c r="AA27" i="4"/>
  <c r="AA21" i="4"/>
  <c r="AB6" i="4"/>
  <c r="AA24" i="4"/>
  <c r="AA23" i="4"/>
  <c r="AA26" i="4" s="1"/>
  <c r="Z9" i="4"/>
  <c r="Z41" i="4" s="1"/>
  <c r="AA40" i="4"/>
  <c r="AB11" i="4" l="1"/>
  <c r="AB20" i="4" s="1"/>
  <c r="AB8" i="4"/>
  <c r="AC6" i="4"/>
  <c r="AB23" i="4"/>
  <c r="AB27" i="4"/>
  <c r="AB24" i="4"/>
  <c r="AB21" i="4"/>
  <c r="AA9" i="4"/>
  <c r="AA41" i="4" s="1"/>
  <c r="AB40" i="4"/>
  <c r="AB26" i="4" l="1"/>
  <c r="AC11" i="4"/>
  <c r="AC20" i="4" s="1"/>
  <c r="AC8" i="4"/>
  <c r="AC23" i="4"/>
  <c r="AD6" i="4"/>
  <c r="AC24" i="4"/>
  <c r="AC21" i="4"/>
  <c r="AC27" i="4"/>
  <c r="AB9" i="4"/>
  <c r="AB41" i="4" s="1"/>
  <c r="AC40" i="4"/>
  <c r="AD11" i="4" l="1"/>
  <c r="AD20" i="4" s="1"/>
  <c r="AD8" i="4"/>
  <c r="AE6" i="4"/>
  <c r="AD21" i="4"/>
  <c r="AD27" i="4"/>
  <c r="AD23" i="4"/>
  <c r="AD24" i="4"/>
  <c r="AC26" i="4"/>
  <c r="AC9" i="4"/>
  <c r="AC41" i="4" s="1"/>
  <c r="AD40" i="4"/>
  <c r="AD26" i="4" l="1"/>
  <c r="AE11" i="4"/>
  <c r="AE20" i="4" s="1"/>
  <c r="AE8" i="4"/>
  <c r="AE23" i="4"/>
  <c r="AF6" i="4"/>
  <c r="AE21" i="4"/>
  <c r="AE24" i="4"/>
  <c r="AE27" i="4"/>
  <c r="AE40" i="4"/>
  <c r="AD9" i="4"/>
  <c r="AD41" i="4" s="1"/>
  <c r="AF11" i="4" l="1"/>
  <c r="AF20" i="4" s="1"/>
  <c r="AF8" i="4"/>
  <c r="AF27" i="4"/>
  <c r="AF23" i="4"/>
  <c r="AF24" i="4"/>
  <c r="AF21" i="4"/>
  <c r="AE26" i="4"/>
  <c r="AG23" i="4"/>
  <c r="AH24" i="4" s="1"/>
  <c r="AE9" i="4"/>
  <c r="AE41" i="4" s="1"/>
  <c r="AF40" i="4"/>
  <c r="AF26" i="4" l="1"/>
  <c r="AG40" i="4"/>
  <c r="AF9" i="4"/>
  <c r="AF41" i="4" s="1"/>
  <c r="AG41" i="4" s="1"/>
  <c r="G22" i="4" l="1"/>
  <c r="G39" i="4"/>
  <c r="H10" i="4"/>
  <c r="H12" i="4" s="1"/>
  <c r="H44" i="4" s="1"/>
  <c r="G38" i="4"/>
  <c r="G12" i="4"/>
  <c r="G44" i="4" s="1"/>
  <c r="H38" i="4" l="1"/>
  <c r="H39" i="4"/>
  <c r="I10" i="4"/>
  <c r="J10" i="4" l="1"/>
  <c r="I12" i="4"/>
  <c r="I39" i="4"/>
  <c r="I38" i="4"/>
  <c r="I44" i="4" l="1"/>
  <c r="I28" i="4" s="1"/>
  <c r="J38" i="4"/>
  <c r="J39" i="4"/>
  <c r="J12" i="4"/>
  <c r="K10" i="4"/>
  <c r="J44" i="4" l="1"/>
  <c r="J28" i="4" s="1"/>
  <c r="K12" i="4"/>
  <c r="L10" i="4"/>
  <c r="K39" i="4"/>
  <c r="K38" i="4"/>
  <c r="K44" i="4" l="1"/>
  <c r="K28" i="4" s="1"/>
  <c r="L38" i="4"/>
  <c r="L39" i="4"/>
  <c r="L12" i="4"/>
  <c r="L44" i="4" s="1"/>
  <c r="M10" i="4"/>
  <c r="L28" i="4" l="1"/>
  <c r="M12" i="4"/>
  <c r="M44" i="4" s="1"/>
  <c r="N10" i="4"/>
  <c r="M39" i="4"/>
  <c r="M38" i="4"/>
  <c r="M28" i="4" l="1"/>
  <c r="N38" i="4"/>
  <c r="N39" i="4"/>
  <c r="N12" i="4"/>
  <c r="N44" i="4" s="1"/>
  <c r="O10" i="4"/>
  <c r="N28" i="4" l="1"/>
  <c r="O12" i="4"/>
  <c r="O44" i="4" s="1"/>
  <c r="P10" i="4"/>
  <c r="O39" i="4"/>
  <c r="O38" i="4"/>
  <c r="O28" i="4" l="1"/>
  <c r="P38" i="4"/>
  <c r="P39" i="4"/>
  <c r="P12" i="4"/>
  <c r="P44" i="4" s="1"/>
  <c r="Q10" i="4"/>
  <c r="P28" i="4" l="1"/>
  <c r="Q12" i="4"/>
  <c r="Q44" i="4" s="1"/>
  <c r="R10" i="4"/>
  <c r="Q39" i="4"/>
  <c r="Q38" i="4"/>
  <c r="Q28" i="4" l="1"/>
  <c r="R38" i="4"/>
  <c r="R39" i="4"/>
  <c r="R12" i="4"/>
  <c r="R44" i="4" s="1"/>
  <c r="S10" i="4"/>
  <c r="R28" i="4" l="1"/>
  <c r="S12" i="4"/>
  <c r="S44" i="4" s="1"/>
  <c r="T10" i="4"/>
  <c r="S39" i="4"/>
  <c r="S38" i="4"/>
  <c r="S28" i="4" l="1"/>
  <c r="T38" i="4"/>
  <c r="T39" i="4"/>
  <c r="T12" i="4"/>
  <c r="T44" i="4" s="1"/>
  <c r="U10" i="4"/>
  <c r="T28" i="4" l="1"/>
  <c r="U12" i="4"/>
  <c r="U44" i="4" s="1"/>
  <c r="V10" i="4"/>
  <c r="U39" i="4"/>
  <c r="U38" i="4"/>
  <c r="U28" i="4" l="1"/>
  <c r="V38" i="4"/>
  <c r="V39" i="4"/>
  <c r="V12" i="4"/>
  <c r="V44" i="4" s="1"/>
  <c r="W10" i="4"/>
  <c r="V28" i="4" l="1"/>
  <c r="W12" i="4"/>
  <c r="W44" i="4" s="1"/>
  <c r="X10" i="4"/>
  <c r="W39" i="4"/>
  <c r="W38" i="4"/>
  <c r="W28" i="4" l="1"/>
  <c r="X38" i="4"/>
  <c r="X39" i="4"/>
  <c r="X12" i="4"/>
  <c r="X44" i="4" s="1"/>
  <c r="Y10" i="4"/>
  <c r="X28" i="4" l="1"/>
  <c r="Y12" i="4"/>
  <c r="Y44" i="4" s="1"/>
  <c r="Z10" i="4"/>
  <c r="Y39" i="4"/>
  <c r="Y38" i="4"/>
  <c r="Y28" i="4" l="1"/>
  <c r="Z38" i="4"/>
  <c r="Z39" i="4"/>
  <c r="Z12" i="4"/>
  <c r="Z44" i="4" s="1"/>
  <c r="AA10" i="4"/>
  <c r="Z28" i="4" l="1"/>
  <c r="AA12" i="4"/>
  <c r="AA44" i="4" s="1"/>
  <c r="AB10" i="4"/>
  <c r="AA39" i="4"/>
  <c r="AA38" i="4"/>
  <c r="AA28" i="4" l="1"/>
  <c r="AB38" i="4"/>
  <c r="AB39" i="4"/>
  <c r="AB12" i="4"/>
  <c r="AB44" i="4" s="1"/>
  <c r="AC10" i="4"/>
  <c r="AB28" i="4" l="1"/>
  <c r="AC12" i="4"/>
  <c r="AC44" i="4" s="1"/>
  <c r="AD10" i="4"/>
  <c r="AC39" i="4"/>
  <c r="AC38" i="4"/>
  <c r="AC28" i="4" l="1"/>
  <c r="AD38" i="4"/>
  <c r="AD39" i="4"/>
  <c r="AD12" i="4"/>
  <c r="AD44" i="4" s="1"/>
  <c r="AE10" i="4"/>
  <c r="AD28" i="4" l="1"/>
  <c r="AE12" i="4"/>
  <c r="AE44" i="4" s="1"/>
  <c r="AF10" i="4"/>
  <c r="AF12" i="4" s="1"/>
  <c r="AF44" i="4" s="1"/>
  <c r="AE39" i="4"/>
  <c r="AE38" i="4"/>
  <c r="AE28" i="4" l="1"/>
  <c r="AF28" i="4"/>
  <c r="AF38" i="4"/>
  <c r="AG38" i="4" s="1"/>
  <c r="AF39" i="4"/>
  <c r="AG39" i="4" s="1"/>
  <c r="H28" i="4"/>
  <c r="G28" i="4"/>
  <c r="G34" i="4" s="1"/>
  <c r="G36" i="4" s="1"/>
  <c r="G43" i="4" s="1"/>
  <c r="G32" i="4" l="1"/>
  <c r="H13" i="4"/>
  <c r="H15" i="4" s="1"/>
  <c r="H16" i="4" s="1"/>
  <c r="H17" i="4" s="1"/>
  <c r="H29" i="4" l="1"/>
  <c r="H30" i="4"/>
  <c r="H19" i="4"/>
  <c r="H22" i="4" s="1"/>
  <c r="H34" i="4" s="1"/>
  <c r="H35" i="4" l="1"/>
  <c r="H32" i="4"/>
  <c r="H36" i="4" l="1"/>
  <c r="H43" i="4" s="1"/>
  <c r="I13" i="4" l="1"/>
  <c r="I15" i="4" s="1"/>
  <c r="I16" i="4" s="1"/>
  <c r="I17" i="4" s="1"/>
  <c r="I29" i="4" l="1"/>
  <c r="I19" i="4"/>
  <c r="I22" i="4" s="1"/>
  <c r="I34" i="4" s="1"/>
  <c r="I30" i="4"/>
  <c r="I32" i="4" l="1"/>
  <c r="I35" i="4"/>
  <c r="I36" i="4" l="1"/>
  <c r="I43" i="4" s="1"/>
  <c r="J13" i="4" l="1"/>
  <c r="J15" i="4" s="1"/>
  <c r="J16" i="4" s="1"/>
  <c r="J17" i="4" s="1"/>
  <c r="J19" i="4" l="1"/>
  <c r="J22" i="4" s="1"/>
  <c r="J34" i="4" s="1"/>
  <c r="J30" i="4"/>
  <c r="J29" i="4"/>
  <c r="J32" i="4" l="1"/>
  <c r="J35" i="4"/>
  <c r="J36" i="4" s="1"/>
  <c r="J43" i="4" s="1"/>
  <c r="K13" i="4" l="1"/>
  <c r="K15" i="4" s="1"/>
  <c r="K16" i="4" s="1"/>
  <c r="K17" i="4" s="1"/>
  <c r="K30" i="4" l="1"/>
  <c r="K29" i="4"/>
  <c r="K19" i="4"/>
  <c r="K22" i="4" s="1"/>
  <c r="K34" i="4" s="1"/>
  <c r="K35" i="4" l="1"/>
  <c r="K32" i="4"/>
  <c r="K36" i="4" l="1"/>
  <c r="K43" i="4" s="1"/>
  <c r="L13" i="4" l="1"/>
  <c r="L15" i="4" s="1"/>
  <c r="L16" i="4" s="1"/>
  <c r="L17" i="4" s="1"/>
  <c r="L30" i="4" l="1"/>
  <c r="L19" i="4"/>
  <c r="L22" i="4" s="1"/>
  <c r="L34" i="4" s="1"/>
  <c r="L29" i="4"/>
  <c r="L32" i="4" l="1"/>
  <c r="L35" i="4"/>
  <c r="L36" i="4" l="1"/>
  <c r="L43" i="4" s="1"/>
  <c r="M13" i="4" l="1"/>
  <c r="M15" i="4" s="1"/>
  <c r="M16" i="4" s="1"/>
  <c r="M17" i="4" s="1"/>
  <c r="M29" i="4" l="1"/>
  <c r="M30" i="4"/>
  <c r="M19" i="4"/>
  <c r="M22" i="4" s="1"/>
  <c r="M34" i="4" s="1"/>
  <c r="M35" i="4" l="1"/>
  <c r="M36" i="4" s="1"/>
  <c r="M43" i="4" s="1"/>
  <c r="M32" i="4"/>
  <c r="N13" i="4" l="1"/>
  <c r="N15" i="4" s="1"/>
  <c r="N16" i="4" s="1"/>
  <c r="N17" i="4" s="1"/>
  <c r="N29" i="4" l="1"/>
  <c r="N19" i="4"/>
  <c r="N22" i="4" s="1"/>
  <c r="N34" i="4" s="1"/>
  <c r="N30" i="4"/>
  <c r="N35" i="4" l="1"/>
  <c r="N36" i="4" s="1"/>
  <c r="N43" i="4" s="1"/>
  <c r="N32" i="4"/>
  <c r="O13" i="4" l="1"/>
  <c r="O15" i="4" s="1"/>
  <c r="O16" i="4" s="1"/>
  <c r="O17" i="4" s="1"/>
  <c r="O19" i="4" l="1"/>
  <c r="O22" i="4" s="1"/>
  <c r="O34" i="4" s="1"/>
  <c r="O30" i="4"/>
  <c r="O29" i="4"/>
  <c r="O35" i="4" l="1"/>
  <c r="O36" i="4" s="1"/>
  <c r="O43" i="4" s="1"/>
  <c r="O32" i="4"/>
  <c r="P13" i="4" l="1"/>
  <c r="P15" i="4" s="1"/>
  <c r="P16" i="4" s="1"/>
  <c r="P17" i="4" s="1"/>
  <c r="P29" i="4" l="1"/>
  <c r="P19" i="4"/>
  <c r="P22" i="4" s="1"/>
  <c r="P34" i="4" s="1"/>
  <c r="P30" i="4"/>
  <c r="P32" i="4" l="1"/>
  <c r="P35" i="4"/>
  <c r="P36" i="4" s="1"/>
  <c r="P43" i="4" s="1"/>
  <c r="Q13" i="4" l="1"/>
  <c r="Q15" i="4" s="1"/>
  <c r="Q16" i="4" s="1"/>
  <c r="Q17" i="4" s="1"/>
  <c r="Q19" i="4" l="1"/>
  <c r="Q22" i="4" s="1"/>
  <c r="Q34" i="4" s="1"/>
  <c r="Q30" i="4"/>
  <c r="Q29" i="4"/>
  <c r="Q35" i="4" l="1"/>
  <c r="Q32" i="4"/>
  <c r="Q36" i="4"/>
  <c r="Q43" i="4" s="1"/>
  <c r="R13" i="4" l="1"/>
  <c r="R15" i="4" s="1"/>
  <c r="R16" i="4" s="1"/>
  <c r="R17" i="4" s="1"/>
  <c r="R29" i="4" l="1"/>
  <c r="R19" i="4"/>
  <c r="R22" i="4" s="1"/>
  <c r="R34" i="4" s="1"/>
  <c r="R30" i="4"/>
  <c r="R35" i="4" l="1"/>
  <c r="R36" i="4" s="1"/>
  <c r="R43" i="4" s="1"/>
  <c r="R32" i="4"/>
  <c r="S13" i="4" l="1"/>
  <c r="S15" i="4" s="1"/>
  <c r="S16" i="4" s="1"/>
  <c r="S17" i="4" s="1"/>
  <c r="S29" i="4" l="1"/>
  <c r="S19" i="4"/>
  <c r="S22" i="4" s="1"/>
  <c r="S34" i="4" s="1"/>
  <c r="S30" i="4"/>
  <c r="S32" i="4" l="1"/>
  <c r="S35" i="4"/>
  <c r="S36" i="4" s="1"/>
  <c r="S43" i="4" s="1"/>
  <c r="T13" i="4" l="1"/>
  <c r="T15" i="4" s="1"/>
  <c r="T16" i="4" s="1"/>
  <c r="T17" i="4" s="1"/>
  <c r="T30" i="4" l="1"/>
  <c r="T29" i="4"/>
  <c r="T19" i="4"/>
  <c r="T22" i="4" s="1"/>
  <c r="T34" i="4" s="1"/>
  <c r="T32" i="4" l="1"/>
  <c r="T35" i="4"/>
  <c r="T36" i="4" s="1"/>
  <c r="T43" i="4" s="1"/>
  <c r="U13" i="4" l="1"/>
  <c r="U15" i="4" s="1"/>
  <c r="U16" i="4" s="1"/>
  <c r="U17" i="4" s="1"/>
  <c r="U29" i="4" l="1"/>
  <c r="U19" i="4"/>
  <c r="U22" i="4" s="1"/>
  <c r="U34" i="4" s="1"/>
  <c r="U30" i="4"/>
  <c r="U32" i="4" l="1"/>
  <c r="U35" i="4"/>
  <c r="U36" i="4" s="1"/>
  <c r="U43" i="4" s="1"/>
  <c r="V13" i="4" l="1"/>
  <c r="V15" i="4" s="1"/>
  <c r="V16" i="4" s="1"/>
  <c r="V17" i="4" s="1"/>
  <c r="V19" i="4" l="1"/>
  <c r="V22" i="4" s="1"/>
  <c r="V34" i="4" s="1"/>
  <c r="V30" i="4"/>
  <c r="V29" i="4"/>
  <c r="V35" i="4" l="1"/>
  <c r="V36" i="4" s="1"/>
  <c r="V43" i="4" s="1"/>
  <c r="V32" i="4"/>
  <c r="W13" i="4" l="1"/>
  <c r="W15" i="4" s="1"/>
  <c r="W16" i="4" s="1"/>
  <c r="W17" i="4" s="1"/>
  <c r="W29" i="4" l="1"/>
  <c r="W19" i="4"/>
  <c r="W22" i="4" s="1"/>
  <c r="W34" i="4" s="1"/>
  <c r="W30" i="4"/>
  <c r="W35" i="4" l="1"/>
  <c r="W36" i="4" s="1"/>
  <c r="W43" i="4" s="1"/>
  <c r="W32" i="4"/>
  <c r="X13" i="4" l="1"/>
  <c r="X15" i="4" s="1"/>
  <c r="X16" i="4" s="1"/>
  <c r="X17" i="4" s="1"/>
  <c r="X19" i="4" l="1"/>
  <c r="X22" i="4" s="1"/>
  <c r="X34" i="4" s="1"/>
  <c r="X30" i="4"/>
  <c r="X29" i="4"/>
  <c r="X35" i="4" l="1"/>
  <c r="X36" i="4" s="1"/>
  <c r="X43" i="4" s="1"/>
  <c r="X32" i="4"/>
  <c r="Y13" i="4" l="1"/>
  <c r="Y15" i="4" s="1"/>
  <c r="Y16" i="4" s="1"/>
  <c r="Y17" i="4" s="1"/>
  <c r="Y29" i="4" l="1"/>
  <c r="Y19" i="4"/>
  <c r="Y22" i="4" s="1"/>
  <c r="Y34" i="4" s="1"/>
  <c r="Y30" i="4"/>
  <c r="Y35" i="4" l="1"/>
  <c r="Y36" i="4" s="1"/>
  <c r="Y43" i="4" s="1"/>
  <c r="Y32" i="4"/>
  <c r="Z13" i="4" l="1"/>
  <c r="Z15" i="4" s="1"/>
  <c r="Z16" i="4" s="1"/>
  <c r="Z17" i="4" s="1"/>
  <c r="Z29" i="4" l="1"/>
  <c r="Z19" i="4"/>
  <c r="Z22" i="4" s="1"/>
  <c r="Z34" i="4" s="1"/>
  <c r="Z30" i="4"/>
  <c r="Z35" i="4" l="1"/>
  <c r="Z36" i="4" s="1"/>
  <c r="Z43" i="4" s="1"/>
  <c r="Z32" i="4"/>
  <c r="AA13" i="4" l="1"/>
  <c r="AA15" i="4" s="1"/>
  <c r="AA16" i="4" s="1"/>
  <c r="AA17" i="4" s="1"/>
  <c r="AA19" i="4" l="1"/>
  <c r="AA22" i="4" s="1"/>
  <c r="AA34" i="4" s="1"/>
  <c r="AA30" i="4"/>
  <c r="AA29" i="4"/>
  <c r="AA35" i="4" l="1"/>
  <c r="AA36" i="4" s="1"/>
  <c r="AA43" i="4" s="1"/>
  <c r="AA32" i="4"/>
  <c r="AB13" i="4" l="1"/>
  <c r="AB15" i="4" s="1"/>
  <c r="AB16" i="4" s="1"/>
  <c r="AB17" i="4" s="1"/>
  <c r="AB29" i="4" l="1"/>
  <c r="AB19" i="4"/>
  <c r="AB22" i="4" s="1"/>
  <c r="AB34" i="4" s="1"/>
  <c r="AB30" i="4"/>
  <c r="AB32" i="4" l="1"/>
  <c r="AB35" i="4"/>
  <c r="AB36" i="4" s="1"/>
  <c r="AB43" i="4" s="1"/>
  <c r="AC13" i="4" l="1"/>
  <c r="AC15" i="4" s="1"/>
  <c r="AC16" i="4" s="1"/>
  <c r="AC17" i="4" s="1"/>
  <c r="AC19" i="4" l="1"/>
  <c r="AC22" i="4" s="1"/>
  <c r="AC34" i="4" s="1"/>
  <c r="AC30" i="4"/>
  <c r="AC29" i="4"/>
  <c r="AC32" i="4" l="1"/>
  <c r="AC35" i="4"/>
  <c r="AC36" i="4" s="1"/>
  <c r="AC43" i="4" s="1"/>
  <c r="AD13" i="4" l="1"/>
  <c r="AD15" i="4" s="1"/>
  <c r="AD16" i="4" s="1"/>
  <c r="AD17" i="4" s="1"/>
  <c r="AD29" i="4" l="1"/>
  <c r="AD19" i="4"/>
  <c r="AD22" i="4" s="1"/>
  <c r="AD34" i="4" s="1"/>
  <c r="AD30" i="4"/>
  <c r="AD35" i="4" l="1"/>
  <c r="AD36" i="4" s="1"/>
  <c r="AD43" i="4" s="1"/>
  <c r="AD32" i="4"/>
  <c r="AE13" i="4" l="1"/>
  <c r="AE15" i="4" s="1"/>
  <c r="AE16" i="4" s="1"/>
  <c r="AE17" i="4" s="1"/>
  <c r="AE19" i="4" l="1"/>
  <c r="AE22" i="4" s="1"/>
  <c r="AE34" i="4" s="1"/>
  <c r="AE30" i="4"/>
  <c r="AE29" i="4"/>
  <c r="AE35" i="4" l="1"/>
  <c r="AE36" i="4" s="1"/>
  <c r="AE43" i="4" s="1"/>
  <c r="AE32" i="4"/>
  <c r="AF13" i="4" l="1"/>
  <c r="AF15" i="4" s="1"/>
  <c r="AF16" i="4" s="1"/>
  <c r="AF17" i="4" s="1"/>
  <c r="AF30" i="4" l="1"/>
  <c r="AF29" i="4"/>
  <c r="AF19" i="4"/>
  <c r="AF22" i="4" s="1"/>
  <c r="AF34" i="4" s="1"/>
  <c r="D71" i="4" l="1"/>
  <c r="AF35" i="4"/>
  <c r="AF36" i="4" s="1"/>
  <c r="AF43" i="4" s="1"/>
  <c r="AF32" i="4"/>
  <c r="D70" i="4" l="1"/>
  <c r="D77" i="4"/>
  <c r="D78" i="4"/>
  <c r="D72" i="4" l="1"/>
  <c r="D75" i="4" l="1"/>
  <c r="E71" i="4"/>
  <c r="E70" i="4"/>
  <c r="H40" i="1" l="1"/>
  <c r="D80" i="4"/>
  <c r="D74" i="4"/>
  <c r="J42" i="1" s="1"/>
  <c r="E78" i="4"/>
  <c r="E77"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tc={B8360AB7-5DB1-45D3-ABF9-3AFEF51621D6}</author>
    <author>tc={D17B5162-9C54-4F03-8882-3A424C1A2E60}</author>
    <author>tc={74106D0B-4568-4C95-B1A7-D780E3BD20D3}</author>
    <author>Eduardo Ferreira</author>
  </authors>
  <commentList>
    <comment ref="B2" authorId="0" shapeId="0" xr:uid="{B8360AB7-5DB1-45D3-ABF9-3AFEF51621D6}">
      <text>
        <t>[Threaded comment]
Your version of Excel allows you to read this threaded comment; however, any edits to it will get removed if the file is opened in a newer version of Excel. Learn more: https://go.microsoft.com/fwlink/?linkid=870924
Comment:
    Date of last update of the report</t>
      </text>
    </comment>
    <comment ref="D2" authorId="1" shapeId="0" xr:uid="{D17B5162-9C54-4F03-8882-3A424C1A2E60}">
      <text>
        <t>[Threaded comment]
Your version of Excel allows you to read this threaded comment; however, any edits to it will get removed if the file is opened in a newer version of Excel. Learn more: https://go.microsoft.com/fwlink/?linkid=870924
Comment:
    Insert the date when the company will issue their next quarter/annual report</t>
      </text>
    </comment>
    <comment ref="L2" authorId="2" shapeId="0" xr:uid="{74106D0B-4568-4C95-B1A7-D780E3BD20D3}">
      <text>
        <t>[Threaded comment]
Your version of Excel allows you to read this threaded comment; however, any edits to it will get removed if the file is opened in a newer version of Excel. Learn more: https://go.microsoft.com/fwlink/?linkid=870924
Comment:
    In what exchange the company is listed in (Input the main exchange)</t>
      </text>
    </comment>
    <comment ref="D45" authorId="3" shapeId="0" xr:uid="{3E3FFF3C-33A9-994C-B6DA-EFA3EDE9D6C0}">
      <text>
        <r>
          <rPr>
            <sz val="12"/>
            <color rgb="FFFFFFFF"/>
            <rFont val="Calibri"/>
            <family val="2"/>
          </rPr>
          <t>Eduardo Ferreira:</t>
        </r>
        <r>
          <rPr>
            <sz val="10"/>
            <color rgb="FF000000"/>
            <rFont val="Arial"/>
            <family val="2"/>
          </rPr>
          <t xml:space="preserve">
</t>
        </r>
        <r>
          <rPr>
            <sz val="10"/>
            <color rgb="FF000000"/>
            <rFont val="Arial"/>
            <family val="2"/>
          </rPr>
          <t xml:space="preserve">Op. Earnings is Earnings after Cost of good solds, regular selling, general, and adminin costs of running a business, excluding interest and taxes. (EBIT)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C21" authorId="0" shapeId="0" xr:uid="{C64C8E29-A4D8-4FAF-B9A0-8B4D9B2077DD}">
      <text>
        <r>
          <rPr>
            <b/>
            <sz val="10"/>
            <color rgb="FF000000"/>
            <rFont val="Tahoma"/>
            <family val="2"/>
          </rPr>
          <t>Microsoft Office User:</t>
        </r>
        <r>
          <rPr>
            <sz val="10"/>
            <color rgb="FF000000"/>
            <rFont val="Tahoma"/>
            <family val="2"/>
          </rPr>
          <t xml:space="preserve">
</t>
        </r>
        <r>
          <rPr>
            <sz val="10"/>
            <color rgb="FF000000"/>
            <rFont val="Tahoma"/>
            <family val="2"/>
          </rPr>
          <t xml:space="preserve">Strategic alliances reffer to providing materials, know how,research of the sector trends to players like gucci;PRADA ETC.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Cristina Lin</author>
    <author>Matilde Rodrigues Caleiras</author>
  </authors>
  <commentList>
    <comment ref="B22" authorId="0" shapeId="0" xr:uid="{E2A7DFBF-6CBD-456D-8198-7EA96AD91DC1}">
      <text>
        <r>
          <rPr>
            <sz val="10"/>
            <rFont val="Arial"/>
          </rPr>
          <t>Interest coverage ratio negative (no meaning)</t>
        </r>
      </text>
    </comment>
    <comment ref="F41" authorId="1" shapeId="0" xr:uid="{A91055E7-F1A1-40D2-B423-60699742379C}">
      <text>
        <r>
          <rPr>
            <sz val="10"/>
            <color rgb="FF000000"/>
            <rFont val="Arial"/>
            <family val="2"/>
          </rPr>
          <t xml:space="preserve">Matilde Rodrigues Caleiras:
</t>
        </r>
        <r>
          <rPr>
            <sz val="10"/>
            <color rgb="FF000000"/>
            <rFont val="Arial"/>
            <family val="2"/>
          </rPr>
          <t xml:space="preserve">No data available
</t>
        </r>
      </text>
    </comment>
    <comment ref="D60" authorId="1" shapeId="0" xr:uid="{2D4390C3-4821-43E9-9A65-F2D5E0D25C9E}">
      <text>
        <r>
          <rPr>
            <sz val="10"/>
            <rFont val="Arial"/>
            <family val="2"/>
          </rPr>
          <t>Matilde Rodrigues Caleiras:
Net Financial Cost = 
Non-Operating interest expense - Non-Operating interest income</t>
        </r>
      </text>
    </comment>
    <comment ref="E60" authorId="1" shapeId="0" xr:uid="{7A921D9B-C123-49FE-B9D9-173458847818}">
      <text>
        <r>
          <rPr>
            <sz val="10"/>
            <rFont val="Arial"/>
            <family val="2"/>
          </rPr>
          <t>Matilde Rodrigues Caleiras:
Net Financial Cost = 
Non-Operating interest expense - Non-Operating interest income</t>
        </r>
      </text>
    </comment>
    <comment ref="F60" authorId="1" shapeId="0" xr:uid="{EC8CB980-7D55-48BA-B076-335ACD8B45FD}">
      <text>
        <r>
          <rPr>
            <sz val="10"/>
            <rFont val="Arial"/>
            <family val="2"/>
          </rPr>
          <t>Matilde Rodrigues Caleiras:
Net Financial Cost = 
Non-Operating interest expense - Non-Operating interest income</t>
        </r>
      </text>
    </comment>
    <comment ref="G60" authorId="1" shapeId="0" xr:uid="{041D8BB8-FA36-4DFB-96CB-0357F21CB30E}">
      <text>
        <r>
          <rPr>
            <sz val="10"/>
            <rFont val="Arial"/>
            <family val="2"/>
          </rPr>
          <t>Matilde Rodrigues Caleiras:
Net Financial Cost = Total Interest Expense − Investment Income</t>
        </r>
      </text>
    </comment>
    <comment ref="H60" authorId="1" shapeId="0" xr:uid="{8B99139A-48F2-4B85-B3C2-1210B6D8DD17}">
      <text>
        <r>
          <rPr>
            <sz val="10"/>
            <rFont val="Arial"/>
            <family val="2"/>
          </rPr>
          <t>Matilde Rodrigues Caleiras:
Net Financial Cost = Total Interest Expense − Investment Income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Jorge</author>
    <author>Cristina Lin</author>
  </authors>
  <commentList>
    <comment ref="G5" authorId="0" shapeId="0" xr:uid="{120D2ACE-01CC-4F60-B123-0FAA03524A46}">
      <text>
        <r>
          <rPr>
            <b/>
            <sz val="9"/>
            <color indexed="81"/>
            <rFont val="Tahoma"/>
            <charset val="1"/>
          </rPr>
          <t>Guidance</t>
        </r>
      </text>
    </comment>
    <comment ref="C24" authorId="1" shapeId="0" xr:uid="{81EAA6B7-1A1C-429B-9DF6-868C5225F529}">
      <text>
        <r>
          <rPr>
            <sz val="10"/>
            <rFont val="Arial"/>
          </rPr>
          <t>Only registered negative value in 2018, when acquiring TF</t>
        </r>
      </text>
    </comment>
    <comment ref="E50" authorId="0" shapeId="0" xr:uid="{2F0C02A9-4EB4-4EFD-8BAA-F8CADCB356F7}">
      <text>
        <r>
          <rPr>
            <sz val="9"/>
            <color indexed="81"/>
            <rFont val="Tahoma"/>
            <family val="2"/>
          </rPr>
          <t>The Group’s medium-term targets assume no major future
worsening of the global geopolitical, health, macroeconomic and financial markets situation, and no other unforeseen events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Jorge</author>
    <author>Daniyar Myrzashev</author>
    <author>Damião Carvalho Perdigão Gonçalves Ribeiro</author>
  </authors>
  <commentList>
    <comment ref="L20" authorId="0" shapeId="0" xr:uid="{301E281E-E779-48F2-8ECD-7941E8A6CCE7}">
      <text>
        <r>
          <rPr>
            <b/>
            <sz val="9"/>
            <color indexed="81"/>
            <rFont val="Tahoma"/>
            <charset val="1"/>
          </rPr>
          <t>Corporate Marginal Tax Rates (</t>
        </r>
        <r>
          <rPr>
            <b/>
            <i/>
            <sz val="9"/>
            <color indexed="81"/>
            <rFont val="Tahoma"/>
            <family val="2"/>
          </rPr>
          <t>source - pwc</t>
        </r>
        <r>
          <rPr>
            <b/>
            <sz val="9"/>
            <color indexed="81"/>
            <rFont val="Tahoma"/>
            <family val="2"/>
          </rPr>
          <t>)</t>
        </r>
      </text>
    </comment>
    <comment ref="B22" authorId="1" shapeId="0" xr:uid="{41FECDE3-6F9B-E542-85E3-0198F19027E2}">
      <text>
        <r>
          <rPr>
            <b/>
            <sz val="10"/>
            <color rgb="FF000000"/>
            <rFont val="Tahoma"/>
            <family val="2"/>
          </rPr>
          <t>Daniyar Myrzashev:</t>
        </r>
        <r>
          <rPr>
            <sz val="10"/>
            <color rgb="FF000000"/>
            <rFont val="Tahoma"/>
            <family val="2"/>
          </rPr>
          <t xml:space="preserve">
</t>
        </r>
        <r>
          <rPr>
            <sz val="10"/>
            <color rgb="FF000000"/>
            <rFont val="Tahoma"/>
            <family val="2"/>
          </rPr>
          <t xml:space="preserve">IROC=Interest Income/Cash&amp;Eq.
</t>
        </r>
      </text>
    </comment>
    <comment ref="I23" authorId="2" shapeId="0" xr:uid="{6E478CFC-98B1-491D-B9A2-4B23F33AC43B}">
      <text>
        <r>
          <rPr>
            <sz val="10"/>
            <color rgb="FF000000"/>
            <rFont val="Arial"/>
            <family val="2"/>
          </rPr>
          <t xml:space="preserve">Damião Carvalho Perdigão Gonçalves Ribeiro:
</t>
        </r>
        <r>
          <rPr>
            <sz val="10"/>
            <color rgb="FF000000"/>
            <rFont val="Arial"/>
            <family val="2"/>
          </rPr>
          <t>Average YoY Growth (Gross PPE)</t>
        </r>
      </text>
    </comment>
    <comment ref="I25" authorId="2" shapeId="0" xr:uid="{73CD9603-F085-467F-BBA9-49CE7A829CFD}">
      <text>
        <r>
          <rPr>
            <sz val="10"/>
            <color rgb="FF000000"/>
            <rFont val="Arial"/>
            <family val="2"/>
          </rPr>
          <t xml:space="preserve">Damião Carvalho Perdigão Gonçalves Ribeiro:
</t>
        </r>
        <r>
          <rPr>
            <sz val="10"/>
            <color rgb="FF000000"/>
            <rFont val="Arial"/>
            <family val="2"/>
          </rPr>
          <t>Average YoY Growth (Gross IA)</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Jorge</author>
  </authors>
  <commentList>
    <comment ref="A6" authorId="0" shapeId="0" xr:uid="{873DC941-3A6A-4682-A319-9AAE3888A24E}">
      <text>
        <r>
          <rPr>
            <b/>
            <sz val="9"/>
            <color indexed="81"/>
            <rFont val="Tahoma"/>
            <charset val="1"/>
          </rPr>
          <t>Revenues are recognized net of returns and discounts</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6">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7"/>
        </ext>
      </extLst>
    </bk>
  </futureMetadata>
  <futureMetadata name="XLDAPR" count="1">
    <bk>
      <extLst>
        <ext uri="{bdbb8cdc-fa1e-496e-a857-3c3f30c029c3}">
          <xda:dynamicArrayProperties fDynamic="1" fCollapsed="0"/>
        </ext>
      </extLst>
    </bk>
  </futureMetadata>
  <cellMetadata count="1">
    <bk>
      <rc t="2" v="0"/>
    </bk>
  </cellMetadata>
  <valueMetadata count="6">
    <bk>
      <rc t="1" v="0"/>
    </bk>
    <bk>
      <rc t="1" v="1"/>
    </bk>
    <bk>
      <rc t="1" v="2"/>
    </bk>
    <bk>
      <rc t="1" v="3"/>
    </bk>
    <bk>
      <rc t="1" v="4"/>
    </bk>
    <bk>
      <rc t="1" v="5"/>
    </bk>
  </valueMetadata>
</metadata>
</file>

<file path=xl/sharedStrings.xml><?xml version="1.0" encoding="utf-8"?>
<sst xmlns="http://schemas.openxmlformats.org/spreadsheetml/2006/main" count="2018" uniqueCount="828">
  <si>
    <t>18/09/2024</t>
  </si>
  <si>
    <t>Team 5</t>
  </si>
  <si>
    <t>22/10/2024</t>
  </si>
  <si>
    <t xml:space="preserve">SIC: </t>
  </si>
  <si>
    <t>COMPANY DESCRIPTION</t>
  </si>
  <si>
    <t>CEO &amp; BOARD OF DIRECTORS</t>
  </si>
  <si>
    <t>Name, Age and Tenure</t>
  </si>
  <si>
    <t>Gender</t>
  </si>
  <si>
    <t>Executive?</t>
  </si>
  <si>
    <t>Other roles</t>
  </si>
  <si>
    <t xml:space="preserve">Ermenegildo Zegna, 69, 35 years </t>
  </si>
  <si>
    <t>Male</t>
  </si>
  <si>
    <t>Yes</t>
  </si>
  <si>
    <t>CEO, Chairman</t>
  </si>
  <si>
    <t>Sergio P. Ermotti, 64, 3 years</t>
  </si>
  <si>
    <t>No</t>
  </si>
  <si>
    <t>Lead non-executive director</t>
  </si>
  <si>
    <t>Andrea C. Bonomi, 59, 3 years</t>
  </si>
  <si>
    <t>-</t>
  </si>
  <si>
    <t>Angelica Cheung, 58, 3 years</t>
  </si>
  <si>
    <t>Female</t>
  </si>
  <si>
    <t>Domenico de Sole, 80, 19 years</t>
  </si>
  <si>
    <t>Ronald B. Johnson, 64,  5 years</t>
  </si>
  <si>
    <t>Valerie A. Mars, 65, 3 years</t>
  </si>
  <si>
    <t>Chair of the Audit Comitee</t>
  </si>
  <si>
    <t>Michele Norsa, 76, 7 years</t>
  </si>
  <si>
    <t>Chair of the Governance &amp; Sustainability Comitee</t>
  </si>
  <si>
    <t>Henry Peter, 67, 10 years</t>
  </si>
  <si>
    <t>Chair of the Compensation Commitee</t>
  </si>
  <si>
    <t>Anna Zegna, 67, 6 years</t>
  </si>
  <si>
    <t>Paolo Zegna, 68, 3 years</t>
  </si>
  <si>
    <t>COMPANY OVERVIEW</t>
  </si>
  <si>
    <t>Stock</t>
  </si>
  <si>
    <t>Liquidity and Solvency</t>
  </si>
  <si>
    <t>Segments</t>
  </si>
  <si>
    <t>Multiples</t>
  </si>
  <si>
    <t>Last Price</t>
  </si>
  <si>
    <t>Total Assets</t>
  </si>
  <si>
    <t>Regions</t>
  </si>
  <si>
    <t>% Sales</t>
  </si>
  <si>
    <t>Reporting Year</t>
  </si>
  <si>
    <t>Float</t>
  </si>
  <si>
    <t>Outstanding Shares</t>
  </si>
  <si>
    <t>Total Liabilities</t>
  </si>
  <si>
    <t>End of Year</t>
  </si>
  <si>
    <t>Insiders Own</t>
  </si>
  <si>
    <t>Market Cap.</t>
  </si>
  <si>
    <t>Cash/Share</t>
  </si>
  <si>
    <t>EBITDA</t>
  </si>
  <si>
    <t>b (Yahoo)</t>
  </si>
  <si>
    <t>+Total Debt</t>
  </si>
  <si>
    <t>EBITDA/Net Financial Cost (NFC)</t>
  </si>
  <si>
    <t>Depreciation &amp; Amortization</t>
  </si>
  <si>
    <t>Score (S&amp;P)</t>
  </si>
  <si>
    <t>-Cash</t>
  </si>
  <si>
    <t>Debt/EBITDA</t>
  </si>
  <si>
    <t>EBIT</t>
  </si>
  <si>
    <t>Price/Book Value</t>
  </si>
  <si>
    <t>=Enterprise Value</t>
  </si>
  <si>
    <t>"Others Assets"/Asset</t>
  </si>
  <si>
    <t>Net Income</t>
  </si>
  <si>
    <t>NCF(3y avg)/Asset</t>
  </si>
  <si>
    <t>Holdings (nac/int'l)</t>
  </si>
  <si>
    <t>Debt/Assets</t>
  </si>
  <si>
    <t>Categories</t>
  </si>
  <si>
    <t>EPS</t>
  </si>
  <si>
    <t>Price/Net Inc. (3y avg)</t>
  </si>
  <si>
    <t>t liq. (Holdings/Vol.)</t>
  </si>
  <si>
    <t>EBITDA Margin (average)</t>
  </si>
  <si>
    <t>ROA</t>
  </si>
  <si>
    <t>EV/Asset</t>
  </si>
  <si>
    <t>% Short</t>
  </si>
  <si>
    <t>Operating Margin (average)</t>
  </si>
  <si>
    <t>ROIC</t>
  </si>
  <si>
    <t>EV/Ebitda (3y average)</t>
  </si>
  <si>
    <t>Traffic ESG</t>
  </si>
  <si>
    <t>Net Income Margin (average)</t>
  </si>
  <si>
    <t>EBITDA (3y average)</t>
  </si>
  <si>
    <t>Price/NCF (3y average)</t>
  </si>
  <si>
    <t>E</t>
  </si>
  <si>
    <t>Net Income (3y average)</t>
  </si>
  <si>
    <t>Bonds 1,3,5a (USD)</t>
  </si>
  <si>
    <t>S</t>
  </si>
  <si>
    <t>Net Financial Cost/Avg Net Debt</t>
  </si>
  <si>
    <t>NCF (3y average)</t>
  </si>
  <si>
    <t>Div+Rep.(3y avg)/Price</t>
  </si>
  <si>
    <t>G</t>
  </si>
  <si>
    <t>Div. Yield</t>
  </si>
  <si>
    <t>INVESTMENT THESIS</t>
  </si>
  <si>
    <t>Pillars of Recommendation</t>
  </si>
  <si>
    <t>Recommendation</t>
  </si>
  <si>
    <t>Valuation Assumptions</t>
  </si>
  <si>
    <t>Pillar</t>
  </si>
  <si>
    <t>Explanation</t>
  </si>
  <si>
    <t>Hold</t>
  </si>
  <si>
    <t>Check DCF</t>
  </si>
  <si>
    <t>Strategic Aqcuisitions</t>
  </si>
  <si>
    <t>2023: The acquisition of the Tom Ford brand was set to supercharge the Group's expansion in the luxury business.</t>
  </si>
  <si>
    <t>Vertical Integration</t>
  </si>
  <si>
    <t>By owning land and farms, ZEGNA ensures a high level of quality control in its textile development process, strengthening its financial performance.</t>
  </si>
  <si>
    <t>Risks of Investment</t>
  </si>
  <si>
    <t>Price Target</t>
  </si>
  <si>
    <t>Valuation</t>
  </si>
  <si>
    <t>Risk</t>
  </si>
  <si>
    <t>Discount Rate</t>
  </si>
  <si>
    <t>Price M. Upside</t>
  </si>
  <si>
    <t>Changes in consumer's preferences</t>
  </si>
  <si>
    <t>Luxury market companies are experiencing a slowdown in profits due to shifts in consumer preferences. Zegna's profit in H1 2024 is down by approximately 40% compared to H1 2023.</t>
  </si>
  <si>
    <t>Dependence on global markets</t>
  </si>
  <si>
    <t>A global economic recession can reduce disposable incomes, subsequently reducing demand for luxury goods.</t>
  </si>
  <si>
    <t>Upside</t>
  </si>
  <si>
    <t>EV M. Upside</t>
  </si>
  <si>
    <t>Declining EPS</t>
  </si>
  <si>
    <t>Historical data reveals that the company's EPS has declined by 45% annually over the past years.</t>
  </si>
  <si>
    <t>FINANCIAL PERFORMANCE</t>
  </si>
  <si>
    <t>Year</t>
  </si>
  <si>
    <t>Net Sales</t>
  </si>
  <si>
    <t>Operating Margin</t>
  </si>
  <si>
    <t>Dividends + Share Buyback</t>
  </si>
  <si>
    <t>Net Cash Flow</t>
  </si>
  <si>
    <t>Capex + Investments</t>
  </si>
  <si>
    <t>Cash Flow</t>
  </si>
  <si>
    <t>Operating CF</t>
  </si>
  <si>
    <t>Investing CF</t>
  </si>
  <si>
    <t>Net Capex</t>
  </si>
  <si>
    <t>Investments &amp; Acquisitions</t>
  </si>
  <si>
    <t>Financing CF</t>
  </si>
  <si>
    <t>Dividends</t>
  </si>
  <si>
    <t>Share Buyback</t>
  </si>
  <si>
    <t>Annual Growth Rate</t>
  </si>
  <si>
    <t>FX</t>
  </si>
  <si>
    <t>Average Growth Rate</t>
  </si>
  <si>
    <t>Changes in Cash</t>
  </si>
  <si>
    <t>CVAR</t>
  </si>
  <si>
    <r>
      <t>Inventory/</t>
    </r>
    <r>
      <rPr>
        <sz val="10"/>
        <rFont val="Symbol"/>
        <family val="1"/>
        <charset val="2"/>
      </rPr>
      <t>D</t>
    </r>
    <r>
      <rPr>
        <sz val="10"/>
        <rFont val="Arial"/>
        <family val="2"/>
      </rPr>
      <t xml:space="preserve"> Revenues</t>
    </r>
  </si>
  <si>
    <t>Last Year</t>
  </si>
  <si>
    <t>t inversiones; t adq. neto dep.</t>
  </si>
  <si>
    <t>QUALITATIVE ANALYSIS</t>
  </si>
  <si>
    <t>SWOT ANALYSIS</t>
  </si>
  <si>
    <t>HOLDERS</t>
  </si>
  <si>
    <t>Pros</t>
  </si>
  <si>
    <t>Cons</t>
  </si>
  <si>
    <t>Name</t>
  </si>
  <si>
    <t>% Stake</t>
  </si>
  <si>
    <t> </t>
  </si>
  <si>
    <t>Monterubello SS</t>
  </si>
  <si>
    <t>Good Reputation:</t>
  </si>
  <si>
    <t>Ermenegildo Zegna is known for its high quality materials and is considered as one of the top menswear brands.</t>
  </si>
  <si>
    <t>Specific target audience:</t>
  </si>
  <si>
    <t>The Group's target audience counts with high-income professionals, executives, and entrepreneurs, meaning that its demand can be limited especially in periods of recession.</t>
  </si>
  <si>
    <t>Strategic Holding Group SARL</t>
  </si>
  <si>
    <t>T. Rowe Price International Ltd.</t>
  </si>
  <si>
    <t>Capital Research &amp; Management Co. (Global Investors)</t>
  </si>
  <si>
    <t>Strong customer base:</t>
  </si>
  <si>
    <t>A loyal customer base contributes to repeat business.</t>
  </si>
  <si>
    <t>Low Dividend payout ratio:</t>
  </si>
  <si>
    <t>ZGN Divident payout ratio can be considered as Low when compared to the top 25% dividend payers in the luxury market.</t>
  </si>
  <si>
    <t>Ermenegildo Zegna di Monte Rubello</t>
  </si>
  <si>
    <t xml:space="preserve"> Capital Research &amp; Management Co. (World Investors)</t>
  </si>
  <si>
    <t xml:space="preserve"> Invesco Advisers, Inc.</t>
  </si>
  <si>
    <t xml:space="preserve"> Public Investment Fund (Investment Company)</t>
  </si>
  <si>
    <t xml:space="preserve"> Artisan Partners Holdings LP</t>
  </si>
  <si>
    <t xml:space="preserve"> Universal-Investment-Gesellschaft mbH (Invt Mgmt)</t>
  </si>
  <si>
    <t>Opportunities</t>
  </si>
  <si>
    <t>Risks</t>
  </si>
  <si>
    <t>FIL LTD</t>
  </si>
  <si>
    <t>Gam Holding Ag</t>
  </si>
  <si>
    <t>Expansion to emerging markets:</t>
  </si>
  <si>
    <t>Potential growth in emerging luxury markets like China and India.</t>
  </si>
  <si>
    <t>Progressive slowdown in the luxury market:</t>
  </si>
  <si>
    <t>The luxury market is experiencing a slowdown in profits, mostly due to shifts in consumer preferences.</t>
  </si>
  <si>
    <t>Tabor Asset Management, LP</t>
  </si>
  <si>
    <t>Nuveen Asset Management, LLC</t>
  </si>
  <si>
    <t>American Funds Insurance Ser-Global Small Capitalization Fund</t>
  </si>
  <si>
    <t>Diversification:</t>
  </si>
  <si>
    <t>This would allow the brand to appeal to a broader audience.</t>
  </si>
  <si>
    <t>Smallcap World Fund</t>
  </si>
  <si>
    <t>Challenging stock performance:</t>
  </si>
  <si>
    <t>This may lead to concerns among investors.</t>
  </si>
  <si>
    <t>College Retirement Equities Fund-Stock Account</t>
  </si>
  <si>
    <t>Old Westbury Small &amp; Mid Cap Strategies Fund</t>
  </si>
  <si>
    <t>TOTAL</t>
  </si>
  <si>
    <t>NOTES</t>
  </si>
  <si>
    <t>STOCK PERFORMANCE (3 years)</t>
  </si>
  <si>
    <t>Products</t>
  </si>
  <si>
    <t>Nominal value</t>
  </si>
  <si>
    <t>YoY Growth</t>
  </si>
  <si>
    <t>Weight</t>
  </si>
  <si>
    <t>Region</t>
  </si>
  <si>
    <t>EMEA(excuding Italy and UK)</t>
  </si>
  <si>
    <t>Italy</t>
  </si>
  <si>
    <t>Japan</t>
  </si>
  <si>
    <t>Greater china region</t>
  </si>
  <si>
    <t>United States</t>
  </si>
  <si>
    <t>Other</t>
  </si>
  <si>
    <t>Category</t>
  </si>
  <si>
    <t>Zegna branded products</t>
  </si>
  <si>
    <t>Thom Browne</t>
  </si>
  <si>
    <t>Tom Ford Fashion</t>
  </si>
  <si>
    <t>N/A</t>
  </si>
  <si>
    <t>Strategic Alliances</t>
  </si>
  <si>
    <t>Textile</t>
  </si>
  <si>
    <t>Description</t>
  </si>
  <si>
    <t>Graphs</t>
  </si>
  <si>
    <t>Tom ford fashion</t>
  </si>
  <si>
    <t>Collection of fashion from Tom Ford ranging from glasses to suits</t>
  </si>
  <si>
    <t xml:space="preserve">Sale of raw and transformed material to other luxury companies </t>
  </si>
  <si>
    <t>Products from zegna mainly clothing</t>
  </si>
  <si>
    <t>Not so traditional luxury clothing</t>
  </si>
  <si>
    <t>Alliances mainly to do consultation for other big players in the market</t>
  </si>
  <si>
    <t>Industry</t>
  </si>
  <si>
    <t>Graphs (Industry Forecasts)</t>
  </si>
  <si>
    <t>Drivers</t>
  </si>
  <si>
    <t>Casualisation</t>
  </si>
  <si>
    <t>Luxury wear becomes each day more casual and less forma</t>
  </si>
  <si>
    <t>China</t>
  </si>
  <si>
    <t>Growing market in China for luxuxry goods</t>
  </si>
  <si>
    <t>Sales forecast</t>
  </si>
  <si>
    <t>Source</t>
  </si>
  <si>
    <t>Market Growth CAGR</t>
  </si>
  <si>
    <t>Period</t>
  </si>
  <si>
    <t>https://www.statista.com/outlook/cmo/luxury-goods/luxury-fashion/luxury-apparel/worldwide</t>
  </si>
  <si>
    <t>2024-2029</t>
  </si>
  <si>
    <t>https://www.grandviewresearch.com/industry-analysis/luxury-goods-market-report</t>
  </si>
  <si>
    <t>2024-2030</t>
  </si>
  <si>
    <t>https://www.cognitivemarketresearch.com/affordable-luxury-fashion-market-report</t>
  </si>
  <si>
    <t>Average</t>
  </si>
  <si>
    <t>Company's Strategy / Extra Notes</t>
  </si>
  <si>
    <t>Group aims for compounded average annual growth of revenues over 10% and of Adjusted EBIT of around 20%, and a strong Cash Surplus.
Group sees positive momentum across brands and shares the business strategy for Tom Ford Fashion, where it expects revenues to grow at a compounded average rate1 of over 10% in the medium term.</t>
  </si>
  <si>
    <t>Zegna branded products will continue to bet on the silent luxury products</t>
  </si>
  <si>
    <t>Invertir</t>
  </si>
  <si>
    <t>NO invertir</t>
  </si>
  <si>
    <t>Mantener sin elevar posición</t>
  </si>
  <si>
    <t>Mantener (y seguir comprando)</t>
  </si>
  <si>
    <t>Liquidar</t>
  </si>
  <si>
    <t>PENDIENTE</t>
  </si>
  <si>
    <t>Peer Logo</t>
  </si>
  <si>
    <t>Peer Name</t>
  </si>
  <si>
    <t>Brunello Cucinelli SpA is an Italy-based company engaged in the fashion industry. The Company designs, manufactures and sells clothing for woman and men, cashmere products and accessories collections. The Company markets its products through direct retail channel; wholesale monobrand channel, consisting of franchised monobrand retail stores, and wholesale multibrand channel. The Company is active globally.</t>
  </si>
  <si>
    <t>Moncler SpA is an Italy-based company engaged in fashion industry. The Company designs, produces and distributes clothing and accessories through Moncler brand. The Company offers mainly sportswear, outerwear, knitwear and skiwear. Moncler SpA trades its products through approximately 122 stores, as well as through the wholesale distribution channel. Moncler SpA operates in approximately 66 countries.</t>
  </si>
  <si>
    <t>Tod's SpA is an Italy-based holding company. The Company, through its subsidiaries, is primarily engaged in creation, production and distribution of shoes, leather goods and accessories, apparel. The Company operates in the luxury sector under brands, such as TOD'S, ROGER VIVIER, HOGAN and FAY. The Company relies on approximately three channels: directly operated stores (DOS), franchised retail outlets, as well as a series of selected, independent multiband stores.</t>
  </si>
  <si>
    <t>Prada SpA is an Italy-based company engaged in fashion industry. The Company is a parent of the Prada Group. The Company, along with its subsidiaries, is engaged in the design, production and distribution of leather goods, handbags, clothing, eyewear, fragrances, footwear and accessories. The Company trades its products through several brands, such as Prada, Miu Miu, The Church and The Car Shoe. Prada SpA operates in approximately 70 countries through directly operated stores, franchise operated stores, a network of selected multi-brand stores and department stores.</t>
  </si>
  <si>
    <t>Hugo Boss AG is a Germany-based developer and marketer of men's and women's clothing and accessories for the international fashion market. The Company's brand portfolio comprises BOSS, BOSS Orange, Camel, Green, Black, Blue and HUGO and others: BOSS comprises business wear, leisurewear and evening apparel, as well as watches, eyewear and fragrances; BOSS Orange and BOSS Camel focuses on womenswear; BOSS Green comprises sportswear and BOSS Black focuses on modern tailoring, BOSS Blue focuses on denimwear, HUGO provides apparel for both business and leisure, as well as shoes, accessories and licensed fragrances.</t>
  </si>
  <si>
    <t>In Millions USD</t>
  </si>
  <si>
    <t>AVERAGE</t>
  </si>
  <si>
    <t>Deviation from Average</t>
  </si>
  <si>
    <t>Company Info</t>
  </si>
  <si>
    <t>TRAFFIC</t>
  </si>
  <si>
    <t>Market Cap</t>
  </si>
  <si>
    <t>Best Value</t>
  </si>
  <si>
    <t>Net Sales (current)</t>
  </si>
  <si>
    <t>Profitability</t>
  </si>
  <si>
    <t>Important Value</t>
  </si>
  <si>
    <t>Sales Growth (ttm)</t>
  </si>
  <si>
    <t>Sales Growth (36m)</t>
  </si>
  <si>
    <t>Worst Value</t>
  </si>
  <si>
    <t>Net Income Margin</t>
  </si>
  <si>
    <t>Return on Equity (RoE)</t>
  </si>
  <si>
    <t>Return on Invested Capital (ROIC)</t>
  </si>
  <si>
    <t>Solvency</t>
  </si>
  <si>
    <t>Net Debt/EBITDA</t>
  </si>
  <si>
    <t>Interest Coverage Ratio</t>
  </si>
  <si>
    <t>Liquidity</t>
  </si>
  <si>
    <t>Current Ratio</t>
  </si>
  <si>
    <t>Quick Ratio</t>
  </si>
  <si>
    <t>Activity</t>
  </si>
  <si>
    <t>Inventory Turnover</t>
  </si>
  <si>
    <t>Acc. Receivable Turnover</t>
  </si>
  <si>
    <t>Price/Sales</t>
  </si>
  <si>
    <t>Payables Turnover</t>
  </si>
  <si>
    <t>Fixed Asset Turnover</t>
  </si>
  <si>
    <t>Total Asset Turnover</t>
  </si>
  <si>
    <t>Price/Earnings</t>
  </si>
  <si>
    <t>Price/Book</t>
  </si>
  <si>
    <t>EV/Sales</t>
  </si>
  <si>
    <t>EV/EBITDA</t>
  </si>
  <si>
    <t>Stock Info</t>
  </si>
  <si>
    <r>
      <t xml:space="preserve">b </t>
    </r>
    <r>
      <rPr>
        <b/>
        <sz val="10"/>
        <rFont val="Arial"/>
        <family val="2"/>
      </rPr>
      <t>(Yahoo)</t>
    </r>
  </si>
  <si>
    <t>Dividend Yield (yahoo finance)</t>
  </si>
  <si>
    <t>Stock Performance</t>
  </si>
  <si>
    <t>1y</t>
  </si>
  <si>
    <t>3y</t>
  </si>
  <si>
    <t>Current Price</t>
  </si>
  <si>
    <t>Average Target Price</t>
  </si>
  <si>
    <t>Upside/Downside</t>
  </si>
  <si>
    <t>Extra</t>
  </si>
  <si>
    <t>3y Operating Cash Flow</t>
  </si>
  <si>
    <t>R&amp;D/Net Sales</t>
  </si>
  <si>
    <t>Financial Data</t>
  </si>
  <si>
    <t>IS</t>
  </si>
  <si>
    <t>Net Sales (36m ago)</t>
  </si>
  <si>
    <t>Net Sales (12m ago)</t>
  </si>
  <si>
    <t>COGS</t>
  </si>
  <si>
    <t>Operating Income</t>
  </si>
  <si>
    <t>Net Financial Cost</t>
  </si>
  <si>
    <t>Taxes</t>
  </si>
  <si>
    <t>R&amp;D</t>
  </si>
  <si>
    <t>BS</t>
  </si>
  <si>
    <t>Cash &amp; Eq.</t>
  </si>
  <si>
    <t>Acc. Receivables</t>
  </si>
  <si>
    <t>Inventory</t>
  </si>
  <si>
    <t>Current Assets</t>
  </si>
  <si>
    <t>Fixed Assets</t>
  </si>
  <si>
    <t>Acc. Payable</t>
  </si>
  <si>
    <t>Current Liabilities</t>
  </si>
  <si>
    <t>Total Debt</t>
  </si>
  <si>
    <t>Total Equity</t>
  </si>
  <si>
    <t>Avg. FX Rate EUR/USD - 31/12/2023</t>
  </si>
  <si>
    <t>Avg. FX Rate EUR/USD - 31/12/2022</t>
  </si>
  <si>
    <t>Avg. FX Rate EUR/USD - 31/12/2020</t>
  </si>
  <si>
    <t>Company GICS Sector:</t>
  </si>
  <si>
    <t>Consumer Discretionary</t>
  </si>
  <si>
    <t>&lt;- Select Industry</t>
  </si>
  <si>
    <t>ESG Analysis</t>
  </si>
  <si>
    <t>Relative ESG Analysis</t>
  </si>
  <si>
    <t>Parameters</t>
  </si>
  <si>
    <t>Impact</t>
  </si>
  <si>
    <t>Do they report?</t>
  </si>
  <si>
    <t>Ranking</t>
  </si>
  <si>
    <t>Mitigation Plan</t>
  </si>
  <si>
    <t>Traffic Lights</t>
  </si>
  <si>
    <t>Improvement over time?</t>
  </si>
  <si>
    <t>Targets / Goals?</t>
  </si>
  <si>
    <t>Comments</t>
  </si>
  <si>
    <t>Environmental</t>
  </si>
  <si>
    <t>Ratios</t>
  </si>
  <si>
    <t>CO2 Direct Emissions</t>
  </si>
  <si>
    <t>CO2 Emissions/$M Sales</t>
  </si>
  <si>
    <t>Total Water Consumption</t>
  </si>
  <si>
    <t>Water Consumption/$M Sales</t>
  </si>
  <si>
    <t>Total Energy Consumption</t>
  </si>
  <si>
    <t>Medium</t>
  </si>
  <si>
    <t>There was an increase of 50,000 Gj of energy consumption between 2022 and 2023.</t>
  </si>
  <si>
    <t>Energy Consumption/$M Sales</t>
  </si>
  <si>
    <t>Waste Management</t>
  </si>
  <si>
    <t>The company was able to reduce 100 tonnes of waste between 2022 and 2023.</t>
  </si>
  <si>
    <t>Waste Production/$M Sales</t>
  </si>
  <si>
    <t>Land Degradation/Deforestation/Biodiversity loss/Animal sufering/…</t>
  </si>
  <si>
    <t>Inputs</t>
  </si>
  <si>
    <t>Social</t>
  </si>
  <si>
    <t>Net Sales ($M)</t>
  </si>
  <si>
    <t>Employee Turnover %</t>
  </si>
  <si>
    <t>Could not find any information.</t>
  </si>
  <si>
    <t>CO2 Emissions Total (Tonnes)</t>
  </si>
  <si>
    <t>Salaries &amp; Compensation</t>
  </si>
  <si>
    <t>"Villain"</t>
  </si>
  <si>
    <t>The median salarie is 102,715 while the average salarie at Ermenegildo Zegna is 87,694.</t>
  </si>
  <si>
    <t>Water Consumption Total (Cubic Meters)</t>
  </si>
  <si>
    <t>Reputation</t>
  </si>
  <si>
    <t>Energy Consumption Total (Gigajoules)</t>
  </si>
  <si>
    <t>Discrimination Events</t>
  </si>
  <si>
    <t>Waste Production Total (Tonnes)</t>
  </si>
  <si>
    <t>Work Safety</t>
  </si>
  <si>
    <t>"Best in class"</t>
  </si>
  <si>
    <t>None</t>
  </si>
  <si>
    <t>There are no reports of recent accidents at work at the company.</t>
  </si>
  <si>
    <t>ESG Scores</t>
  </si>
  <si>
    <t>Damage to consumer health</t>
  </si>
  <si>
    <t>There are no reports of damages to consumer health made by products of the company.</t>
  </si>
  <si>
    <t>Refinitiv</t>
  </si>
  <si>
    <t>40/100</t>
  </si>
  <si>
    <t>50/100</t>
  </si>
  <si>
    <t>81/100</t>
  </si>
  <si>
    <t>52/100</t>
  </si>
  <si>
    <t>89/100</t>
  </si>
  <si>
    <t>PXP?</t>
  </si>
  <si>
    <t>Could not find any information about the company pension plan.</t>
  </si>
  <si>
    <t>Sustainalytics</t>
  </si>
  <si>
    <t>18.8(Low Risk)</t>
  </si>
  <si>
    <t>8.4(negligible risk)</t>
  </si>
  <si>
    <t>14.8(Low Risk)</t>
  </si>
  <si>
    <t>15.0(Low Risk)</t>
  </si>
  <si>
    <t>12.5(Low Risk)</t>
  </si>
  <si>
    <t>Supply chain</t>
  </si>
  <si>
    <t xml:space="preserve">The company establishes a great relation with their suppliers being a part of their "filera". </t>
  </si>
  <si>
    <t>ISS</t>
  </si>
  <si>
    <t>C</t>
  </si>
  <si>
    <t>C-</t>
  </si>
  <si>
    <t>C+</t>
  </si>
  <si>
    <t>B-</t>
  </si>
  <si>
    <t>Community involvement</t>
  </si>
  <si>
    <t>CDP</t>
  </si>
  <si>
    <t>/C</t>
  </si>
  <si>
    <t>A-/</t>
  </si>
  <si>
    <t>A/F</t>
  </si>
  <si>
    <t>F/F</t>
  </si>
  <si>
    <t>A-/F/B</t>
  </si>
  <si>
    <t>B/</t>
  </si>
  <si>
    <t>Public Sector</t>
  </si>
  <si>
    <t>Litigation</t>
  </si>
  <si>
    <t>Corporate Governance</t>
  </si>
  <si>
    <t>PARAMETERS</t>
  </si>
  <si>
    <t>Diversity (Gender, Age, Industry, Region)</t>
  </si>
  <si>
    <t>3 out of 10 members of the board are women.</t>
  </si>
  <si>
    <t>IMPACT</t>
  </si>
  <si>
    <t>RANKING</t>
  </si>
  <si>
    <t>MITIGATION PLAN</t>
  </si>
  <si>
    <t>% Independence</t>
  </si>
  <si>
    <t>Half of the members of the board are independent.</t>
  </si>
  <si>
    <t>Low</t>
  </si>
  <si>
    <t>Is there evidence of a plan/program ?</t>
  </si>
  <si>
    <t>average time as independent directors</t>
  </si>
  <si>
    <t>The average time as independent director is around 5 years.</t>
  </si>
  <si>
    <t>Medium High</t>
  </si>
  <si>
    <t>Recent departures of directors / C-level executives?</t>
  </si>
  <si>
    <t>The most recent departure was in 2021.</t>
  </si>
  <si>
    <t>High</t>
  </si>
  <si>
    <t>CEO/Chairman duality</t>
  </si>
  <si>
    <t>Both the chairman and CEO positions are occupied by Ermenegildo Zegna</t>
  </si>
  <si>
    <t>Very high</t>
  </si>
  <si>
    <t>Transparency (ESG, segments, acquisitions, other)</t>
  </si>
  <si>
    <t>It was really hard to find the information about the environmental part.</t>
  </si>
  <si>
    <t>Time taken to report after the end of the quarter / year</t>
  </si>
  <si>
    <t>The company took 5 months to publish their report.</t>
  </si>
  <si>
    <t>Additional participation of the CEO in other boards or excessive participation of Ch.</t>
  </si>
  <si>
    <t>The CEO and chairman of the company is only present on Ermenegildo Zegna board.</t>
  </si>
  <si>
    <t>Audit / Consulting</t>
  </si>
  <si>
    <t>The company spent  6,483 in audit and non-audit fees.</t>
  </si>
  <si>
    <t>ESG-compensation related</t>
  </si>
  <si>
    <t>The company offers no ESG-compensation related.</t>
  </si>
  <si>
    <t>Management compensation schemes</t>
  </si>
  <si>
    <t>The Company will pay Non-Executive directors an annual base fee of 150,000 euros per annum payable 50% in cash and 50% in Company's ordinary shares ("Equity Awards"), subject to a restricted stock award.</t>
  </si>
  <si>
    <t>VALUATION MODEL</t>
  </si>
  <si>
    <t>Short Term</t>
  </si>
  <si>
    <t>Long Term</t>
  </si>
  <si>
    <t>Section</t>
  </si>
  <si>
    <t>Line #</t>
  </si>
  <si>
    <t>ITEM</t>
  </si>
  <si>
    <t>2021 (Real)</t>
  </si>
  <si>
    <t>2022 (Real)</t>
  </si>
  <si>
    <t>2023 (Real)</t>
  </si>
  <si>
    <t>INCOME STATEMENT</t>
  </si>
  <si>
    <t>Growth</t>
  </si>
  <si>
    <t>Revenues/Sales</t>
  </si>
  <si>
    <t>EBIT/Operating Margin</t>
  </si>
  <si>
    <t>5a</t>
  </si>
  <si>
    <t>(Dep)</t>
  </si>
  <si>
    <t>5b</t>
  </si>
  <si>
    <t>(Amort)</t>
  </si>
  <si>
    <t>5c</t>
  </si>
  <si>
    <t>(Stock based compensation)</t>
  </si>
  <si>
    <t>(Net financing cost)</t>
  </si>
  <si>
    <t>Other income/(cost)</t>
  </si>
  <si>
    <t>Earnings before taxes</t>
  </si>
  <si>
    <t>(Income tax)</t>
  </si>
  <si>
    <t>Net income</t>
  </si>
  <si>
    <t>CASH FLOW STATEMENT</t>
  </si>
  <si>
    <t>Operating cash flows before WK</t>
  </si>
  <si>
    <t>(Stock-based compensation)</t>
  </si>
  <si>
    <t>(Working Capital Flows)</t>
  </si>
  <si>
    <t>-Total Operating Cash Flow</t>
  </si>
  <si>
    <t>(CAPEX)</t>
  </si>
  <si>
    <t>Adq</t>
  </si>
  <si>
    <t>(Other investing flows)</t>
  </si>
  <si>
    <t>-Total Investing Flows</t>
  </si>
  <si>
    <t>(Flows related to leases)</t>
  </si>
  <si>
    <t>Flows related to debt</t>
  </si>
  <si>
    <t>(Repurchases)/Issuance of stock</t>
  </si>
  <si>
    <t>(Dividends)</t>
  </si>
  <si>
    <t>Other financing flows</t>
  </si>
  <si>
    <t>-Total Financing flows</t>
  </si>
  <si>
    <t>SUMMARY</t>
  </si>
  <si>
    <t>Cash before shareholder returns</t>
  </si>
  <si>
    <t>Returns to shareholders</t>
  </si>
  <si>
    <t>Excess cash acumulation</t>
  </si>
  <si>
    <t>BALANCE SHEET</t>
  </si>
  <si>
    <t>Intangible assets</t>
  </si>
  <si>
    <t>Accumulated amortization</t>
  </si>
  <si>
    <t>PPE+Right of use Assets</t>
  </si>
  <si>
    <t>Accumulated depreciation</t>
  </si>
  <si>
    <t>CASH &amp; DEBT &amp; DISCOUNTING</t>
  </si>
  <si>
    <t>Ending cash balance</t>
  </si>
  <si>
    <t>Discount factor</t>
  </si>
  <si>
    <t>DF + 0.1%</t>
  </si>
  <si>
    <t>+0.1%</t>
  </si>
  <si>
    <t>DF+0.5%</t>
  </si>
  <si>
    <t>+0.5%</t>
  </si>
  <si>
    <t> Discount Rate</t>
  </si>
  <si>
    <t>Risk free rate</t>
  </si>
  <si>
    <t>Equity premium</t>
  </si>
  <si>
    <t>Firm premium</t>
  </si>
  <si>
    <t>Total</t>
  </si>
  <si>
    <t>Modelling factors</t>
  </si>
  <si>
    <t>Reference (line)</t>
  </si>
  <si>
    <t>Depreciation factor</t>
  </si>
  <si>
    <t>Amortization factor</t>
  </si>
  <si>
    <t>Stock-based comp</t>
  </si>
  <si>
    <t>Tax Rate</t>
  </si>
  <si>
    <t>Interest Rate on debt</t>
  </si>
  <si>
    <t>Interest Rate on cash</t>
  </si>
  <si>
    <t>PPE+ROA</t>
  </si>
  <si>
    <t>Working capital flows</t>
  </si>
  <si>
    <t>Intangible Assets</t>
  </si>
  <si>
    <t>Capex</t>
  </si>
  <si>
    <t>Acquisition factor</t>
  </si>
  <si>
    <t>Repurchases</t>
  </si>
  <si>
    <t>Leases</t>
  </si>
  <si>
    <t>% EBITDA</t>
  </si>
  <si>
    <t>$ millions</t>
  </si>
  <si>
    <t>Value of flows</t>
  </si>
  <si>
    <t>Value of perpetuity</t>
  </si>
  <si>
    <t>Total Value</t>
  </si>
  <si>
    <t>Actual share price</t>
  </si>
  <si>
    <t>Total value vs Mkt Cap</t>
  </si>
  <si>
    <t>Estimated NPV per share</t>
  </si>
  <si>
    <t>Sensibility</t>
  </si>
  <si>
    <t>Sensitivity +0.1%</t>
  </si>
  <si>
    <t>Sensitivity +0.5%</t>
  </si>
  <si>
    <t>Notes</t>
  </si>
  <si>
    <t>Price where it'd be a "BUY"</t>
  </si>
  <si>
    <t>Assumptions</t>
  </si>
  <si>
    <t>Prospects:</t>
  </si>
  <si>
    <t>Links:</t>
  </si>
  <si>
    <t>Zegna 2023 Annual Report (20-F)</t>
  </si>
  <si>
    <t>Zegna Q3 2024 earnings call transcript</t>
  </si>
  <si>
    <t xml:space="preserve">5Y Average </t>
  </si>
  <si>
    <t>Short Term Forecast</t>
  </si>
  <si>
    <t>Long Term Forecast</t>
  </si>
  <si>
    <t>Revenue growth</t>
  </si>
  <si>
    <t>Modelling Factors</t>
  </si>
  <si>
    <t>Last 5 Years</t>
  </si>
  <si>
    <t>Reference</t>
  </si>
  <si>
    <t>% PPE</t>
  </si>
  <si>
    <t>% IA</t>
  </si>
  <si>
    <t>--</t>
  </si>
  <si>
    <t>% Revenue</t>
  </si>
  <si>
    <t>% EBT</t>
  </si>
  <si>
    <t>% Debt</t>
  </si>
  <si>
    <t xml:space="preserve">% Cash </t>
  </si>
  <si>
    <t>Growing with CAPEX</t>
  </si>
  <si>
    <t xml:space="preserve">% Change in Revenues </t>
  </si>
  <si>
    <t>Growing with Amortization</t>
  </si>
  <si>
    <t xml:space="preserve">CAPEX </t>
  </si>
  <si>
    <t>% Net Income</t>
  </si>
  <si>
    <t>Forecasts</t>
  </si>
  <si>
    <t>Results</t>
  </si>
  <si>
    <t>Growth vs. Previous year</t>
  </si>
  <si>
    <t>Gross Profit</t>
  </si>
  <si>
    <t>% over sales</t>
  </si>
  <si>
    <t>Operating expenses</t>
  </si>
  <si>
    <t xml:space="preserve">     Growth vs. Previous year</t>
  </si>
  <si>
    <t>Other Expenses (Revenues)</t>
  </si>
  <si>
    <t>Changes Net Working Capital</t>
  </si>
  <si>
    <t>EBITDA Margin</t>
  </si>
  <si>
    <t>% Tax</t>
  </si>
  <si>
    <t>Cash Generated</t>
  </si>
  <si>
    <t>Share buyback</t>
  </si>
  <si>
    <t>FNP''</t>
  </si>
  <si>
    <t>FNP'</t>
  </si>
  <si>
    <t>Payout Ratio</t>
  </si>
  <si>
    <t>Assets</t>
  </si>
  <si>
    <t>Accounts Receivable</t>
  </si>
  <si>
    <t>Property, Plant and Equipment</t>
  </si>
  <si>
    <t>Other Assets</t>
  </si>
  <si>
    <t>Liabilities</t>
  </si>
  <si>
    <t xml:space="preserve">   Short-Term Debt</t>
  </si>
  <si>
    <t xml:space="preserve">   Short-Term Leases</t>
  </si>
  <si>
    <t>Other current liabilities</t>
  </si>
  <si>
    <t>Non-current Liabilities</t>
  </si>
  <si>
    <t xml:space="preserve">   Long-Term Debt</t>
  </si>
  <si>
    <t xml:space="preserve">   Long-Term Leases</t>
  </si>
  <si>
    <t>Other non-current liabilities</t>
  </si>
  <si>
    <t>Net Debt</t>
  </si>
  <si>
    <t>Minority Interest</t>
  </si>
  <si>
    <t xml:space="preserve">Shareholder's Equity </t>
  </si>
  <si>
    <t>Changes in cash</t>
  </si>
  <si>
    <t>Other Data</t>
  </si>
  <si>
    <t>Number of employees</t>
  </si>
  <si>
    <t xml:space="preserve">Shares Outstanding </t>
  </si>
  <si>
    <t>Fitch/ S&amp;P Rating</t>
  </si>
  <si>
    <t>Dividend Yield</t>
  </si>
  <si>
    <t>Daily Volume in Millions of USD</t>
  </si>
  <si>
    <t xml:space="preserve">Short % of Float </t>
  </si>
  <si>
    <t>Corporate Bonds 3, 5 Y 10</t>
  </si>
  <si>
    <t>Average Price</t>
  </si>
  <si>
    <t>Moody's</t>
  </si>
  <si>
    <t>YTM</t>
  </si>
  <si>
    <t>DIVISA</t>
  </si>
  <si>
    <t>Sector</t>
  </si>
  <si>
    <t>Sub-Industry</t>
  </si>
  <si>
    <t>Environment</t>
  </si>
  <si>
    <t>Communication Services</t>
  </si>
  <si>
    <t>Interactive Home Entertainment</t>
  </si>
  <si>
    <t>CO2</t>
  </si>
  <si>
    <t>Water</t>
  </si>
  <si>
    <t>Energy</t>
  </si>
  <si>
    <t>Waste</t>
  </si>
  <si>
    <t>Degradation</t>
  </si>
  <si>
    <t>Turnover</t>
  </si>
  <si>
    <t>Compensation</t>
  </si>
  <si>
    <t>Discrimination</t>
  </si>
  <si>
    <t>Security</t>
  </si>
  <si>
    <t>Damage</t>
  </si>
  <si>
    <t>Pension</t>
  </si>
  <si>
    <t>Supply</t>
  </si>
  <si>
    <t>Community</t>
  </si>
  <si>
    <t>Public</t>
  </si>
  <si>
    <t>Interactive Media &amp; Services</t>
  </si>
  <si>
    <t>Integrated Telecommunication Services</t>
  </si>
  <si>
    <t>Very High</t>
  </si>
  <si>
    <t>Direct CO2 emissions</t>
  </si>
  <si>
    <t>Cable &amp; Satellite</t>
  </si>
  <si>
    <t>Consumer Staples</t>
  </si>
  <si>
    <t>Total Water Use</t>
  </si>
  <si>
    <t>Broadcasting</t>
  </si>
  <si>
    <t>Renewable Energy</t>
  </si>
  <si>
    <t>Movies &amp; Entertainment</t>
  </si>
  <si>
    <t>Financials</t>
  </si>
  <si>
    <t>Forestry</t>
  </si>
  <si>
    <t>Advertising</t>
  </si>
  <si>
    <t>Health Care</t>
  </si>
  <si>
    <t>Land Degradation/Deforestation/Biodiversity loss/Animal sufering/...</t>
  </si>
  <si>
    <t>Alternative Carriers</t>
  </si>
  <si>
    <t>Industrials</t>
  </si>
  <si>
    <t>Publishing</t>
  </si>
  <si>
    <t>Information Technology</t>
  </si>
  <si>
    <t>Employee turnover</t>
  </si>
  <si>
    <t>Wireless Telecommunication Services</t>
  </si>
  <si>
    <t>Materials</t>
  </si>
  <si>
    <t>Salaries and compensation</t>
  </si>
  <si>
    <t>Automotive Retail</t>
  </si>
  <si>
    <t>Real Estate</t>
  </si>
  <si>
    <t>Reputational issues</t>
  </si>
  <si>
    <t>Internet &amp; Direct Marketing Retail</t>
  </si>
  <si>
    <t>Utilities</t>
  </si>
  <si>
    <t>Discrimination issues</t>
  </si>
  <si>
    <t>Auto Parts &amp; Equipment</t>
  </si>
  <si>
    <t>Job security</t>
  </si>
  <si>
    <t>Specialty Stores</t>
  </si>
  <si>
    <t>Health injuries</t>
  </si>
  <si>
    <t>Computer &amp; Electronics Retail</t>
  </si>
  <si>
    <t>Hotels, Resorts &amp; Cruise Lines</t>
  </si>
  <si>
    <t>Tobacco</t>
  </si>
  <si>
    <t>Oil &amp; Gas Exploration &amp; Production</t>
  </si>
  <si>
    <t>Life &amp; Health Insurance</t>
  </si>
  <si>
    <t>Health Care Equipment</t>
  </si>
  <si>
    <t>Industrial Conglomerates</t>
  </si>
  <si>
    <t>IT Consulting &amp; Other Services</t>
  </si>
  <si>
    <t>Industrial Gases</t>
  </si>
  <si>
    <t>Office REITs</t>
  </si>
  <si>
    <t>Independent Power Producers &amp; Energy Traders</t>
  </si>
  <si>
    <t>Restaurants</t>
  </si>
  <si>
    <t>Agricultural Products</t>
  </si>
  <si>
    <t>Oil &amp; Gas Equipment &amp; Services</t>
  </si>
  <si>
    <t>Property &amp; Casualty Insurance</t>
  </si>
  <si>
    <t>Pharmaceuticals</t>
  </si>
  <si>
    <t>Airlines</t>
  </si>
  <si>
    <t>Application Software</t>
  </si>
  <si>
    <t>Specialty Chemicals</t>
  </si>
  <si>
    <t>Specialized REITs</t>
  </si>
  <si>
    <t>Electric Utilities</t>
  </si>
  <si>
    <t>Homebuilding</t>
  </si>
  <si>
    <t>Distillers &amp; Vintners</t>
  </si>
  <si>
    <t>Integrated Oil &amp; Gas</t>
  </si>
  <si>
    <t>Consumer Finance</t>
  </si>
  <si>
    <t>Health Care Supplies</t>
  </si>
  <si>
    <t>Building Products</t>
  </si>
  <si>
    <t>Semiconductors</t>
  </si>
  <si>
    <t>Paper Packaging</t>
  </si>
  <si>
    <t>Residential REITs</t>
  </si>
  <si>
    <t>Multi-Utilities</t>
  </si>
  <si>
    <t>General Merchandise Stores</t>
  </si>
  <si>
    <t>Packaged Foods &amp; Meats</t>
  </si>
  <si>
    <t>Oil &amp; Gas Refining &amp; Marketing</t>
  </si>
  <si>
    <t>Asset Management &amp; Custody Banks</t>
  </si>
  <si>
    <t>Health Care Distributors</t>
  </si>
  <si>
    <t>Electrical Components &amp; Equipment</t>
  </si>
  <si>
    <t>Internet Services &amp; Infrastructure</t>
  </si>
  <si>
    <t>Metal &amp; Glass Containers</t>
  </si>
  <si>
    <t>Real Estate Services</t>
  </si>
  <si>
    <t>Water Utilities</t>
  </si>
  <si>
    <t>Automobile Manufacturers</t>
  </si>
  <si>
    <t>Household Products</t>
  </si>
  <si>
    <t>Oil &amp; Gas Storage &amp; Transportation</t>
  </si>
  <si>
    <t>Insurance Brokers</t>
  </si>
  <si>
    <t>Biotechnology</t>
  </si>
  <si>
    <t>Aerospace &amp; Defense</t>
  </si>
  <si>
    <t>Electronic Components</t>
  </si>
  <si>
    <t>Fertilizers &amp; Agricultural Chemicals</t>
  </si>
  <si>
    <t>Industrial REITs</t>
  </si>
  <si>
    <t>Gas Utilities</t>
  </si>
  <si>
    <t>Apparel Retail</t>
  </si>
  <si>
    <t>Soft Drinks</t>
  </si>
  <si>
    <t>Multi-line Insurance</t>
  </si>
  <si>
    <t>Managed Health Care</t>
  </si>
  <si>
    <t>Air Freight &amp; Logistics</t>
  </si>
  <si>
    <t>Technology Hardware, Storage &amp; Peripherals</t>
  </si>
  <si>
    <t>Commodity Chemicals</t>
  </si>
  <si>
    <t>Retail REITs</t>
  </si>
  <si>
    <t>Consumer Electronics</t>
  </si>
  <si>
    <t>Hypermarkets &amp; Super Centers</t>
  </si>
  <si>
    <t>Diversified Banks</t>
  </si>
  <si>
    <t>Life Sciences Tools &amp; Services</t>
  </si>
  <si>
    <t>Construction Machinery &amp; Heavy Trucks</t>
  </si>
  <si>
    <t>Semiconductor Equipment</t>
  </si>
  <si>
    <t>Diversified Chemicals</t>
  </si>
  <si>
    <t>Health Care REITs</t>
  </si>
  <si>
    <t>Apparel, Accessories &amp; Luxury Goods</t>
  </si>
  <si>
    <t>Personal Products</t>
  </si>
  <si>
    <t>Multi-Sector Holdings</t>
  </si>
  <si>
    <t>Health Care Technology</t>
  </si>
  <si>
    <t>Diversified Support Services</t>
  </si>
  <si>
    <t>Communications Equipment</t>
  </si>
  <si>
    <t>Copper</t>
  </si>
  <si>
    <t>Hotel &amp; Resort REITs</t>
  </si>
  <si>
    <t>Leisure Products</t>
  </si>
  <si>
    <t>Food Retail</t>
  </si>
  <si>
    <t>Financial Exchanges &amp; Data</t>
  </si>
  <si>
    <t>Health Care Services</t>
  </si>
  <si>
    <t>Railroads</t>
  </si>
  <si>
    <t>Data Processing &amp; Outsourced Services</t>
  </si>
  <si>
    <t>Construction Materials</t>
  </si>
  <si>
    <t>Home Improvement Retail</t>
  </si>
  <si>
    <t>Brewers</t>
  </si>
  <si>
    <t>Investment Banking &amp; Brokerage</t>
  </si>
  <si>
    <t>Health Care Facilities</t>
  </si>
  <si>
    <t>Industrial Machinery</t>
  </si>
  <si>
    <t>Technology Distributors</t>
  </si>
  <si>
    <t>Gold</t>
  </si>
  <si>
    <t>Casinos &amp; Gaming</t>
  </si>
  <si>
    <t>Food Distributors</t>
  </si>
  <si>
    <t>Regional Banks</t>
  </si>
  <si>
    <t>Agricultural &amp; Farm Machinery</t>
  </si>
  <si>
    <t>Electronic Equipment &amp; Instruments</t>
  </si>
  <si>
    <t>Steel</t>
  </si>
  <si>
    <t>Home Furnishings</t>
  </si>
  <si>
    <t>Drug Retail</t>
  </si>
  <si>
    <t>Reinsurance</t>
  </si>
  <si>
    <t>Research &amp; Consulting Services</t>
  </si>
  <si>
    <t>Systems Software</t>
  </si>
  <si>
    <t>Distributors</t>
  </si>
  <si>
    <t>Thrifts &amp; Mortgage Finance</t>
  </si>
  <si>
    <t>Construction &amp; Engineering</t>
  </si>
  <si>
    <t>Electronic Manufacturing Services</t>
  </si>
  <si>
    <t>Housewares &amp; Specialties</t>
  </si>
  <si>
    <t>Trucking</t>
  </si>
  <si>
    <t>Household Appliances</t>
  </si>
  <si>
    <t>Environmental &amp; Facilities Services</t>
  </si>
  <si>
    <t>Human Resource &amp; Employment Services</t>
  </si>
  <si>
    <t>Trading Companies &amp; Distributors</t>
  </si>
  <si>
    <t>Figures in Millions of USD</t>
  </si>
  <si>
    <t>Company</t>
  </si>
  <si>
    <t>Report in millions</t>
  </si>
  <si>
    <t>RESULTS</t>
  </si>
  <si>
    <t>Hoja</t>
  </si>
  <si>
    <t>Nombre campo Bloomberg</t>
  </si>
  <si>
    <t>Cambio de signo</t>
  </si>
  <si>
    <t>Income Statement</t>
  </si>
  <si>
    <t>Sales</t>
  </si>
  <si>
    <t>Ingreso</t>
  </si>
  <si>
    <t xml:space="preserve">    + Coste de bienes y servicios</t>
  </si>
  <si>
    <t xml:space="preserve">    + Ventas, generales y admin</t>
  </si>
  <si>
    <t>investment income+other income expense+income loss+minority interest+non controlling interest+share onf net profit+gain8losses) on equity investments+share of result from associates nd joint ventures+non operating profit+</t>
  </si>
  <si>
    <t xml:space="preserve">    + Investigación y desarrollo</t>
  </si>
  <si>
    <t xml:space="preserve">    + Coste de financiación de beneficio</t>
  </si>
  <si>
    <t xml:space="preserve">    + Otro gasto operativo</t>
  </si>
  <si>
    <t xml:space="preserve">  - Beneficio (pérdida) de filiales</t>
  </si>
  <si>
    <t xml:space="preserve">  - Minoritarios</t>
  </si>
  <si>
    <t>interest expense+financial income and expenses+other financial expense-income+interest and other net+</t>
  </si>
  <si>
    <t xml:space="preserve">  - Ingreso (pérdida) no operacional</t>
  </si>
  <si>
    <t xml:space="preserve">  - Gasto de impuesto a la renta (Beneficio)</t>
  </si>
  <si>
    <t>Flujo de caja</t>
  </si>
  <si>
    <t xml:space="preserve">  + Ingreso neto</t>
  </si>
  <si>
    <t>FINANCIAL POSITION</t>
  </si>
  <si>
    <t>Weighted Average Shares (Basic NI)</t>
  </si>
  <si>
    <t>Weighted Average Shares (Diluted NI)</t>
  </si>
  <si>
    <t>Net gains (losses) from ForEx</t>
  </si>
  <si>
    <t>Total Comprehensive Income</t>
  </si>
  <si>
    <t>cash flows</t>
  </si>
  <si>
    <t>NWC</t>
  </si>
  <si>
    <t>Net Working Capital</t>
  </si>
  <si>
    <t xml:space="preserve">  + Dividendos pagados</t>
  </si>
  <si>
    <t>Cambiar signo</t>
  </si>
  <si>
    <t xml:space="preserve">    + Aumento en capital</t>
  </si>
  <si>
    <t xml:space="preserve">    + Baja en capital</t>
  </si>
  <si>
    <t>Cambiar signo y hacer suma</t>
  </si>
  <si>
    <t>ASSETS</t>
  </si>
  <si>
    <t>Current</t>
  </si>
  <si>
    <t>Balance Sheet</t>
  </si>
  <si>
    <t>Balance</t>
  </si>
  <si>
    <t xml:space="preserve">  + Efectivo, equivalentes y STI</t>
  </si>
  <si>
    <t>Other Current Assets</t>
  </si>
  <si>
    <t xml:space="preserve">  + Cuentas y notas por cobrar</t>
  </si>
  <si>
    <t xml:space="preserve">    + Activos derivados y de cobertura</t>
  </si>
  <si>
    <t xml:space="preserve">  + Inversiones y cuentas por cobrar a LP</t>
  </si>
  <si>
    <t>Non-current</t>
  </si>
  <si>
    <t xml:space="preserve">  + Inventarios</t>
  </si>
  <si>
    <t>Operating leases</t>
  </si>
  <si>
    <t>Equity Method Investments</t>
  </si>
  <si>
    <t>Other Non-Current Assets</t>
  </si>
  <si>
    <t xml:space="preserve">  + Propiedad, planta y equipo; neto</t>
  </si>
  <si>
    <t>Activos totales</t>
  </si>
  <si>
    <t>LIABILITIES</t>
  </si>
  <si>
    <t>Payables</t>
  </si>
  <si>
    <t>Short term Debt</t>
  </si>
  <si>
    <t>Pasivos totales corrientes</t>
  </si>
  <si>
    <t xml:space="preserve">    + Préstamos CP</t>
  </si>
  <si>
    <t>Total non current liabilities</t>
  </si>
  <si>
    <t>Long term debt</t>
  </si>
  <si>
    <t>Pasivos totales no corrientes</t>
  </si>
  <si>
    <t>Other non current Liabilities</t>
  </si>
  <si>
    <t xml:space="preserve">    + Préstamos a largo plazo</t>
  </si>
  <si>
    <t xml:space="preserve">  + Participación minoritaria/no dominante</t>
  </si>
  <si>
    <t>CASH FLOW</t>
  </si>
  <si>
    <t>Changes in assets and liabilities</t>
  </si>
  <si>
    <t>Other Adjustments</t>
  </si>
  <si>
    <t>Other Inflows (Outflows)</t>
  </si>
  <si>
    <t>Debt Borrowing</t>
  </si>
  <si>
    <t>Debt Repayment</t>
  </si>
  <si>
    <t>Lease Payments</t>
  </si>
  <si>
    <t>Lease Increases</t>
  </si>
  <si>
    <t>cash flows FINANCING</t>
  </si>
  <si>
    <t>Dividends paid</t>
  </si>
  <si>
    <t>(Vitalis will later fill this info)</t>
  </si>
  <si>
    <t xml:space="preserve">Other Data </t>
  </si>
  <si>
    <t xml:space="preserve">Average Price </t>
  </si>
  <si>
    <t xml:space="preserve">Number of employees </t>
  </si>
  <si>
    <t>10-K</t>
  </si>
  <si>
    <t>bloomberg</t>
  </si>
  <si>
    <t>Shares Outstanding (Thousands)</t>
  </si>
  <si>
    <t>250.31M</t>
  </si>
  <si>
    <t>Yahoo finance</t>
  </si>
  <si>
    <t>59.07M</t>
  </si>
  <si>
    <t>Dividend Yield(Yahoo Finance)</t>
  </si>
  <si>
    <t>Yahoo Finance</t>
  </si>
  <si>
    <t>€0.52</t>
  </si>
  <si>
    <t>€0.21</t>
  </si>
  <si>
    <t>-€0.68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</si>
</sst>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5">
    <numFmt numFmtId="164" formatCode="_-* #,##0.00_-;\-* #,##0.00_-;_-* &quot;-&quot;??_-;_-@_-"/>
    <numFmt numFmtId="165" formatCode="_-&quot;$&quot;* #,##0.00_-;\-&quot;$&quot;* #,##0.00_-;_-&quot;$&quot;* &quot;-&quot;??_-;_-@_-"/>
    <numFmt numFmtId="166" formatCode="&quot;$&quot;#,##0.00"/>
    <numFmt numFmtId="167" formatCode="&quot;$&quot;#,##0"/>
    <numFmt numFmtId="168" formatCode="0.0%"/>
    <numFmt numFmtId="169" formatCode="0.0"/>
    <numFmt numFmtId="170" formatCode="#,##0.0"/>
    <numFmt numFmtId="171" formatCode="[$$-409]#,##0.00_ ;\-[$$-409]#,##0.00\ "/>
    <numFmt numFmtId="172" formatCode="[$$-409]#,##0.00"/>
    <numFmt numFmtId="173" formatCode="[$$-409]#,##0"/>
    <numFmt numFmtId="174" formatCode="_-[$$-409]* #,##0.00_ ;_-[$$-409]* \-#,##0.00\ ;_-[$$-409]* &quot;-&quot;??_ ;_-@_ "/>
    <numFmt numFmtId="175" formatCode="_([$$-409]* #,##0.00_);_([$$-409]* \(#,##0.00\);_([$$-409]* &quot;-&quot;??_);_(@_)"/>
    <numFmt numFmtId="176" formatCode="[$$-C09]#,##0.00"/>
    <numFmt numFmtId="177" formatCode="#,##0_ ;\-#,##0\ "/>
    <numFmt numFmtId="178" formatCode="0.000"/>
  </numFmts>
  <fonts count="90">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2"/>
      <name val="Arial"/>
      <family val="2"/>
    </font>
    <font>
      <u/>
      <sz val="10"/>
      <color indexed="12"/>
      <name val="Arial"/>
      <family val="2"/>
    </font>
    <font>
      <sz val="10"/>
      <color indexed="8"/>
      <name val="Arial"/>
      <family val="2"/>
    </font>
    <font>
      <sz val="10"/>
      <name val="Arial"/>
      <family val="2"/>
    </font>
    <font>
      <b/>
      <sz val="10"/>
      <name val="Arial"/>
      <family val="2"/>
    </font>
    <font>
      <b/>
      <sz val="10"/>
      <name val="Symbol"/>
      <family val="1"/>
      <charset val="2"/>
    </font>
    <font>
      <sz val="10"/>
      <name val="Symbol"/>
      <family val="1"/>
      <charset val="2"/>
    </font>
    <font>
      <b/>
      <sz val="16"/>
      <color indexed="9"/>
      <name val="Arial"/>
      <family val="2"/>
    </font>
    <font>
      <b/>
      <sz val="10"/>
      <color indexed="9"/>
      <name val="Arial"/>
      <family val="2"/>
    </font>
    <font>
      <b/>
      <sz val="10"/>
      <color indexed="8"/>
      <name val="Arial"/>
      <family val="2"/>
    </font>
    <font>
      <sz val="10"/>
      <color indexed="63"/>
      <name val="Arial"/>
      <family val="2"/>
    </font>
    <font>
      <i/>
      <sz val="10"/>
      <color indexed="8"/>
      <name val="Arial"/>
      <family val="2"/>
    </font>
    <font>
      <b/>
      <sz val="9.3000000000000007"/>
      <name val="Arial"/>
      <family val="2"/>
    </font>
    <font>
      <sz val="10"/>
      <name val="Arial"/>
      <family val="2"/>
    </font>
    <font>
      <b/>
      <sz val="11"/>
      <name val="Arial"/>
      <family val="2"/>
    </font>
    <font>
      <sz val="11"/>
      <color theme="1"/>
      <name val="Calibri"/>
      <family val="2"/>
      <scheme val="minor"/>
    </font>
    <font>
      <sz val="10"/>
      <color rgb="FFFF0000"/>
      <name val="Arial"/>
      <family val="2"/>
    </font>
    <font>
      <sz val="10"/>
      <color theme="0"/>
      <name val="Arial"/>
      <family val="2"/>
    </font>
    <font>
      <b/>
      <sz val="10"/>
      <color theme="0"/>
      <name val="Arial"/>
      <family val="2"/>
    </font>
    <font>
      <b/>
      <sz val="11"/>
      <color theme="3"/>
      <name val="Arial"/>
      <family val="2"/>
    </font>
    <font>
      <sz val="10"/>
      <color rgb="FF333333"/>
      <name val="Arial"/>
      <family val="2"/>
    </font>
    <font>
      <b/>
      <sz val="14"/>
      <color rgb="FFFF0000"/>
      <name val="Arial"/>
      <family val="2"/>
    </font>
    <font>
      <b/>
      <sz val="16"/>
      <color theme="0"/>
      <name val="Arial"/>
      <family val="2"/>
    </font>
    <font>
      <sz val="10"/>
      <color rgb="FF92D050"/>
      <name val="Arial"/>
      <family val="2"/>
    </font>
    <font>
      <sz val="10"/>
      <color theme="1"/>
      <name val="Arial"/>
      <family val="2"/>
    </font>
    <font>
      <sz val="10"/>
      <color rgb="FF000000"/>
      <name val="Arial"/>
      <family val="2"/>
    </font>
    <font>
      <sz val="11"/>
      <name val="Arial"/>
      <family val="2"/>
    </font>
    <font>
      <sz val="11"/>
      <color theme="1"/>
      <name val="Arial"/>
      <family val="2"/>
    </font>
    <font>
      <sz val="12"/>
      <color rgb="FFFFFFFF"/>
      <name val="Calibri"/>
      <family val="2"/>
    </font>
    <font>
      <sz val="7.5"/>
      <name val="Arial"/>
      <family val="2"/>
    </font>
    <font>
      <sz val="9"/>
      <name val="Arial"/>
      <family val="2"/>
    </font>
    <font>
      <b/>
      <sz val="9"/>
      <name val="Arial"/>
      <family val="2"/>
    </font>
    <font>
      <sz val="7.5"/>
      <color theme="0"/>
      <name val="Arial"/>
      <family val="2"/>
    </font>
    <font>
      <b/>
      <sz val="7.5"/>
      <name val="Arial"/>
      <family val="2"/>
    </font>
    <font>
      <b/>
      <sz val="16"/>
      <name val="Arial"/>
      <family val="2"/>
    </font>
    <font>
      <b/>
      <u/>
      <sz val="10"/>
      <color theme="4"/>
      <name val="Arial"/>
      <family val="2"/>
    </font>
    <font>
      <b/>
      <sz val="14"/>
      <name val="Arial"/>
      <family val="2"/>
    </font>
    <font>
      <b/>
      <sz val="14"/>
      <color theme="0"/>
      <name val="Arial"/>
      <family val="2"/>
    </font>
    <font>
      <b/>
      <sz val="12"/>
      <color theme="0"/>
      <name val="Arial"/>
      <family val="2"/>
    </font>
    <font>
      <b/>
      <sz val="9"/>
      <color theme="0"/>
      <name val="Arial"/>
      <family val="2"/>
    </font>
    <font>
      <b/>
      <sz val="8"/>
      <color theme="0"/>
      <name val="Arial"/>
      <family val="2"/>
    </font>
    <font>
      <b/>
      <sz val="11"/>
      <color theme="0"/>
      <name val="Arial"/>
      <family val="2"/>
    </font>
    <font>
      <b/>
      <sz val="12"/>
      <color indexed="9"/>
      <name val="Arial"/>
      <family val="2"/>
    </font>
    <font>
      <b/>
      <sz val="10"/>
      <color rgb="FFFF0000"/>
      <name val="Arial"/>
      <family val="2"/>
    </font>
    <font>
      <sz val="16"/>
      <color theme="0"/>
      <name val="Arial"/>
      <family val="2"/>
    </font>
    <font>
      <sz val="11"/>
      <color rgb="FF000000"/>
      <name val="Calibri"/>
      <family val="2"/>
    </font>
    <font>
      <b/>
      <sz val="16"/>
      <color rgb="FFFFFFFF"/>
      <name val="Arial"/>
      <family val="2"/>
    </font>
    <font>
      <b/>
      <sz val="11"/>
      <color rgb="FF000000"/>
      <name val="Calibri"/>
      <family val="2"/>
    </font>
    <font>
      <b/>
      <sz val="11"/>
      <name val="Calibri"/>
      <family val="2"/>
    </font>
    <font>
      <sz val="10"/>
      <color rgb="FFFFFFFF"/>
      <name val="Arial"/>
      <family val="2"/>
    </font>
    <font>
      <sz val="11"/>
      <name val="Calibri"/>
      <family val="2"/>
    </font>
    <font>
      <sz val="11"/>
      <color rgb="FFC00000"/>
      <name val="Calibri"/>
      <family val="2"/>
    </font>
    <font>
      <b/>
      <sz val="14"/>
      <color rgb="FF000000"/>
      <name val="Calibri"/>
      <family val="2"/>
    </font>
    <font>
      <sz val="11"/>
      <color theme="1"/>
      <name val="Calibri"/>
      <family val="2"/>
    </font>
    <font>
      <sz val="10"/>
      <color rgb="FF232A31"/>
      <name val="Arial"/>
      <family val="2"/>
    </font>
    <font>
      <b/>
      <sz val="10"/>
      <color rgb="FF000000"/>
      <name val="Arial"/>
      <family val="2"/>
    </font>
    <font>
      <b/>
      <sz val="11"/>
      <color theme="1"/>
      <name val="Calibri"/>
      <family val="2"/>
      <scheme val="minor"/>
    </font>
    <font>
      <sz val="11"/>
      <color theme="0"/>
      <name val="Calibri"/>
      <family val="2"/>
    </font>
    <font>
      <sz val="12"/>
      <name val="Arial"/>
      <family val="2"/>
    </font>
    <font>
      <b/>
      <sz val="11"/>
      <color rgb="FF374151"/>
      <name val="Arial"/>
      <family val="2"/>
    </font>
    <font>
      <sz val="11"/>
      <color rgb="FFFF0000"/>
      <name val="Calibri"/>
      <family val="2"/>
    </font>
    <font>
      <sz val="10"/>
      <name val="Calibri"/>
      <family val="2"/>
      <charset val="1"/>
    </font>
    <font>
      <sz val="14"/>
      <name val="Arial"/>
      <family val="2"/>
    </font>
    <font>
      <sz val="8"/>
      <color theme="0"/>
      <name val="Arial"/>
      <family val="2"/>
    </font>
    <font>
      <b/>
      <sz val="12"/>
      <color rgb="FF000000"/>
      <name val="Arial"/>
      <family val="2"/>
    </font>
    <font>
      <b/>
      <sz val="8"/>
      <color rgb="FFFFFFFF"/>
      <name val="Arial"/>
      <family val="2"/>
    </font>
    <font>
      <b/>
      <sz val="11"/>
      <color rgb="FFFFFFFF"/>
      <name val="Arial"/>
      <family val="2"/>
    </font>
    <font>
      <i/>
      <sz val="10"/>
      <name val="Arial"/>
      <family val="2"/>
    </font>
    <font>
      <b/>
      <sz val="11"/>
      <color rgb="FF000000"/>
      <name val="Calibri"/>
      <family val="2"/>
      <scheme val="minor"/>
    </font>
    <font>
      <b/>
      <sz val="11"/>
      <color indexed="9"/>
      <name val="Arial"/>
      <family val="2"/>
    </font>
    <font>
      <sz val="10"/>
      <name val="Arial"/>
      <family val="2"/>
    </font>
    <font>
      <sz val="9"/>
      <name val="宋体"/>
      <family val="3"/>
      <charset val="134"/>
    </font>
    <font>
      <b/>
      <sz val="10"/>
      <color rgb="FF000000"/>
      <name val="Calibri"/>
      <family val="2"/>
    </font>
    <font>
      <b/>
      <sz val="10"/>
      <color rgb="FF000000"/>
      <name val="Tahoma"/>
      <family val="2"/>
    </font>
    <font>
      <sz val="10"/>
      <color rgb="FF000000"/>
      <name val="Tahoma"/>
      <family val="2"/>
    </font>
    <font>
      <i/>
      <sz val="10"/>
      <color rgb="FF000000"/>
      <name val="Arial"/>
      <family val="2"/>
    </font>
    <font>
      <sz val="11"/>
      <color rgb="FF000000"/>
      <name val="Calibri"/>
      <family val="2"/>
      <scheme val="minor"/>
    </font>
    <font>
      <b/>
      <sz val="9"/>
      <color indexed="81"/>
      <name val="Tahoma"/>
      <charset val="1"/>
    </font>
    <font>
      <sz val="9"/>
      <color indexed="81"/>
      <name val="Tahoma"/>
      <family val="2"/>
    </font>
    <font>
      <b/>
      <sz val="9"/>
      <color indexed="81"/>
      <name val="Tahoma"/>
      <family val="2"/>
    </font>
    <font>
      <b/>
      <i/>
      <sz val="9"/>
      <color indexed="81"/>
      <name val="Tahoma"/>
      <family val="2"/>
    </font>
  </fonts>
  <fills count="47">
    <fill>
      <patternFill patternType="none"/>
    </fill>
    <fill>
      <patternFill patternType="gray125"/>
    </fill>
    <fill>
      <patternFill patternType="solid">
        <fgColor rgb="FF4F81BD"/>
        <bgColor indexed="64"/>
      </patternFill>
    </fill>
    <fill>
      <patternFill patternType="solid">
        <fgColor rgb="FFFFFFFF"/>
        <bgColor indexed="64"/>
      </patternFill>
    </fill>
    <fill>
      <patternFill patternType="solid">
        <fgColor rgb="FFF2F2F2"/>
        <bgColor indexed="64"/>
      </patternFill>
    </fill>
    <fill>
      <patternFill patternType="solid">
        <fgColor theme="3"/>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rgb="FF00B0F0"/>
        <bgColor indexed="64"/>
      </patternFill>
    </fill>
    <fill>
      <patternFill patternType="solid">
        <fgColor rgb="FF7030A0"/>
        <bgColor indexed="64"/>
      </patternFill>
    </fill>
    <fill>
      <patternFill patternType="solid">
        <fgColor rgb="FFFFFF00"/>
        <bgColor indexed="64"/>
      </patternFill>
    </fill>
    <fill>
      <patternFill patternType="solid">
        <fgColor theme="5"/>
        <bgColor indexed="64"/>
      </patternFill>
    </fill>
    <fill>
      <patternFill patternType="solid">
        <fgColor theme="3" tint="0.79998168889431442"/>
        <bgColor indexed="64"/>
      </patternFill>
    </fill>
    <fill>
      <patternFill patternType="solid">
        <fgColor theme="8" tint="-0.249977111117893"/>
        <bgColor indexed="64"/>
      </patternFill>
    </fill>
    <fill>
      <patternFill patternType="solid">
        <fgColor theme="9" tint="-0.249977111117893"/>
        <bgColor indexed="64"/>
      </patternFill>
    </fill>
    <fill>
      <patternFill patternType="solid">
        <fgColor theme="0" tint="-4.9989318521683403E-2"/>
        <bgColor indexed="64"/>
      </patternFill>
    </fill>
    <fill>
      <patternFill patternType="solid">
        <fgColor theme="1"/>
        <bgColor indexed="64"/>
      </patternFill>
    </fill>
    <fill>
      <patternFill patternType="solid">
        <fgColor indexed="57"/>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2" tint="-0.249977111117893"/>
        <bgColor indexed="64"/>
      </patternFill>
    </fill>
    <fill>
      <patternFill patternType="solid">
        <fgColor rgb="FF00B050"/>
        <bgColor indexed="64"/>
      </patternFill>
    </fill>
    <fill>
      <patternFill patternType="solid">
        <fgColor theme="4" tint="0.79998168889431442"/>
        <bgColor indexed="64"/>
      </patternFill>
    </fill>
    <fill>
      <patternFill patternType="solid">
        <fgColor rgb="FFBBF0FB"/>
        <bgColor indexed="64"/>
      </patternFill>
    </fill>
    <fill>
      <patternFill patternType="solid">
        <fgColor rgb="FF9AFCBB"/>
        <bgColor indexed="64"/>
      </patternFill>
    </fill>
    <fill>
      <patternFill patternType="solid">
        <fgColor rgb="FF91E8F9"/>
        <bgColor indexed="64"/>
      </patternFill>
    </fill>
    <fill>
      <patternFill patternType="solid">
        <fgColor rgb="FF92D050"/>
        <bgColor indexed="64"/>
      </patternFill>
    </fill>
    <fill>
      <patternFill patternType="solid">
        <fgColor rgb="FF002060"/>
        <bgColor indexed="64"/>
      </patternFill>
    </fill>
    <fill>
      <patternFill patternType="solid">
        <fgColor rgb="FF339966"/>
        <bgColor indexed="64"/>
      </patternFill>
    </fill>
    <fill>
      <patternFill patternType="solid">
        <fgColor rgb="FF1F497D"/>
        <bgColor indexed="64"/>
      </patternFill>
    </fill>
    <fill>
      <patternFill patternType="solid">
        <fgColor rgb="FF1B7087"/>
        <bgColor indexed="64"/>
      </patternFill>
    </fill>
    <fill>
      <patternFill patternType="solid">
        <fgColor theme="0" tint="-0.249977111117893"/>
        <bgColor indexed="64"/>
      </patternFill>
    </fill>
    <fill>
      <patternFill patternType="solid">
        <fgColor theme="1" tint="0.499984740745262"/>
        <bgColor indexed="64"/>
      </patternFill>
    </fill>
    <fill>
      <patternFill patternType="solid">
        <fgColor rgb="FFC5D9F1"/>
        <bgColor indexed="64"/>
      </patternFill>
    </fill>
    <fill>
      <patternFill patternType="solid">
        <fgColor rgb="FF1F497D"/>
        <bgColor rgb="FF000000"/>
      </patternFill>
    </fill>
    <fill>
      <patternFill patternType="solid">
        <fgColor rgb="FFDAEEF3"/>
        <bgColor rgb="FF000000"/>
      </patternFill>
    </fill>
    <fill>
      <patternFill patternType="solid">
        <fgColor rgb="FFDDD9C4"/>
        <bgColor rgb="FF000000"/>
      </patternFill>
    </fill>
    <fill>
      <patternFill patternType="solid">
        <fgColor rgb="FFFFFF00"/>
        <bgColor rgb="FF000000"/>
      </patternFill>
    </fill>
    <fill>
      <patternFill patternType="solid">
        <fgColor rgb="FFD9D9D9"/>
        <bgColor rgb="FF000000"/>
      </patternFill>
    </fill>
    <fill>
      <patternFill patternType="solid">
        <fgColor rgb="FFFDE9D9"/>
        <bgColor rgb="FF000000"/>
      </patternFill>
    </fill>
    <fill>
      <patternFill patternType="solid">
        <fgColor theme="0"/>
        <bgColor rgb="FF000000"/>
      </patternFill>
    </fill>
    <fill>
      <patternFill patternType="solid">
        <fgColor theme="2" tint="-9.9978637043366805E-2"/>
        <bgColor indexed="64"/>
      </patternFill>
    </fill>
    <fill>
      <patternFill patternType="solid">
        <fgColor rgb="FFFF0000"/>
        <bgColor rgb="FF000000"/>
      </patternFill>
    </fill>
    <fill>
      <patternFill patternType="solid">
        <fgColor rgb="FF00B050"/>
        <bgColor rgb="FF000000"/>
      </patternFill>
    </fill>
    <fill>
      <patternFill patternType="solid">
        <fgColor rgb="FFFFFFFF"/>
        <bgColor rgb="FF000000"/>
      </patternFill>
    </fill>
  </fills>
  <borders count="256">
    <border>
      <left/>
      <right/>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medium">
        <color theme="3"/>
      </left>
      <right/>
      <top style="thin">
        <color theme="0" tint="-0.499984740745262"/>
      </top>
      <bottom style="thin">
        <color theme="0" tint="-0.499984740745262"/>
      </bottom>
      <diagonal/>
    </border>
    <border>
      <left style="medium">
        <color theme="3"/>
      </left>
      <right/>
      <top style="thin">
        <color theme="0" tint="-0.499984740745262"/>
      </top>
      <bottom/>
      <diagonal/>
    </border>
    <border>
      <left style="medium">
        <color theme="3"/>
      </left>
      <right/>
      <top/>
      <bottom/>
      <diagonal/>
    </border>
    <border>
      <left/>
      <right style="medium">
        <color theme="3"/>
      </right>
      <top style="thin">
        <color theme="0" tint="-0.499984740745262"/>
      </top>
      <bottom style="thin">
        <color theme="0" tint="-0.499984740745262"/>
      </bottom>
      <diagonal/>
    </border>
    <border>
      <left/>
      <right style="medium">
        <color theme="3"/>
      </right>
      <top/>
      <bottom/>
      <diagonal/>
    </border>
    <border>
      <left style="medium">
        <color theme="3"/>
      </left>
      <right/>
      <top/>
      <bottom style="thin">
        <color theme="0" tint="-0.499984740745262"/>
      </bottom>
      <diagonal/>
    </border>
    <border>
      <left style="medium">
        <color theme="3"/>
      </left>
      <right/>
      <top/>
      <bottom style="medium">
        <color theme="3"/>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medium">
        <color theme="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medium">
        <color theme="3"/>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right/>
      <top style="medium">
        <color theme="3"/>
      </top>
      <bottom style="thin">
        <color theme="0" tint="-0.499984740745262"/>
      </bottom>
      <diagonal/>
    </border>
    <border>
      <left/>
      <right style="medium">
        <color theme="3"/>
      </right>
      <top style="medium">
        <color theme="3"/>
      </top>
      <bottom style="thin">
        <color theme="0" tint="-0.499984740745262"/>
      </bottom>
      <diagonal/>
    </border>
    <border>
      <left/>
      <right/>
      <top/>
      <bottom style="thin">
        <color indexed="64"/>
      </bottom>
      <diagonal/>
    </border>
    <border>
      <left style="thin">
        <color theme="0" tint="-0.249977111117893"/>
      </left>
      <right/>
      <top/>
      <bottom style="thin">
        <color theme="0" tint="-0.249977111117893"/>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theme="3"/>
      </left>
      <right style="medium">
        <color theme="3"/>
      </right>
      <top style="thin">
        <color theme="0" tint="-0.499984740745262"/>
      </top>
      <bottom/>
      <diagonal/>
    </border>
    <border>
      <left/>
      <right/>
      <top style="medium">
        <color theme="3"/>
      </top>
      <bottom style="medium">
        <color theme="3"/>
      </bottom>
      <diagonal/>
    </border>
    <border>
      <left/>
      <right style="medium">
        <color indexed="64"/>
      </right>
      <top style="medium">
        <color indexed="64"/>
      </top>
      <bottom/>
      <diagonal/>
    </border>
    <border>
      <left style="medium">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theme="0" tint="-0.249977111117893"/>
      </left>
      <right/>
      <top style="thin">
        <color rgb="FF1F497D"/>
      </top>
      <bottom style="thin">
        <color theme="0" tint="-0.249977111117893"/>
      </bottom>
      <diagonal/>
    </border>
    <border>
      <left/>
      <right/>
      <top style="thin">
        <color rgb="FF1F497D"/>
      </top>
      <bottom style="thin">
        <color theme="0" tint="-0.249977111117893"/>
      </bottom>
      <diagonal/>
    </border>
    <border>
      <left/>
      <right style="thin">
        <color theme="0" tint="-0.249977111117893"/>
      </right>
      <top style="thin">
        <color rgb="FF1F497D"/>
      </top>
      <bottom style="thin">
        <color theme="0" tint="-0.249977111117893"/>
      </bottom>
      <diagonal/>
    </border>
    <border>
      <left style="medium">
        <color rgb="FF1F497D"/>
      </left>
      <right/>
      <top/>
      <bottom/>
      <diagonal/>
    </border>
    <border>
      <left/>
      <right style="medium">
        <color rgb="FF1F497D"/>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64"/>
      </left>
      <right style="medium">
        <color rgb="FF1F497D"/>
      </right>
      <top style="thin">
        <color indexed="64"/>
      </top>
      <bottom style="thin">
        <color indexed="64"/>
      </bottom>
      <diagonal/>
    </border>
    <border>
      <left style="thin">
        <color theme="0" tint="-0.24994659260841701"/>
      </left>
      <right style="thin">
        <color theme="0" tint="-0.24994659260841701"/>
      </right>
      <top style="thin">
        <color theme="0" tint="-0.24994659260841701"/>
      </top>
      <bottom/>
      <diagonal/>
    </border>
    <border>
      <left style="thin">
        <color indexed="64"/>
      </left>
      <right style="medium">
        <color rgb="FF1F497D"/>
      </right>
      <top/>
      <bottom style="thin">
        <color indexed="64"/>
      </bottom>
      <diagonal/>
    </border>
    <border>
      <left style="thin">
        <color theme="0" tint="-0.24994659260841701"/>
      </left>
      <right style="medium">
        <color theme="3"/>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rgb="FF1F497D"/>
      </left>
      <right style="thin">
        <color rgb="FF1F497D"/>
      </right>
      <top style="thin">
        <color rgb="FF1F497D"/>
      </top>
      <bottom style="thin">
        <color rgb="FF1F497D"/>
      </bottom>
      <diagonal/>
    </border>
    <border>
      <left style="medium">
        <color rgb="FF1F497D"/>
      </left>
      <right style="medium">
        <color rgb="FF1F497D"/>
      </right>
      <top style="medium">
        <color rgb="FF1F497D"/>
      </top>
      <bottom style="medium">
        <color rgb="FF1F497D"/>
      </bottom>
      <diagonal/>
    </border>
    <border>
      <left style="medium">
        <color rgb="FF1F497D"/>
      </left>
      <right style="medium">
        <color theme="3"/>
      </right>
      <top/>
      <bottom style="medium">
        <color rgb="FF1F497D"/>
      </bottom>
      <diagonal/>
    </border>
    <border>
      <left style="medium">
        <color rgb="FF1F497D"/>
      </left>
      <right/>
      <top style="medium">
        <color rgb="FF1F497D"/>
      </top>
      <bottom/>
      <diagonal/>
    </border>
    <border>
      <left/>
      <right/>
      <top style="medium">
        <color rgb="FF1F497D"/>
      </top>
      <bottom/>
      <diagonal/>
    </border>
    <border>
      <left/>
      <right style="medium">
        <color rgb="FF1F497D"/>
      </right>
      <top style="medium">
        <color rgb="FF1F497D"/>
      </top>
      <bottom/>
      <diagonal/>
    </border>
    <border>
      <left style="medium">
        <color rgb="FF1F497D"/>
      </left>
      <right/>
      <top/>
      <bottom style="medium">
        <color rgb="FF1F497D"/>
      </bottom>
      <diagonal/>
    </border>
    <border>
      <left/>
      <right/>
      <top style="medium">
        <color theme="3"/>
      </top>
      <bottom style="medium">
        <color rgb="FF1F497D"/>
      </bottom>
      <diagonal/>
    </border>
    <border>
      <left style="medium">
        <color rgb="FF1F497D"/>
      </left>
      <right/>
      <top style="medium">
        <color rgb="FF1F497D"/>
      </top>
      <bottom style="medium">
        <color rgb="FF1F497D"/>
      </bottom>
      <diagonal/>
    </border>
    <border>
      <left/>
      <right/>
      <top style="medium">
        <color rgb="FF1F497D"/>
      </top>
      <bottom style="medium">
        <color rgb="FF1F497D"/>
      </bottom>
      <diagonal/>
    </border>
    <border>
      <left/>
      <right style="medium">
        <color rgb="FF1F497D"/>
      </right>
      <top style="medium">
        <color rgb="FF1F497D"/>
      </top>
      <bottom style="medium">
        <color rgb="FF1F497D"/>
      </bottom>
      <diagonal/>
    </border>
    <border>
      <left/>
      <right/>
      <top/>
      <bottom style="medium">
        <color rgb="FF1F497D"/>
      </bottom>
      <diagonal/>
    </border>
    <border>
      <left/>
      <right style="medium">
        <color rgb="FF1F497D"/>
      </right>
      <top/>
      <bottom style="medium">
        <color rgb="FF1F497D"/>
      </bottom>
      <diagonal/>
    </border>
    <border>
      <left style="medium">
        <color rgb="FF1F497D"/>
      </left>
      <right/>
      <top style="medium">
        <color rgb="FF1F497D"/>
      </top>
      <bottom style="thin">
        <color theme="0" tint="-0.24994659260841701"/>
      </bottom>
      <diagonal/>
    </border>
    <border>
      <left/>
      <right style="medium">
        <color rgb="FF1F497D"/>
      </right>
      <top style="medium">
        <color rgb="FF1F497D"/>
      </top>
      <bottom style="thin">
        <color theme="0" tint="-0.24994659260841701"/>
      </bottom>
      <diagonal/>
    </border>
    <border>
      <left style="medium">
        <color rgb="FF1F497D"/>
      </left>
      <right style="medium">
        <color theme="3"/>
      </right>
      <top style="medium">
        <color rgb="FF1F497D"/>
      </top>
      <bottom style="thin">
        <color theme="0" tint="-0.24994659260841701"/>
      </bottom>
      <diagonal/>
    </border>
    <border>
      <left style="medium">
        <color theme="3"/>
      </left>
      <right style="medium">
        <color theme="3"/>
      </right>
      <top style="medium">
        <color rgb="FF1F497D"/>
      </top>
      <bottom style="thin">
        <color theme="0" tint="-0.24994659260841701"/>
      </bottom>
      <diagonal/>
    </border>
    <border>
      <left style="medium">
        <color theme="3"/>
      </left>
      <right style="medium">
        <color rgb="FF1F497D"/>
      </right>
      <top style="medium">
        <color rgb="FF1F497D"/>
      </top>
      <bottom style="thin">
        <color theme="0" tint="-0.24994659260841701"/>
      </bottom>
      <diagonal/>
    </border>
    <border>
      <left style="medium">
        <color rgb="FF1F497D"/>
      </left>
      <right/>
      <top style="thin">
        <color theme="0" tint="-0.24994659260841701"/>
      </top>
      <bottom style="thin">
        <color theme="0" tint="-0.24994659260841701"/>
      </bottom>
      <diagonal/>
    </border>
    <border>
      <left/>
      <right style="medium">
        <color rgb="FF1F497D"/>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style="medium">
        <color rgb="FF1F497D"/>
      </left>
      <right/>
      <top style="thin">
        <color theme="0" tint="-0.24994659260841701"/>
      </top>
      <bottom style="medium">
        <color rgb="FF1F497D"/>
      </bottom>
      <diagonal/>
    </border>
    <border>
      <left/>
      <right style="medium">
        <color rgb="FF1F497D"/>
      </right>
      <top style="thin">
        <color theme="0" tint="-0.24994659260841701"/>
      </top>
      <bottom style="medium">
        <color rgb="FF1F497D"/>
      </bottom>
      <diagonal/>
    </border>
    <border>
      <left/>
      <right/>
      <top style="thin">
        <color theme="0" tint="-0.24994659260841701"/>
      </top>
      <bottom style="medium">
        <color rgb="FF1F497D"/>
      </bottom>
      <diagonal/>
    </border>
    <border>
      <left style="medium">
        <color rgb="FF1F497D"/>
      </left>
      <right style="medium">
        <color rgb="FF1F497D"/>
      </right>
      <top style="medium">
        <color rgb="FF1F497D"/>
      </top>
      <bottom style="thin">
        <color theme="0" tint="-0.24994659260841701"/>
      </bottom>
      <diagonal/>
    </border>
    <border>
      <left style="medium">
        <color rgb="FF1F497D"/>
      </left>
      <right style="medium">
        <color rgb="FF1F497D"/>
      </right>
      <top style="thin">
        <color theme="0" tint="-0.24994659260841701"/>
      </top>
      <bottom style="thin">
        <color theme="0" tint="-0.24994659260841701"/>
      </bottom>
      <diagonal/>
    </border>
    <border>
      <left style="medium">
        <color rgb="FF1F497D"/>
      </left>
      <right style="medium">
        <color rgb="FF1F497D"/>
      </right>
      <top style="thin">
        <color theme="0" tint="-0.24994659260841701"/>
      </top>
      <bottom style="medium">
        <color rgb="FF1F497D"/>
      </bottom>
      <diagonal/>
    </border>
    <border>
      <left style="medium">
        <color rgb="FF1F497D"/>
      </left>
      <right style="medium">
        <color rgb="FF1F497D"/>
      </right>
      <top style="medium">
        <color rgb="FF1F497D"/>
      </top>
      <bottom/>
      <diagonal/>
    </border>
    <border>
      <left style="medium">
        <color rgb="FF1F497D"/>
      </left>
      <right style="medium">
        <color rgb="FF1F497D"/>
      </right>
      <top/>
      <bottom/>
      <diagonal/>
    </border>
    <border>
      <left style="medium">
        <color rgb="FF1F497D"/>
      </left>
      <right style="medium">
        <color rgb="FF1F497D"/>
      </right>
      <top/>
      <bottom style="medium">
        <color rgb="FF1F497D"/>
      </bottom>
      <diagonal/>
    </border>
    <border>
      <left style="medium">
        <color rgb="FF1F497D"/>
      </left>
      <right style="medium">
        <color rgb="FF1F497D"/>
      </right>
      <top/>
      <bottom style="thin">
        <color theme="0" tint="-0.24994659260841701"/>
      </bottom>
      <diagonal/>
    </border>
    <border>
      <left/>
      <right style="medium">
        <color rgb="FF1F497D"/>
      </right>
      <top/>
      <bottom style="thin">
        <color theme="0" tint="-0.24994659260841701"/>
      </bottom>
      <diagonal/>
    </border>
    <border>
      <left style="medium">
        <color rgb="FF1F497D"/>
      </left>
      <right style="medium">
        <color rgb="FF1F497D"/>
      </right>
      <top style="thin">
        <color theme="0" tint="-0.24994659260841701"/>
      </top>
      <bottom/>
      <diagonal/>
    </border>
    <border>
      <left style="medium">
        <color rgb="FF1F497D"/>
      </left>
      <right/>
      <top style="medium">
        <color theme="3"/>
      </top>
      <bottom style="medium">
        <color theme="3"/>
      </bottom>
      <diagonal/>
    </border>
    <border>
      <left style="medium">
        <color rgb="FF1F497D"/>
      </left>
      <right/>
      <top style="medium">
        <color theme="3"/>
      </top>
      <bottom style="medium">
        <color rgb="FF1F497D"/>
      </bottom>
      <diagonal/>
    </border>
    <border>
      <left/>
      <right/>
      <top/>
      <bottom style="medium">
        <color theme="0" tint="-0.24994659260841701"/>
      </bottom>
      <diagonal/>
    </border>
    <border>
      <left/>
      <right/>
      <top style="medium">
        <color theme="0" tint="-0.24994659260841701"/>
      </top>
      <bottom/>
      <diagonal/>
    </border>
    <border>
      <left/>
      <right/>
      <top style="medium">
        <color theme="0" tint="-0.24994659260841701"/>
      </top>
      <bottom style="medium">
        <color theme="0" tint="-0.24994659260841701"/>
      </bottom>
      <diagonal/>
    </border>
    <border>
      <left/>
      <right style="medium">
        <color indexed="64"/>
      </right>
      <top style="medium">
        <color rgb="FF1F497D"/>
      </top>
      <bottom style="medium">
        <color rgb="FF1F497D"/>
      </bottom>
      <diagonal/>
    </border>
    <border>
      <left style="medium">
        <color rgb="FF1F497D"/>
      </left>
      <right/>
      <top/>
      <bottom style="medium">
        <color theme="0" tint="-0.24994659260841701"/>
      </bottom>
      <diagonal/>
    </border>
    <border>
      <left style="medium">
        <color rgb="FF1F497D"/>
      </left>
      <right/>
      <top style="medium">
        <color theme="0" tint="-0.24994659260841701"/>
      </top>
      <bottom/>
      <diagonal/>
    </border>
    <border>
      <left style="medium">
        <color rgb="FF1F497D"/>
      </left>
      <right/>
      <top style="medium">
        <color theme="0" tint="-0.24994659260841701"/>
      </top>
      <bottom style="medium">
        <color theme="0" tint="-0.24994659260841701"/>
      </bottom>
      <diagonal/>
    </border>
    <border>
      <left/>
      <right style="medium">
        <color rgb="FF1F497D"/>
      </right>
      <top style="medium">
        <color theme="0" tint="-0.24994659260841701"/>
      </top>
      <bottom style="medium">
        <color theme="0" tint="-0.24994659260841701"/>
      </bottom>
      <diagonal/>
    </border>
    <border>
      <left style="medium">
        <color rgb="FF1F497D"/>
      </left>
      <right/>
      <top style="medium">
        <color theme="0" tint="-0.24994659260841701"/>
      </top>
      <bottom style="medium">
        <color rgb="FF1F497D"/>
      </bottom>
      <diagonal/>
    </border>
    <border>
      <left/>
      <right/>
      <top style="medium">
        <color theme="0" tint="-0.24994659260841701"/>
      </top>
      <bottom style="medium">
        <color rgb="FF1F497D"/>
      </bottom>
      <diagonal/>
    </border>
    <border>
      <left/>
      <right style="medium">
        <color rgb="FF1F497D"/>
      </right>
      <top style="medium">
        <color theme="0" tint="-0.24994659260841701"/>
      </top>
      <bottom style="medium">
        <color rgb="FF1F497D"/>
      </bottom>
      <diagonal/>
    </border>
    <border>
      <left style="medium">
        <color rgb="FF1F497D"/>
      </left>
      <right/>
      <top style="medium">
        <color rgb="FF1F497D"/>
      </top>
      <bottom style="medium">
        <color theme="0" tint="-0.24994659260841701"/>
      </bottom>
      <diagonal/>
    </border>
    <border>
      <left/>
      <right/>
      <top style="medium">
        <color rgb="FF1F497D"/>
      </top>
      <bottom style="medium">
        <color theme="0" tint="-0.24994659260841701"/>
      </bottom>
      <diagonal/>
    </border>
    <border>
      <left/>
      <right style="medium">
        <color rgb="FF1F497D"/>
      </right>
      <top style="medium">
        <color rgb="FF1F497D"/>
      </top>
      <bottom style="medium">
        <color theme="0" tint="-0.24994659260841701"/>
      </bottom>
      <diagonal/>
    </border>
    <border>
      <left style="thin">
        <color rgb="FF1F497D"/>
      </left>
      <right/>
      <top style="thin">
        <color rgb="FF1F497D"/>
      </top>
      <bottom style="thin">
        <color rgb="FF1F497D"/>
      </bottom>
      <diagonal/>
    </border>
    <border>
      <left/>
      <right/>
      <top style="thin">
        <color rgb="FF1F497D"/>
      </top>
      <bottom style="thin">
        <color rgb="FF1F497D"/>
      </bottom>
      <diagonal/>
    </border>
    <border>
      <left/>
      <right style="thin">
        <color rgb="FF1F497D"/>
      </right>
      <top style="thin">
        <color rgb="FF1F497D"/>
      </top>
      <bottom style="thin">
        <color rgb="FF1F497D"/>
      </bottom>
      <diagonal/>
    </border>
    <border>
      <left style="medium">
        <color theme="1" tint="0.24994659260841701"/>
      </left>
      <right style="medium">
        <color theme="1" tint="0.24994659260841701"/>
      </right>
      <top style="medium">
        <color theme="1" tint="0.24994659260841701"/>
      </top>
      <bottom style="medium">
        <color theme="1" tint="0.24994659260841701"/>
      </bottom>
      <diagonal/>
    </border>
    <border>
      <left style="medium">
        <color theme="1" tint="0.24994659260841701"/>
      </left>
      <right/>
      <top style="medium">
        <color theme="1" tint="0.24994659260841701"/>
      </top>
      <bottom style="medium">
        <color theme="1" tint="0.24994659260841701"/>
      </bottom>
      <diagonal/>
    </border>
    <border>
      <left/>
      <right/>
      <top style="medium">
        <color theme="1" tint="0.24994659260841701"/>
      </top>
      <bottom style="medium">
        <color theme="1" tint="0.24994659260841701"/>
      </bottom>
      <diagonal/>
    </border>
    <border>
      <left/>
      <right style="medium">
        <color theme="1" tint="0.24994659260841701"/>
      </right>
      <top style="medium">
        <color theme="1" tint="0.24994659260841701"/>
      </top>
      <bottom style="medium">
        <color theme="1" tint="0.24994659260841701"/>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indexed="64"/>
      </top>
      <bottom/>
      <diagonal/>
    </border>
    <border>
      <left/>
      <right/>
      <top style="medium">
        <color rgb="FF000000"/>
      </top>
      <bottom style="medium">
        <color rgb="FF000000"/>
      </bottom>
      <diagonal/>
    </border>
    <border>
      <left/>
      <right style="medium">
        <color rgb="FF000000"/>
      </right>
      <top/>
      <bottom/>
      <diagonal/>
    </border>
    <border>
      <left style="medium">
        <color rgb="FF000000"/>
      </left>
      <right style="medium">
        <color rgb="FF000000"/>
      </right>
      <top/>
      <bottom/>
      <diagonal/>
    </border>
    <border>
      <left style="medium">
        <color rgb="FF000000"/>
      </left>
      <right/>
      <top/>
      <bottom style="medium">
        <color rgb="FF000000"/>
      </bottom>
      <diagonal/>
    </border>
    <border>
      <left style="medium">
        <color rgb="FF000000"/>
      </left>
      <right/>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style="thin">
        <color rgb="FF000000"/>
      </left>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bottom style="thin">
        <color rgb="FF000000"/>
      </bottom>
      <diagonal/>
    </border>
    <border>
      <left style="thin">
        <color rgb="FF000000"/>
      </left>
      <right style="medium">
        <color rgb="FF000000"/>
      </right>
      <top/>
      <bottom style="thin">
        <color rgb="FF000000"/>
      </bottom>
      <diagonal/>
    </border>
    <border>
      <left style="medium">
        <color theme="1" tint="0.24994659260841701"/>
      </left>
      <right/>
      <top style="medium">
        <color theme="3"/>
      </top>
      <bottom style="thin">
        <color theme="0" tint="-0.499984740745262"/>
      </bottom>
      <diagonal/>
    </border>
    <border>
      <left style="thin">
        <color theme="0" tint="-0.499984740745262"/>
      </left>
      <right style="medium">
        <color theme="3"/>
      </right>
      <top style="thin">
        <color theme="0" tint="-0.499984740745262"/>
      </top>
      <bottom/>
      <diagonal/>
    </border>
    <border>
      <left style="thin">
        <color theme="0" tint="-0.499984740745262"/>
      </left>
      <right style="medium">
        <color theme="3"/>
      </right>
      <top/>
      <bottom/>
      <diagonal/>
    </border>
    <border>
      <left style="thin">
        <color theme="0" tint="-0.499984740745262"/>
      </left>
      <right style="medium">
        <color theme="3"/>
      </right>
      <top/>
      <bottom style="medium">
        <color theme="3"/>
      </bottom>
      <diagonal/>
    </border>
    <border>
      <left style="medium">
        <color rgb="FF000000"/>
      </left>
      <right/>
      <top style="medium">
        <color rgb="FF000000"/>
      </top>
      <bottom style="medium">
        <color rgb="FF000000"/>
      </bottom>
      <diagonal/>
    </border>
    <border>
      <left/>
      <right/>
      <top/>
      <bottom style="medium">
        <color rgb="FF000000"/>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right style="medium">
        <color rgb="FF000000"/>
      </right>
      <top style="medium">
        <color rgb="FF000000"/>
      </top>
      <bottom/>
      <diagonal/>
    </border>
    <border>
      <left/>
      <right style="medium">
        <color rgb="FF000000"/>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medium">
        <color indexed="64"/>
      </bottom>
      <diagonal/>
    </border>
    <border>
      <left/>
      <right style="thin">
        <color indexed="64"/>
      </right>
      <top style="medium">
        <color indexed="64"/>
      </top>
      <bottom/>
      <diagonal/>
    </border>
    <border>
      <left/>
      <right style="thin">
        <color indexed="64"/>
      </right>
      <top style="medium">
        <color rgb="FF000000"/>
      </top>
      <bottom/>
      <diagonal/>
    </border>
    <border>
      <left/>
      <right/>
      <top style="thin">
        <color theme="0" tint="-0.24994659260841701"/>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theme="0" tint="-0.24994659260841701"/>
      </left>
      <right style="thin">
        <color theme="0" tint="-0.249977111117893"/>
      </right>
      <top style="thin">
        <color theme="0" tint="-0.249977111117893"/>
      </top>
      <bottom style="thin">
        <color theme="0" tint="-0.249977111117893"/>
      </bottom>
      <diagonal/>
    </border>
    <border>
      <left style="thin">
        <color rgb="FF000000"/>
      </left>
      <right/>
      <top/>
      <bottom/>
      <diagonal/>
    </border>
    <border>
      <left style="thin">
        <color rgb="FF000000"/>
      </left>
      <right style="medium">
        <color indexed="64"/>
      </right>
      <top/>
      <bottom style="thin">
        <color rgb="FF000000"/>
      </bottom>
      <diagonal/>
    </border>
    <border>
      <left/>
      <right style="medium">
        <color indexed="64"/>
      </right>
      <top style="medium">
        <color indexed="64"/>
      </top>
      <bottom style="medium">
        <color indexed="64"/>
      </bottom>
      <diagonal/>
    </border>
    <border>
      <left style="thin">
        <color rgb="FF000000"/>
      </left>
      <right/>
      <top style="thin">
        <color rgb="FF000000"/>
      </top>
      <bottom/>
      <diagonal/>
    </border>
    <border>
      <left style="thin">
        <color rgb="FF000000"/>
      </left>
      <right/>
      <top style="thin">
        <color indexed="64"/>
      </top>
      <bottom/>
      <diagonal/>
    </border>
    <border>
      <left style="thin">
        <color rgb="FF000000"/>
      </left>
      <right/>
      <top style="thin">
        <color rgb="FF000000"/>
      </top>
      <bottom style="thin">
        <color rgb="FF000000"/>
      </bottom>
      <diagonal/>
    </border>
    <border>
      <left style="thin">
        <color indexed="64"/>
      </left>
      <right style="medium">
        <color indexed="64"/>
      </right>
      <top style="thin">
        <color indexed="64"/>
      </top>
      <bottom/>
      <diagonal/>
    </border>
    <border>
      <left/>
      <right style="thin">
        <color rgb="FF000000"/>
      </right>
      <top/>
      <bottom style="thin">
        <color rgb="FF000000"/>
      </bottom>
      <diagonal/>
    </border>
    <border>
      <left/>
      <right style="thin">
        <color indexed="64"/>
      </right>
      <top style="medium">
        <color indexed="64"/>
      </top>
      <bottom style="thin">
        <color indexed="64"/>
      </bottom>
      <diagonal/>
    </border>
    <border>
      <left style="medium">
        <color theme="3"/>
      </left>
      <right/>
      <top style="medium">
        <color rgb="FF000000"/>
      </top>
      <bottom style="medium">
        <color rgb="FF000000"/>
      </bottom>
      <diagonal/>
    </border>
    <border>
      <left/>
      <right/>
      <top style="medium">
        <color rgb="FF000000"/>
      </top>
      <bottom/>
      <diagonal/>
    </border>
    <border>
      <left/>
      <right style="medium">
        <color theme="3"/>
      </right>
      <top style="medium">
        <color rgb="FF000000"/>
      </top>
      <bottom/>
      <diagonal/>
    </border>
    <border>
      <left style="medium">
        <color theme="3"/>
      </left>
      <right/>
      <top style="medium">
        <color rgb="FF000000"/>
      </top>
      <bottom/>
      <diagonal/>
    </border>
    <border>
      <left/>
      <right style="medium">
        <color theme="3"/>
      </right>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theme="3"/>
      </right>
      <top/>
      <bottom/>
      <diagonal/>
    </border>
    <border>
      <left style="medium">
        <color rgb="FF000000"/>
      </left>
      <right style="medium">
        <color theme="3"/>
      </right>
      <top/>
      <bottom style="medium">
        <color rgb="FF000000"/>
      </bottom>
      <diagonal/>
    </border>
    <border>
      <left/>
      <right style="medium">
        <color rgb="FF1F497D"/>
      </right>
      <top/>
      <bottom style="medium">
        <color theme="0" tint="-0.24994659260841701"/>
      </bottom>
      <diagonal/>
    </border>
    <border>
      <left/>
      <right style="medium">
        <color rgb="FF1F497D"/>
      </right>
      <top style="medium">
        <color theme="0" tint="-0.24994659260841701"/>
      </top>
      <bottom/>
      <diagonal/>
    </border>
    <border>
      <left style="medium">
        <color rgb="FF1F497D"/>
      </left>
      <right/>
      <top/>
      <bottom style="thin">
        <color theme="0" tint="-0.24994659260841701"/>
      </bottom>
      <diagonal/>
    </border>
    <border>
      <left style="medium">
        <color indexed="64"/>
      </left>
      <right/>
      <top style="thin">
        <color indexed="64"/>
      </top>
      <bottom/>
      <diagonal/>
    </border>
    <border>
      <left style="medium">
        <color indexed="64"/>
      </left>
      <right style="thin">
        <color rgb="FF000000"/>
      </right>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diagonal/>
    </border>
    <border>
      <left style="medium">
        <color theme="4" tint="-0.24994659260841701"/>
      </left>
      <right style="medium">
        <color theme="4" tint="-0.24994659260841701"/>
      </right>
      <top style="medium">
        <color theme="4" tint="-0.24994659260841701"/>
      </top>
      <bottom style="thin">
        <color theme="0" tint="-0.499984740745262"/>
      </bottom>
      <diagonal/>
    </border>
    <border>
      <left style="medium">
        <color theme="4" tint="-0.24994659260841701"/>
      </left>
      <right style="medium">
        <color theme="4" tint="-0.24994659260841701"/>
      </right>
      <top/>
      <bottom/>
      <diagonal/>
    </border>
    <border>
      <left style="medium">
        <color theme="4" tint="-0.24994659260841701"/>
      </left>
      <right style="medium">
        <color theme="4" tint="-0.24994659260841701"/>
      </right>
      <top/>
      <bottom style="medium">
        <color theme="4" tint="-0.24994659260841701"/>
      </bottom>
      <diagonal/>
    </border>
    <border>
      <left style="medium">
        <color rgb="FF1F497D"/>
      </left>
      <right style="thin">
        <color rgb="FF1F497D"/>
      </right>
      <top style="medium">
        <color rgb="FF1F497D"/>
      </top>
      <bottom style="thin">
        <color rgb="FF1F497D"/>
      </bottom>
      <diagonal/>
    </border>
    <border>
      <left style="thin">
        <color rgb="FF1F497D"/>
      </left>
      <right style="thin">
        <color rgb="FF1F497D"/>
      </right>
      <top style="medium">
        <color rgb="FF1F497D"/>
      </top>
      <bottom style="thin">
        <color rgb="FF1F497D"/>
      </bottom>
      <diagonal/>
    </border>
    <border>
      <left style="thin">
        <color rgb="FF1F497D"/>
      </left>
      <right style="medium">
        <color rgb="FF1F497D"/>
      </right>
      <top style="medium">
        <color rgb="FF1F497D"/>
      </top>
      <bottom style="thin">
        <color rgb="FF1F497D"/>
      </bottom>
      <diagonal/>
    </border>
    <border>
      <left style="medium">
        <color rgb="FF1F497D"/>
      </left>
      <right style="thin">
        <color rgb="FF1F497D"/>
      </right>
      <top style="thin">
        <color rgb="FF1F497D"/>
      </top>
      <bottom style="thin">
        <color rgb="FF1F497D"/>
      </bottom>
      <diagonal/>
    </border>
    <border>
      <left style="thin">
        <color rgb="FF1F497D"/>
      </left>
      <right style="medium">
        <color rgb="FF1F497D"/>
      </right>
      <top style="thin">
        <color rgb="FF1F497D"/>
      </top>
      <bottom style="thin">
        <color rgb="FF1F497D"/>
      </bottom>
      <diagonal/>
    </border>
    <border>
      <left style="medium">
        <color rgb="FF1F497D"/>
      </left>
      <right style="thin">
        <color rgb="FF1F497D"/>
      </right>
      <top style="thin">
        <color rgb="FF1F497D"/>
      </top>
      <bottom style="medium">
        <color rgb="FF1F497D"/>
      </bottom>
      <diagonal/>
    </border>
    <border>
      <left style="thin">
        <color rgb="FF1F497D"/>
      </left>
      <right style="thin">
        <color rgb="FF1F497D"/>
      </right>
      <top style="thin">
        <color rgb="FF1F497D"/>
      </top>
      <bottom style="medium">
        <color rgb="FF1F497D"/>
      </bottom>
      <diagonal/>
    </border>
    <border>
      <left style="thin">
        <color rgb="FF1F497D"/>
      </left>
      <right style="medium">
        <color rgb="FF1F497D"/>
      </right>
      <top style="thin">
        <color rgb="FF1F497D"/>
      </top>
      <bottom style="medium">
        <color rgb="FF1F497D"/>
      </bottom>
      <diagonal/>
    </border>
    <border>
      <left style="medium">
        <color theme="3"/>
      </left>
      <right style="thin">
        <color theme="0" tint="-0.24994659260841701"/>
      </right>
      <top style="thin">
        <color theme="0" tint="-0.24994659260841701"/>
      </top>
      <bottom style="thin">
        <color theme="0" tint="-0.24994659260841701"/>
      </bottom>
      <diagonal/>
    </border>
    <border>
      <left style="medium">
        <color theme="3"/>
      </left>
      <right style="thin">
        <color indexed="64"/>
      </right>
      <top style="thin">
        <color indexed="64"/>
      </top>
      <bottom style="thin">
        <color indexed="64"/>
      </bottom>
      <diagonal/>
    </border>
    <border>
      <left style="medium">
        <color theme="3"/>
      </left>
      <right style="thin">
        <color indexed="64"/>
      </right>
      <top style="thin">
        <color indexed="64"/>
      </top>
      <bottom style="medium">
        <color theme="3"/>
      </bottom>
      <diagonal/>
    </border>
    <border>
      <left style="thin">
        <color indexed="64"/>
      </left>
      <right style="thin">
        <color indexed="64"/>
      </right>
      <top style="thin">
        <color indexed="64"/>
      </top>
      <bottom style="medium">
        <color theme="3"/>
      </bottom>
      <diagonal/>
    </border>
    <border>
      <left style="thin">
        <color indexed="64"/>
      </left>
      <right style="medium">
        <color rgb="FF1F497D"/>
      </right>
      <top style="thin">
        <color indexed="64"/>
      </top>
      <bottom style="medium">
        <color theme="3"/>
      </bottom>
      <diagonal/>
    </border>
    <border>
      <left/>
      <right style="thin">
        <color rgb="FF000000"/>
      </right>
      <top style="thin">
        <color rgb="FF000000"/>
      </top>
      <bottom style="thin">
        <color rgb="FF000000"/>
      </bottom>
      <diagonal/>
    </border>
    <border>
      <left style="medium">
        <color rgb="FF000000"/>
      </left>
      <right style="medium">
        <color rgb="FF000000"/>
      </right>
      <top/>
      <bottom style="thin">
        <color theme="0" tint="-0.249977111117893"/>
      </bottom>
      <diagonal/>
    </border>
    <border>
      <left style="medium">
        <color rgb="FF000000"/>
      </left>
      <right style="medium">
        <color theme="3"/>
      </right>
      <top style="medium">
        <color rgb="FF000000"/>
      </top>
      <bottom/>
      <diagonal/>
    </border>
    <border>
      <left style="medium">
        <color rgb="FF000000"/>
      </left>
      <right style="medium">
        <color rgb="FF000000"/>
      </right>
      <top/>
      <bottom style="thin">
        <color indexed="64"/>
      </bottom>
      <diagonal/>
    </border>
    <border>
      <left style="medium">
        <color theme="3"/>
      </left>
      <right/>
      <top style="medium">
        <color theme="3"/>
      </top>
      <bottom style="medium">
        <color theme="3"/>
      </bottom>
      <diagonal/>
    </border>
    <border>
      <left/>
      <right style="medium">
        <color theme="3"/>
      </right>
      <top style="medium">
        <color theme="3"/>
      </top>
      <bottom style="medium">
        <color theme="3"/>
      </bottom>
      <diagonal/>
    </border>
    <border>
      <left style="medium">
        <color rgb="FF1F497D"/>
      </left>
      <right/>
      <top style="thin">
        <color theme="0" tint="-0.24994659260841701"/>
      </top>
      <bottom/>
      <diagonal/>
    </border>
    <border>
      <left/>
      <right style="medium">
        <color rgb="FF1F497D"/>
      </right>
      <top style="thin">
        <color theme="0" tint="-0.24994659260841701"/>
      </top>
      <bottom/>
      <diagonal/>
    </border>
    <border>
      <left style="medium">
        <color rgb="FF000000"/>
      </left>
      <right style="thin">
        <color indexed="64"/>
      </right>
      <top/>
      <bottom style="thin">
        <color indexed="64"/>
      </bottom>
      <diagonal/>
    </border>
    <border>
      <left/>
      <right style="medium">
        <color rgb="FF000000"/>
      </right>
      <top/>
      <bottom style="thin">
        <color indexed="64"/>
      </bottom>
      <diagonal/>
    </border>
    <border>
      <left style="medium">
        <color rgb="FF000000"/>
      </left>
      <right style="thin">
        <color indexed="64"/>
      </right>
      <top/>
      <bottom style="medium">
        <color rgb="FF000000"/>
      </bottom>
      <diagonal/>
    </border>
    <border>
      <left/>
      <right style="thin">
        <color indexed="64"/>
      </right>
      <top style="thin">
        <color indexed="64"/>
      </top>
      <bottom style="medium">
        <color indexed="64"/>
      </bottom>
      <diagonal/>
    </border>
    <border>
      <left style="medium">
        <color rgb="FF000000"/>
      </left>
      <right style="thin">
        <color indexed="64"/>
      </right>
      <top style="medium">
        <color rgb="FF000000"/>
      </top>
      <bottom style="medium">
        <color rgb="FF000000"/>
      </bottom>
      <diagonal/>
    </border>
    <border>
      <left style="thin">
        <color theme="0" tint="-0.249977111117893"/>
      </left>
      <right style="thin">
        <color theme="0" tint="-0.249977111117893"/>
      </right>
      <top style="thin">
        <color theme="0" tint="-0.249977111117893"/>
      </top>
      <bottom/>
      <diagonal/>
    </border>
    <border>
      <left style="medium">
        <color rgb="FF1F497D"/>
      </left>
      <right style="thin">
        <color theme="0" tint="-0.249977111117893"/>
      </right>
      <top style="medium">
        <color rgb="FF1F497D"/>
      </top>
      <bottom style="thin">
        <color theme="0" tint="-0.249977111117893"/>
      </bottom>
      <diagonal/>
    </border>
    <border>
      <left style="thin">
        <color theme="0" tint="-0.249977111117893"/>
      </left>
      <right style="thin">
        <color theme="0" tint="-0.249977111117893"/>
      </right>
      <top style="medium">
        <color rgb="FF1F497D"/>
      </top>
      <bottom style="thin">
        <color theme="0" tint="-0.249977111117893"/>
      </bottom>
      <diagonal/>
    </border>
    <border>
      <left style="thin">
        <color theme="0" tint="-0.14999847407452621"/>
      </left>
      <right style="thin">
        <color theme="0" tint="-0.14999847407452621"/>
      </right>
      <top style="medium">
        <color rgb="FF1F497D"/>
      </top>
      <bottom/>
      <diagonal/>
    </border>
    <border>
      <left style="thin">
        <color theme="0" tint="-0.249977111117893"/>
      </left>
      <right/>
      <top style="medium">
        <color rgb="FF1F497D"/>
      </top>
      <bottom/>
      <diagonal/>
    </border>
    <border>
      <left/>
      <right style="thin">
        <color theme="0" tint="-0.249977111117893"/>
      </right>
      <top style="medium">
        <color rgb="FF1F497D"/>
      </top>
      <bottom/>
      <diagonal/>
    </border>
    <border>
      <left style="thin">
        <color theme="0" tint="-0.249977111117893"/>
      </left>
      <right style="thin">
        <color theme="0" tint="-0.249977111117893"/>
      </right>
      <top style="medium">
        <color rgb="FF1F497D"/>
      </top>
      <bottom/>
      <diagonal/>
    </border>
    <border>
      <left style="thin">
        <color theme="0" tint="-0.249977111117893"/>
      </left>
      <right style="medium">
        <color rgb="FF1F497D"/>
      </right>
      <top style="medium">
        <color rgb="FF1F497D"/>
      </top>
      <bottom/>
      <diagonal/>
    </border>
    <border>
      <left style="medium">
        <color rgb="FF1F497D"/>
      </left>
      <right style="thin">
        <color theme="0" tint="-0.249977111117893"/>
      </right>
      <top style="thin">
        <color theme="0" tint="-0.249977111117893"/>
      </top>
      <bottom style="thin">
        <color theme="0" tint="-0.249977111117893"/>
      </bottom>
      <diagonal/>
    </border>
    <border>
      <left style="thin">
        <color theme="0" tint="-0.249977111117893"/>
      </left>
      <right style="medium">
        <color rgb="FF1F497D"/>
      </right>
      <top style="thin">
        <color theme="0" tint="-0.249977111117893"/>
      </top>
      <bottom style="thin">
        <color theme="0" tint="-0.249977111117893"/>
      </bottom>
      <diagonal/>
    </border>
    <border>
      <left/>
      <right style="medium">
        <color rgb="FF1F497D"/>
      </right>
      <top style="thin">
        <color theme="0" tint="-0.249977111117893"/>
      </top>
      <bottom style="thin">
        <color theme="0" tint="-0.249977111117893"/>
      </bottom>
      <diagonal/>
    </border>
    <border>
      <left/>
      <right style="medium">
        <color rgb="FF1F497D"/>
      </right>
      <top/>
      <bottom style="thin">
        <color theme="0" tint="-0.249977111117893"/>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right style="medium">
        <color rgb="FF1F497D"/>
      </right>
      <top style="thin">
        <color rgb="FFBFBFBF"/>
      </top>
      <bottom style="thin">
        <color rgb="FFBFBFBF"/>
      </bottom>
      <diagonal/>
    </border>
    <border>
      <left style="medium">
        <color rgb="FF1F497D"/>
      </left>
      <right/>
      <top style="medium">
        <color rgb="FF000000"/>
      </top>
      <bottom/>
      <diagonal/>
    </border>
    <border>
      <left style="medium">
        <color rgb="FF1F497D"/>
      </left>
      <right/>
      <top style="medium">
        <color rgb="FF000000"/>
      </top>
      <bottom style="medium">
        <color rgb="FF000000"/>
      </bottom>
      <diagonal/>
    </border>
    <border>
      <left style="medium">
        <color rgb="FF1F497D"/>
      </left>
      <right/>
      <top style="thin">
        <color rgb="FFBFBFBF"/>
      </top>
      <bottom/>
      <diagonal/>
    </border>
    <border>
      <left/>
      <right/>
      <top style="thin">
        <color rgb="FFBFBFBF"/>
      </top>
      <bottom/>
      <diagonal/>
    </border>
    <border>
      <left/>
      <right style="thin">
        <color rgb="FFBFBFBF"/>
      </right>
      <top style="thin">
        <color rgb="FFBFBFBF"/>
      </top>
      <bottom/>
      <diagonal/>
    </border>
    <border>
      <left/>
      <right style="thin">
        <color rgb="FFBFBFBF"/>
      </right>
      <top/>
      <bottom/>
      <diagonal/>
    </border>
    <border>
      <left style="medium">
        <color rgb="FF1F497D"/>
      </left>
      <right/>
      <top/>
      <bottom style="thin">
        <color rgb="FFBFBFBF"/>
      </bottom>
      <diagonal/>
    </border>
    <border>
      <left/>
      <right/>
      <top/>
      <bottom style="thin">
        <color rgb="FFBFBFBF"/>
      </bottom>
      <diagonal/>
    </border>
    <border>
      <left style="thin">
        <color rgb="FFBFBFBF"/>
      </left>
      <right/>
      <top style="thin">
        <color rgb="FFBFBFBF"/>
      </top>
      <bottom/>
      <diagonal/>
    </border>
    <border>
      <left style="thin">
        <color rgb="FFBFBFBF"/>
      </left>
      <right/>
      <top/>
      <bottom/>
      <diagonal/>
    </border>
    <border>
      <left style="thin">
        <color theme="0" tint="-0.249977111117893"/>
      </left>
      <right/>
      <top style="thin">
        <color rgb="FFBFBFBF"/>
      </top>
      <bottom/>
      <diagonal/>
    </border>
    <border>
      <left/>
      <right style="medium">
        <color rgb="FF1F497D"/>
      </right>
      <top style="thin">
        <color rgb="FFBFBFBF"/>
      </top>
      <bottom/>
      <diagonal/>
    </border>
    <border>
      <left/>
      <right/>
      <top style="medium">
        <color indexed="64"/>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1F497D"/>
      </left>
      <right/>
      <top style="thin">
        <color theme="0" tint="-0.249977111117893"/>
      </top>
      <bottom/>
      <diagonal/>
    </border>
    <border>
      <left/>
      <right style="thin">
        <color theme="0" tint="-0.249977111117893"/>
      </right>
      <top style="thin">
        <color theme="0" tint="-0.249977111117893"/>
      </top>
      <bottom/>
      <diagonal/>
    </border>
    <border>
      <left/>
      <right style="thin">
        <color theme="0" tint="-0.249977111117893"/>
      </right>
      <top/>
      <bottom/>
      <diagonal/>
    </border>
    <border>
      <left style="medium">
        <color rgb="FF1F497D"/>
      </left>
      <right/>
      <top/>
      <bottom style="thin">
        <color theme="0" tint="-0.249977111117893"/>
      </bottom>
      <diagonal/>
    </border>
    <border>
      <left/>
      <right style="thin">
        <color theme="0" tint="-0.24994659260841701"/>
      </right>
      <top/>
      <bottom/>
      <diagonal/>
    </border>
  </borders>
  <cellStyleXfs count="35">
    <xf numFmtId="0" fontId="0" fillId="0" borderId="0"/>
    <xf numFmtId="0" fontId="16" fillId="2" borderId="1" applyNumberFormat="0" applyProtection="0">
      <alignment horizontal="left" vertical="center" readingOrder="1"/>
    </xf>
    <xf numFmtId="0" fontId="17" fillId="2" borderId="2">
      <alignment horizontal="left"/>
    </xf>
    <xf numFmtId="0" fontId="17" fillId="2" borderId="3">
      <alignment horizontal="right"/>
    </xf>
    <xf numFmtId="0" fontId="17" fillId="2" borderId="3">
      <alignment horizontal="left"/>
    </xf>
    <xf numFmtId="3" fontId="18" fillId="3" borderId="4">
      <alignment horizontal="right"/>
    </xf>
    <xf numFmtId="170" fontId="11" fillId="3" borderId="4">
      <alignment horizontal="right"/>
    </xf>
    <xf numFmtId="4" fontId="11" fillId="3" borderId="4">
      <alignment horizontal="right"/>
    </xf>
    <xf numFmtId="0" fontId="20" fillId="4" borderId="5" applyNumberFormat="0" applyAlignment="0" applyProtection="0"/>
    <xf numFmtId="0" fontId="18" fillId="3" borderId="6"/>
    <xf numFmtId="0" fontId="19" fillId="3" borderId="6"/>
    <xf numFmtId="0" fontId="10" fillId="0" borderId="0" applyNumberFormat="0" applyFill="0" applyBorder="0" applyAlignment="0" applyProtection="0">
      <alignment vertical="top"/>
      <protection locked="0"/>
    </xf>
    <xf numFmtId="165" fontId="22" fillId="0" borderId="0" applyFont="0" applyFill="0" applyBorder="0" applyAlignment="0" applyProtection="0"/>
    <xf numFmtId="165" fontId="12" fillId="0" borderId="0" applyFont="0" applyFill="0" applyBorder="0" applyAlignment="0" applyProtection="0"/>
    <xf numFmtId="0" fontId="24" fillId="0" borderId="0"/>
    <xf numFmtId="0" fontId="12" fillId="0" borderId="0"/>
    <xf numFmtId="9" fontId="8" fillId="0" borderId="0" applyFont="0" applyFill="0" applyBorder="0" applyAlignment="0" applyProtection="0"/>
    <xf numFmtId="9" fontId="22" fillId="0" borderId="0" applyFont="0" applyFill="0" applyBorder="0" applyAlignment="0" applyProtection="0"/>
    <xf numFmtId="9" fontId="12" fillId="0" borderId="0" applyFont="0" applyFill="0" applyBorder="0" applyAlignment="0" applyProtection="0"/>
    <xf numFmtId="9" fontId="24" fillId="0" borderId="0" applyFont="0" applyFill="0" applyBorder="0" applyAlignment="0" applyProtection="0"/>
    <xf numFmtId="0" fontId="7" fillId="0" borderId="0"/>
    <xf numFmtId="0" fontId="7" fillId="0" borderId="0"/>
    <xf numFmtId="9" fontId="8" fillId="0" borderId="0" applyFont="0" applyFill="0" applyBorder="0" applyAlignment="0" applyProtection="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6" fillId="0" borderId="0"/>
    <xf numFmtId="9" fontId="6" fillId="0" borderId="0" applyFont="0" applyFill="0" applyBorder="0" applyAlignment="0" applyProtection="0"/>
    <xf numFmtId="0" fontId="5" fillId="0" borderId="0"/>
    <xf numFmtId="0" fontId="4" fillId="0" borderId="0"/>
    <xf numFmtId="9" fontId="4" fillId="0" borderId="0" applyFont="0" applyFill="0" applyBorder="0" applyAlignment="0" applyProtection="0"/>
    <xf numFmtId="9" fontId="3" fillId="0" borderId="0" applyFont="0" applyFill="0" applyBorder="0" applyAlignment="0" applyProtection="0"/>
    <xf numFmtId="0" fontId="2" fillId="0" borderId="0"/>
    <xf numFmtId="164" fontId="79" fillId="0" borderId="0" applyFont="0" applyFill="0" applyBorder="0" applyAlignment="0" applyProtection="0"/>
  </cellStyleXfs>
  <cellXfs count="1144">
    <xf numFmtId="0" fontId="0" fillId="0" borderId="0" xfId="0"/>
    <xf numFmtId="9" fontId="0" fillId="0" borderId="0" xfId="16" applyFont="1" applyAlignment="1">
      <alignment horizontal="center"/>
    </xf>
    <xf numFmtId="0" fontId="0" fillId="0" borderId="0" xfId="0" applyAlignment="1">
      <alignment horizontal="center"/>
    </xf>
    <xf numFmtId="167" fontId="0" fillId="0" borderId="0" xfId="0" applyNumberFormat="1"/>
    <xf numFmtId="10" fontId="0" fillId="0" borderId="0" xfId="0" applyNumberFormat="1" applyAlignment="1">
      <alignment horizontal="center"/>
    </xf>
    <xf numFmtId="168" fontId="0" fillId="0" borderId="0" xfId="0" applyNumberFormat="1" applyAlignment="1">
      <alignment horizontal="center"/>
    </xf>
    <xf numFmtId="0" fontId="13" fillId="0" borderId="0" xfId="0" applyFont="1" applyAlignment="1">
      <alignment horizontal="center"/>
    </xf>
    <xf numFmtId="0" fontId="26" fillId="0" borderId="0" xfId="0" applyFont="1"/>
    <xf numFmtId="0" fontId="15" fillId="0" borderId="17" xfId="0" applyFont="1" applyBorder="1"/>
    <xf numFmtId="0" fontId="23" fillId="0" borderId="0" xfId="0" applyFont="1"/>
    <xf numFmtId="0" fontId="8" fillId="0" borderId="0" xfId="0" applyFont="1"/>
    <xf numFmtId="0" fontId="8" fillId="0" borderId="17" xfId="0" applyFont="1" applyBorder="1"/>
    <xf numFmtId="0" fontId="8" fillId="0" borderId="17" xfId="0" applyFont="1" applyBorder="1" applyAlignment="1">
      <alignment horizontal="left"/>
    </xf>
    <xf numFmtId="0" fontId="13" fillId="0" borderId="0" xfId="0" applyFont="1"/>
    <xf numFmtId="167" fontId="13" fillId="0" borderId="0" xfId="0" applyNumberFormat="1" applyFont="1" applyAlignment="1">
      <alignment horizontal="center"/>
    </xf>
    <xf numFmtId="9" fontId="8" fillId="8" borderId="17" xfId="16" applyFont="1" applyFill="1" applyBorder="1" applyAlignment="1">
      <alignment horizontal="center"/>
    </xf>
    <xf numFmtId="10" fontId="8" fillId="8" borderId="17" xfId="0" applyNumberFormat="1" applyFont="1" applyFill="1" applyBorder="1" applyAlignment="1">
      <alignment horizontal="center"/>
    </xf>
    <xf numFmtId="0" fontId="8" fillId="8" borderId="21" xfId="0" applyFont="1" applyFill="1" applyBorder="1" applyAlignment="1">
      <alignment horizontal="center" vertical="center"/>
    </xf>
    <xf numFmtId="0" fontId="26" fillId="8" borderId="0" xfId="0" applyFont="1" applyFill="1"/>
    <xf numFmtId="0" fontId="33" fillId="0" borderId="0" xfId="0" applyFont="1"/>
    <xf numFmtId="0" fontId="26" fillId="8" borderId="0" xfId="0" applyFont="1" applyFill="1" applyAlignment="1">
      <alignment horizontal="center"/>
    </xf>
    <xf numFmtId="0" fontId="35" fillId="0" borderId="0" xfId="0" applyFont="1"/>
    <xf numFmtId="0" fontId="35" fillId="12" borderId="0" xfId="0" applyFont="1" applyFill="1"/>
    <xf numFmtId="3" fontId="35" fillId="0" borderId="0" xfId="0" applyNumberFormat="1" applyFont="1" applyAlignment="1">
      <alignment horizontal="center"/>
    </xf>
    <xf numFmtId="0" fontId="35" fillId="0" borderId="0" xfId="0" applyFont="1" applyAlignment="1">
      <alignment horizontal="left"/>
    </xf>
    <xf numFmtId="0" fontId="35" fillId="19" borderId="0" xfId="0" applyFont="1" applyFill="1"/>
    <xf numFmtId="3" fontId="35" fillId="19" borderId="0" xfId="0" applyNumberFormat="1" applyFont="1" applyFill="1" applyAlignment="1">
      <alignment horizontal="center"/>
    </xf>
    <xf numFmtId="0" fontId="0" fillId="12" borderId="0" xfId="0" applyFill="1"/>
    <xf numFmtId="3" fontId="35" fillId="0" borderId="0" xfId="0" applyNumberFormat="1" applyFont="1"/>
    <xf numFmtId="3" fontId="36" fillId="19" borderId="0" xfId="0" applyNumberFormat="1" applyFont="1" applyFill="1" applyAlignment="1">
      <alignment horizontal="center"/>
    </xf>
    <xf numFmtId="3" fontId="35" fillId="12" borderId="0" xfId="0" applyNumberFormat="1" applyFont="1" applyFill="1" applyAlignment="1">
      <alignment horizontal="center"/>
    </xf>
    <xf numFmtId="3" fontId="36" fillId="12" borderId="0" xfId="0" applyNumberFormat="1" applyFont="1" applyFill="1" applyAlignment="1">
      <alignment horizontal="center"/>
    </xf>
    <xf numFmtId="0" fontId="19" fillId="3" borderId="6" xfId="10"/>
    <xf numFmtId="0" fontId="0" fillId="20" borderId="0" xfId="0" applyFill="1"/>
    <xf numFmtId="3" fontId="23" fillId="0" borderId="0" xfId="0" applyNumberFormat="1" applyFont="1" applyAlignment="1">
      <alignment horizontal="center"/>
    </xf>
    <xf numFmtId="3" fontId="23" fillId="0" borderId="0" xfId="0" applyNumberFormat="1" applyFont="1"/>
    <xf numFmtId="0" fontId="0" fillId="21" borderId="0" xfId="0" applyFill="1"/>
    <xf numFmtId="3" fontId="23" fillId="19" borderId="0" xfId="0" applyNumberFormat="1" applyFont="1" applyFill="1" applyAlignment="1">
      <alignment horizontal="center"/>
    </xf>
    <xf numFmtId="0" fontId="23" fillId="19" borderId="0" xfId="0" applyFont="1" applyFill="1"/>
    <xf numFmtId="0" fontId="0" fillId="22" borderId="0" xfId="0" applyFill="1"/>
    <xf numFmtId="170" fontId="35" fillId="0" borderId="0" xfId="0" applyNumberFormat="1" applyFont="1" applyAlignment="1">
      <alignment horizontal="center"/>
    </xf>
    <xf numFmtId="0" fontId="38" fillId="0" borderId="0" xfId="0" applyFont="1"/>
    <xf numFmtId="0" fontId="39" fillId="0" borderId="0" xfId="0" applyFont="1"/>
    <xf numFmtId="0" fontId="40" fillId="0" borderId="0" xfId="0" applyFont="1" applyAlignment="1">
      <alignment horizontal="center"/>
    </xf>
    <xf numFmtId="169" fontId="39" fillId="0" borderId="0" xfId="0" applyNumberFormat="1" applyFont="1" applyAlignment="1">
      <alignment horizontal="center"/>
    </xf>
    <xf numFmtId="0" fontId="41" fillId="0" borderId="0" xfId="0" applyFont="1"/>
    <xf numFmtId="0" fontId="42" fillId="0" borderId="0" xfId="0" applyFont="1"/>
    <xf numFmtId="0" fontId="0" fillId="0" borderId="12" xfId="0" applyBorder="1"/>
    <xf numFmtId="0" fontId="23" fillId="0" borderId="0" xfId="0" applyFont="1" applyAlignment="1">
      <alignment horizontal="center"/>
    </xf>
    <xf numFmtId="0" fontId="39" fillId="0" borderId="0" xfId="0" applyFont="1" applyAlignment="1">
      <alignment horizontal="center"/>
    </xf>
    <xf numFmtId="167" fontId="8" fillId="24" borderId="17" xfId="0" applyNumberFormat="1" applyFont="1" applyFill="1" applyBorder="1" applyAlignment="1">
      <alignment horizontal="center"/>
    </xf>
    <xf numFmtId="3" fontId="38" fillId="0" borderId="0" xfId="0" applyNumberFormat="1" applyFont="1"/>
    <xf numFmtId="0" fontId="40" fillId="17" borderId="0" xfId="0" applyFont="1" applyFill="1" applyAlignment="1">
      <alignment horizontal="center"/>
    </xf>
    <xf numFmtId="3" fontId="0" fillId="25" borderId="1" xfId="0" applyNumberFormat="1" applyFill="1" applyBorder="1" applyAlignment="1">
      <alignment horizontal="center"/>
    </xf>
    <xf numFmtId="3" fontId="0" fillId="25" borderId="39" xfId="0" applyNumberFormat="1" applyFill="1" applyBorder="1" applyAlignment="1">
      <alignment horizontal="center"/>
    </xf>
    <xf numFmtId="168" fontId="13" fillId="26" borderId="1" xfId="16" applyNumberFormat="1" applyFont="1" applyFill="1" applyBorder="1" applyAlignment="1">
      <alignment horizontal="center"/>
    </xf>
    <xf numFmtId="168" fontId="13" fillId="26" borderId="39" xfId="16" applyNumberFormat="1" applyFont="1" applyFill="1" applyBorder="1" applyAlignment="1">
      <alignment horizontal="center"/>
    </xf>
    <xf numFmtId="3" fontId="0" fillId="25" borderId="1" xfId="16" applyNumberFormat="1" applyFont="1" applyFill="1" applyBorder="1" applyAlignment="1">
      <alignment horizontal="center"/>
    </xf>
    <xf numFmtId="3" fontId="0" fillId="25" borderId="39" xfId="16" applyNumberFormat="1" applyFont="1" applyFill="1" applyBorder="1" applyAlignment="1">
      <alignment horizontal="center"/>
    </xf>
    <xf numFmtId="3" fontId="13" fillId="27" borderId="1" xfId="16" applyNumberFormat="1" applyFont="1" applyFill="1" applyBorder="1" applyAlignment="1">
      <alignment horizontal="center"/>
    </xf>
    <xf numFmtId="3" fontId="0" fillId="0" borderId="0" xfId="0" applyNumberFormat="1" applyAlignment="1">
      <alignment horizontal="center"/>
    </xf>
    <xf numFmtId="169" fontId="0" fillId="0" borderId="0" xfId="0" applyNumberFormat="1" applyAlignment="1">
      <alignment horizontal="center"/>
    </xf>
    <xf numFmtId="170" fontId="35" fillId="19" borderId="0" xfId="0" applyNumberFormat="1" applyFont="1" applyFill="1" applyAlignment="1">
      <alignment horizontal="center"/>
    </xf>
    <xf numFmtId="0" fontId="35" fillId="19" borderId="0" xfId="0" applyFont="1" applyFill="1" applyAlignment="1">
      <alignment horizontal="center"/>
    </xf>
    <xf numFmtId="168" fontId="35" fillId="19" borderId="0" xfId="0" applyNumberFormat="1" applyFont="1" applyFill="1" applyAlignment="1">
      <alignment horizontal="center"/>
    </xf>
    <xf numFmtId="9" fontId="35" fillId="0" borderId="0" xfId="16" applyFont="1" applyFill="1" applyAlignment="1">
      <alignment horizontal="center"/>
    </xf>
    <xf numFmtId="168" fontId="35" fillId="0" borderId="0" xfId="16" applyNumberFormat="1" applyFont="1" applyFill="1" applyAlignment="1">
      <alignment horizontal="center"/>
    </xf>
    <xf numFmtId="9" fontId="35" fillId="0" borderId="0" xfId="22" applyFont="1" applyFill="1" applyAlignment="1">
      <alignment horizontal="center"/>
    </xf>
    <xf numFmtId="172" fontId="8" fillId="24" borderId="17" xfId="0" applyNumberFormat="1" applyFont="1" applyFill="1" applyBorder="1" applyAlignment="1">
      <alignment horizontal="center"/>
    </xf>
    <xf numFmtId="168" fontId="33" fillId="24" borderId="17" xfId="16" applyNumberFormat="1" applyFont="1" applyFill="1" applyBorder="1" applyAlignment="1">
      <alignment horizontal="center"/>
    </xf>
    <xf numFmtId="0" fontId="13" fillId="0" borderId="32" xfId="0" applyFont="1" applyBorder="1"/>
    <xf numFmtId="0" fontId="17" fillId="5" borderId="8" xfId="4" applyFill="1" applyBorder="1" applyAlignment="1"/>
    <xf numFmtId="0" fontId="8" fillId="0" borderId="0" xfId="26"/>
    <xf numFmtId="0" fontId="27" fillId="5" borderId="7" xfId="26" applyFont="1" applyFill="1" applyBorder="1" applyAlignment="1">
      <alignment horizontal="center"/>
    </xf>
    <xf numFmtId="0" fontId="27" fillId="5" borderId="11" xfId="26" applyFont="1" applyFill="1" applyBorder="1" applyAlignment="1">
      <alignment horizontal="center"/>
    </xf>
    <xf numFmtId="0" fontId="29" fillId="3" borderId="10" xfId="10" applyFont="1" applyBorder="1"/>
    <xf numFmtId="0" fontId="8" fillId="0" borderId="0" xfId="26" applyAlignment="1">
      <alignment vertical="center"/>
    </xf>
    <xf numFmtId="0" fontId="29" fillId="3" borderId="13" xfId="10" applyFont="1" applyBorder="1"/>
    <xf numFmtId="0" fontId="29" fillId="0" borderId="10" xfId="10" applyFont="1" applyFill="1" applyBorder="1"/>
    <xf numFmtId="0" fontId="20" fillId="0" borderId="0" xfId="8" applyFill="1" applyBorder="1"/>
    <xf numFmtId="9" fontId="8" fillId="0" borderId="0" xfId="28" applyFont="1"/>
    <xf numFmtId="0" fontId="30" fillId="0" borderId="0" xfId="11" applyFont="1" applyAlignment="1" applyProtection="1"/>
    <xf numFmtId="0" fontId="27" fillId="29" borderId="0" xfId="26" applyFont="1" applyFill="1" applyAlignment="1">
      <alignment horizontal="center" vertical="center"/>
    </xf>
    <xf numFmtId="0" fontId="28" fillId="0" borderId="9" xfId="9" applyFont="1" applyFill="1" applyBorder="1"/>
    <xf numFmtId="0" fontId="19" fillId="3" borderId="13" xfId="10" applyBorder="1"/>
    <xf numFmtId="0" fontId="19" fillId="3" borderId="10" xfId="10" applyBorder="1"/>
    <xf numFmtId="0" fontId="26" fillId="0" borderId="0" xfId="26" applyFont="1"/>
    <xf numFmtId="0" fontId="13" fillId="0" borderId="27" xfId="0" applyFont="1" applyBorder="1"/>
    <xf numFmtId="0" fontId="13" fillId="0" borderId="33" xfId="0" applyFont="1" applyBorder="1"/>
    <xf numFmtId="0" fontId="0" fillId="0" borderId="4" xfId="0" applyBorder="1"/>
    <xf numFmtId="0" fontId="0" fillId="0" borderId="6" xfId="0" applyBorder="1"/>
    <xf numFmtId="0" fontId="0" fillId="0" borderId="31" xfId="0" applyBorder="1"/>
    <xf numFmtId="0" fontId="0" fillId="0" borderId="2" xfId="0" applyBorder="1"/>
    <xf numFmtId="0" fontId="0" fillId="0" borderId="32" xfId="0" applyBorder="1"/>
    <xf numFmtId="0" fontId="0" fillId="0" borderId="27" xfId="0" applyBorder="1"/>
    <xf numFmtId="0" fontId="0" fillId="0" borderId="33" xfId="0" applyBorder="1"/>
    <xf numFmtId="0" fontId="13" fillId="0" borderId="38" xfId="0" applyFont="1" applyBorder="1"/>
    <xf numFmtId="0" fontId="13" fillId="0" borderId="1" xfId="0" applyFont="1" applyBorder="1"/>
    <xf numFmtId="0" fontId="13" fillId="0" borderId="39" xfId="0" applyFont="1" applyBorder="1"/>
    <xf numFmtId="0" fontId="0" fillId="8" borderId="0" xfId="0" applyFill="1"/>
    <xf numFmtId="0" fontId="35" fillId="19" borderId="0" xfId="0" applyFont="1" applyFill="1" applyAlignment="1">
      <alignment horizontal="left" indent="1"/>
    </xf>
    <xf numFmtId="170" fontId="35" fillId="19" borderId="0" xfId="0" applyNumberFormat="1" applyFont="1" applyFill="1" applyAlignment="1">
      <alignment horizontal="left" indent="1"/>
    </xf>
    <xf numFmtId="0" fontId="35" fillId="30" borderId="0" xfId="0" applyFont="1" applyFill="1" applyAlignment="1">
      <alignment horizontal="left" indent="1"/>
    </xf>
    <xf numFmtId="0" fontId="23" fillId="0" borderId="0" xfId="0" applyFont="1" applyAlignment="1">
      <alignment horizontal="left"/>
    </xf>
    <xf numFmtId="0" fontId="27" fillId="32" borderId="23" xfId="0" applyFont="1" applyFill="1" applyBorder="1" applyAlignment="1">
      <alignment horizontal="center"/>
    </xf>
    <xf numFmtId="0" fontId="27" fillId="32" borderId="20" xfId="0" applyFont="1" applyFill="1" applyBorder="1" applyAlignment="1">
      <alignment horizontal="center"/>
    </xf>
    <xf numFmtId="9" fontId="33" fillId="8" borderId="46" xfId="16" applyFont="1" applyFill="1" applyBorder="1" applyAlignment="1">
      <alignment horizontal="center"/>
    </xf>
    <xf numFmtId="9" fontId="8" fillId="8" borderId="46" xfId="16" applyFont="1" applyFill="1" applyBorder="1" applyAlignment="1">
      <alignment horizontal="center"/>
    </xf>
    <xf numFmtId="0" fontId="13" fillId="0" borderId="46" xfId="0" applyFont="1" applyBorder="1" applyAlignment="1">
      <alignment horizontal="center"/>
    </xf>
    <xf numFmtId="168" fontId="33" fillId="24" borderId="46" xfId="16" applyNumberFormat="1" applyFont="1" applyFill="1" applyBorder="1" applyAlignment="1">
      <alignment horizontal="center"/>
    </xf>
    <xf numFmtId="0" fontId="27" fillId="32" borderId="17" xfId="0" applyFont="1" applyFill="1" applyBorder="1" applyAlignment="1">
      <alignment horizontal="center" vertical="center" wrapText="1"/>
    </xf>
    <xf numFmtId="0" fontId="27" fillId="32" borderId="46" xfId="0" applyFont="1" applyFill="1" applyBorder="1" applyAlignment="1">
      <alignment horizontal="center"/>
    </xf>
    <xf numFmtId="3" fontId="8" fillId="0" borderId="0" xfId="0" applyNumberFormat="1" applyFont="1"/>
    <xf numFmtId="0" fontId="8" fillId="17" borderId="38" xfId="0" applyFont="1" applyFill="1" applyBorder="1"/>
    <xf numFmtId="0" fontId="8" fillId="0" borderId="38" xfId="0" applyFont="1" applyBorder="1" applyAlignment="1">
      <alignment horizontal="left" indent="1"/>
    </xf>
    <xf numFmtId="0" fontId="8" fillId="0" borderId="38" xfId="0" applyFont="1" applyBorder="1" applyAlignment="1">
      <alignment horizontal="left"/>
    </xf>
    <xf numFmtId="0" fontId="8" fillId="17" borderId="38" xfId="0" applyFont="1" applyFill="1" applyBorder="1" applyAlignment="1">
      <alignment horizontal="left" indent="1"/>
    </xf>
    <xf numFmtId="0" fontId="13" fillId="0" borderId="38" xfId="0" applyFont="1" applyBorder="1" applyAlignment="1">
      <alignment horizontal="left"/>
    </xf>
    <xf numFmtId="0" fontId="13" fillId="17" borderId="38" xfId="0" applyFont="1" applyFill="1" applyBorder="1"/>
    <xf numFmtId="0" fontId="8" fillId="0" borderId="38" xfId="0" applyFont="1" applyBorder="1"/>
    <xf numFmtId="173" fontId="8" fillId="24" borderId="17" xfId="0" applyNumberFormat="1" applyFont="1" applyFill="1" applyBorder="1" applyAlignment="1">
      <alignment horizontal="center"/>
    </xf>
    <xf numFmtId="9" fontId="8" fillId="24" borderId="17" xfId="16" applyFont="1" applyFill="1" applyBorder="1" applyAlignment="1">
      <alignment horizontal="center"/>
    </xf>
    <xf numFmtId="167" fontId="8" fillId="7" borderId="17" xfId="0" applyNumberFormat="1" applyFont="1" applyFill="1" applyBorder="1" applyAlignment="1">
      <alignment horizontal="center"/>
    </xf>
    <xf numFmtId="4" fontId="8" fillId="7" borderId="17" xfId="0" applyNumberFormat="1" applyFont="1" applyFill="1" applyBorder="1" applyAlignment="1">
      <alignment horizontal="center"/>
    </xf>
    <xf numFmtId="9" fontId="33" fillId="7" borderId="46" xfId="16" applyFont="1" applyFill="1" applyBorder="1" applyAlignment="1">
      <alignment horizontal="center"/>
    </xf>
    <xf numFmtId="0" fontId="8" fillId="7" borderId="17" xfId="0" applyFont="1" applyFill="1" applyBorder="1"/>
    <xf numFmtId="9" fontId="8" fillId="7" borderId="17" xfId="16" applyFont="1" applyFill="1" applyBorder="1" applyAlignment="1">
      <alignment horizontal="center"/>
    </xf>
    <xf numFmtId="168" fontId="8" fillId="7" borderId="17" xfId="16" applyNumberFormat="1" applyFont="1" applyFill="1" applyBorder="1" applyAlignment="1">
      <alignment horizontal="center"/>
    </xf>
    <xf numFmtId="9" fontId="8" fillId="7" borderId="17" xfId="16" applyFont="1" applyFill="1" applyBorder="1"/>
    <xf numFmtId="173" fontId="33" fillId="8" borderId="46" xfId="16" applyNumberFormat="1" applyFont="1" applyFill="1" applyBorder="1" applyAlignment="1">
      <alignment horizontal="center"/>
    </xf>
    <xf numFmtId="173" fontId="8" fillId="8" borderId="46" xfId="0" applyNumberFormat="1" applyFont="1" applyFill="1" applyBorder="1" applyAlignment="1">
      <alignment horizontal="center"/>
    </xf>
    <xf numFmtId="0" fontId="48" fillId="32" borderId="46" xfId="0" applyFont="1" applyFill="1" applyBorder="1" applyAlignment="1">
      <alignment horizontal="center"/>
    </xf>
    <xf numFmtId="0" fontId="49" fillId="32" borderId="46" xfId="0" applyFont="1" applyFill="1" applyBorder="1" applyAlignment="1">
      <alignment horizontal="center"/>
    </xf>
    <xf numFmtId="167" fontId="13" fillId="24" borderId="17" xfId="0" applyNumberFormat="1" applyFont="1" applyFill="1" applyBorder="1" applyAlignment="1">
      <alignment horizontal="center"/>
    </xf>
    <xf numFmtId="0" fontId="13" fillId="14" borderId="12" xfId="0" applyFont="1" applyFill="1" applyBorder="1" applyAlignment="1">
      <alignment horizontal="center"/>
    </xf>
    <xf numFmtId="0" fontId="0" fillId="0" borderId="44" xfId="0" applyBorder="1"/>
    <xf numFmtId="0" fontId="0" fillId="0" borderId="59" xfId="0" applyBorder="1"/>
    <xf numFmtId="0" fontId="13" fillId="0" borderId="77" xfId="0" applyFont="1" applyBorder="1" applyAlignment="1">
      <alignment horizontal="left"/>
    </xf>
    <xf numFmtId="0" fontId="13" fillId="0" borderId="78" xfId="0" applyFont="1" applyBorder="1" applyAlignment="1">
      <alignment horizontal="left"/>
    </xf>
    <xf numFmtId="9" fontId="0" fillId="0" borderId="78" xfId="16" applyFont="1" applyBorder="1"/>
    <xf numFmtId="9" fontId="0" fillId="0" borderId="79" xfId="16" applyFont="1" applyBorder="1"/>
    <xf numFmtId="9" fontId="0" fillId="0" borderId="55" xfId="0" applyNumberFormat="1" applyBorder="1"/>
    <xf numFmtId="167" fontId="0" fillId="0" borderId="72" xfId="0" applyNumberFormat="1" applyBorder="1" applyAlignment="1">
      <alignment horizontal="center"/>
    </xf>
    <xf numFmtId="167" fontId="0" fillId="0" borderId="75" xfId="0" applyNumberFormat="1" applyBorder="1" applyAlignment="1">
      <alignment horizontal="center"/>
    </xf>
    <xf numFmtId="0" fontId="0" fillId="33" borderId="80" xfId="0" applyFill="1" applyBorder="1"/>
    <xf numFmtId="0" fontId="0" fillId="33" borderId="81" xfId="0" applyFill="1" applyBorder="1"/>
    <xf numFmtId="10" fontId="0" fillId="33" borderId="81" xfId="0" applyNumberFormat="1" applyFill="1" applyBorder="1"/>
    <xf numFmtId="0" fontId="13" fillId="8" borderId="34" xfId="0" applyFont="1" applyFill="1" applyBorder="1" applyAlignment="1">
      <alignment horizontal="center"/>
    </xf>
    <xf numFmtId="9" fontId="0" fillId="0" borderId="83" xfId="16" applyFont="1" applyBorder="1"/>
    <xf numFmtId="0" fontId="13" fillId="0" borderId="83" xfId="0" applyFont="1" applyBorder="1"/>
    <xf numFmtId="0" fontId="13" fillId="14" borderId="54" xfId="0" applyFont="1" applyFill="1" applyBorder="1" applyAlignment="1">
      <alignment horizontal="center"/>
    </xf>
    <xf numFmtId="9" fontId="13" fillId="14" borderId="54" xfId="16" applyFont="1" applyFill="1" applyBorder="1" applyAlignment="1">
      <alignment horizontal="center"/>
    </xf>
    <xf numFmtId="0" fontId="13" fillId="0" borderId="54" xfId="0" applyFont="1" applyBorder="1" applyAlignment="1">
      <alignment horizontal="center"/>
    </xf>
    <xf numFmtId="167" fontId="0" fillId="0" borderId="84" xfId="0" applyNumberFormat="1" applyBorder="1" applyAlignment="1">
      <alignment horizontal="center"/>
    </xf>
    <xf numFmtId="0" fontId="13" fillId="0" borderId="85" xfId="0" applyFont="1" applyBorder="1"/>
    <xf numFmtId="0" fontId="0" fillId="0" borderId="56" xfId="0" applyBorder="1"/>
    <xf numFmtId="0" fontId="10" fillId="0" borderId="57" xfId="11" applyBorder="1" applyAlignment="1" applyProtection="1">
      <alignment horizontal="center"/>
    </xf>
    <xf numFmtId="0" fontId="0" fillId="0" borderId="57" xfId="0" applyBorder="1" applyAlignment="1">
      <alignment horizontal="center"/>
    </xf>
    <xf numFmtId="0" fontId="0" fillId="0" borderId="57" xfId="0" applyBorder="1"/>
    <xf numFmtId="0" fontId="0" fillId="0" borderId="58" xfId="0" applyBorder="1"/>
    <xf numFmtId="0" fontId="0" fillId="0" borderId="45" xfId="0" applyBorder="1"/>
    <xf numFmtId="0" fontId="0" fillId="0" borderId="64" xfId="0" applyBorder="1"/>
    <xf numFmtId="0" fontId="0" fillId="0" borderId="64" xfId="0" applyBorder="1" applyAlignment="1">
      <alignment horizontal="center"/>
    </xf>
    <xf numFmtId="0" fontId="0" fillId="0" borderId="65" xfId="0" applyBorder="1"/>
    <xf numFmtId="9" fontId="0" fillId="0" borderId="0" xfId="0" applyNumberFormat="1"/>
    <xf numFmtId="0" fontId="13" fillId="14" borderId="82" xfId="0" applyFont="1" applyFill="1" applyBorder="1" applyAlignment="1">
      <alignment horizontal="center"/>
    </xf>
    <xf numFmtId="0" fontId="0" fillId="33" borderId="61" xfId="0" applyFill="1" applyBorder="1"/>
    <xf numFmtId="0" fontId="0" fillId="33" borderId="63" xfId="0" applyFill="1" applyBorder="1"/>
    <xf numFmtId="0" fontId="13" fillId="0" borderId="61" xfId="0" applyFont="1" applyBorder="1" applyAlignment="1">
      <alignment horizontal="center"/>
    </xf>
    <xf numFmtId="167" fontId="0" fillId="0" borderId="73" xfId="0" applyNumberFormat="1" applyBorder="1" applyAlignment="1">
      <alignment horizontal="center"/>
    </xf>
    <xf numFmtId="167" fontId="0" fillId="0" borderId="76" xfId="0" applyNumberFormat="1" applyBorder="1" applyAlignment="1">
      <alignment horizontal="center"/>
    </xf>
    <xf numFmtId="0" fontId="13" fillId="8" borderId="9" xfId="0" applyFont="1" applyFill="1" applyBorder="1" applyAlignment="1">
      <alignment horizontal="center"/>
    </xf>
    <xf numFmtId="173" fontId="0" fillId="0" borderId="88" xfId="0" applyNumberFormat="1" applyBorder="1" applyAlignment="1">
      <alignment horizontal="center"/>
    </xf>
    <xf numFmtId="0" fontId="0" fillId="31" borderId="62" xfId="0" applyFill="1" applyBorder="1"/>
    <xf numFmtId="0" fontId="27" fillId="31" borderId="62" xfId="0" applyFont="1" applyFill="1" applyBorder="1" applyAlignment="1">
      <alignment horizontal="left"/>
    </xf>
    <xf numFmtId="9" fontId="0" fillId="31" borderId="62" xfId="16" applyFont="1" applyFill="1" applyBorder="1" applyAlignment="1">
      <alignment horizontal="center" vertical="center"/>
    </xf>
    <xf numFmtId="171" fontId="27" fillId="31" borderId="63" xfId="0" applyNumberFormat="1" applyFont="1" applyFill="1" applyBorder="1" applyAlignment="1">
      <alignment horizontal="center" vertical="center"/>
    </xf>
    <xf numFmtId="0" fontId="13" fillId="17" borderId="94" xfId="0" applyFont="1" applyFill="1" applyBorder="1"/>
    <xf numFmtId="0" fontId="13" fillId="17" borderId="96" xfId="0" applyFont="1" applyFill="1" applyBorder="1"/>
    <xf numFmtId="0" fontId="27" fillId="32" borderId="99" xfId="0" applyFont="1" applyFill="1" applyBorder="1" applyAlignment="1">
      <alignment horizontal="center"/>
    </xf>
    <xf numFmtId="0" fontId="0" fillId="32" borderId="100" xfId="0" applyFill="1" applyBorder="1"/>
    <xf numFmtId="0" fontId="0" fillId="32" borderId="101" xfId="0" applyFill="1" applyBorder="1"/>
    <xf numFmtId="0" fontId="27" fillId="32" borderId="94" xfId="0" applyFont="1" applyFill="1" applyBorder="1" applyAlignment="1">
      <alignment horizontal="center"/>
    </xf>
    <xf numFmtId="0" fontId="0" fillId="32" borderId="90" xfId="0" applyFill="1" applyBorder="1"/>
    <xf numFmtId="0" fontId="13" fillId="0" borderId="92" xfId="0" applyFont="1" applyBorder="1" applyAlignment="1">
      <alignment horizontal="left" vertical="center"/>
    </xf>
    <xf numFmtId="0" fontId="47" fillId="5" borderId="61" xfId="0" applyFont="1" applyFill="1" applyBorder="1" applyAlignment="1">
      <alignment horizontal="left" vertical="center"/>
    </xf>
    <xf numFmtId="0" fontId="47" fillId="31" borderId="61" xfId="0" applyFont="1" applyFill="1" applyBorder="1" applyAlignment="1">
      <alignment horizontal="left" vertical="center"/>
    </xf>
    <xf numFmtId="0" fontId="13" fillId="8" borderId="92" xfId="0" applyFont="1" applyFill="1" applyBorder="1" applyAlignment="1">
      <alignment horizontal="left" vertical="center"/>
    </xf>
    <xf numFmtId="0" fontId="13" fillId="8" borderId="94" xfId="0" applyFont="1" applyFill="1" applyBorder="1" applyAlignment="1">
      <alignment horizontal="left" vertical="center"/>
    </xf>
    <xf numFmtId="0" fontId="0" fillId="31" borderId="62" xfId="0" applyFill="1" applyBorder="1" applyAlignment="1">
      <alignment horizontal="center"/>
    </xf>
    <xf numFmtId="0" fontId="8" fillId="0" borderId="56" xfId="0" applyFont="1" applyBorder="1"/>
    <xf numFmtId="0" fontId="50" fillId="5" borderId="53" xfId="0" applyFont="1" applyFill="1" applyBorder="1" applyAlignment="1">
      <alignment horizontal="center"/>
    </xf>
    <xf numFmtId="0" fontId="50" fillId="5" borderId="53" xfId="0" applyFont="1" applyFill="1" applyBorder="1"/>
    <xf numFmtId="0" fontId="0" fillId="0" borderId="53" xfId="0" applyBorder="1"/>
    <xf numFmtId="173" fontId="0" fillId="24" borderId="90" xfId="0" applyNumberFormat="1" applyFill="1" applyBorder="1" applyAlignment="1">
      <alignment horizontal="center"/>
    </xf>
    <xf numFmtId="173" fontId="0" fillId="24" borderId="97" xfId="0" applyNumberFormat="1" applyFill="1" applyBorder="1" applyAlignment="1">
      <alignment horizontal="center"/>
    </xf>
    <xf numFmtId="0" fontId="29" fillId="0" borderId="10" xfId="26" applyFont="1" applyBorder="1" applyAlignment="1">
      <alignment horizontal="center"/>
    </xf>
    <xf numFmtId="0" fontId="29" fillId="0" borderId="15" xfId="26" applyFont="1" applyBorder="1" applyAlignment="1">
      <alignment horizontal="center"/>
    </xf>
    <xf numFmtId="0" fontId="29" fillId="0" borderId="10" xfId="26" applyFont="1" applyBorder="1" applyAlignment="1">
      <alignment horizontal="center" vertical="center"/>
    </xf>
    <xf numFmtId="0" fontId="29" fillId="0" borderId="15" xfId="26" applyFont="1" applyBorder="1" applyAlignment="1">
      <alignment horizontal="center" vertical="center"/>
    </xf>
    <xf numFmtId="0" fontId="29" fillId="0" borderId="14" xfId="26" applyFont="1" applyBorder="1" applyAlignment="1">
      <alignment horizontal="center"/>
    </xf>
    <xf numFmtId="0" fontId="29" fillId="0" borderId="16" xfId="26" applyFont="1" applyBorder="1" applyAlignment="1">
      <alignment horizontal="center"/>
    </xf>
    <xf numFmtId="0" fontId="51" fillId="5" borderId="105" xfId="4" applyFont="1" applyFill="1" applyBorder="1" applyAlignment="1">
      <alignment horizontal="center" vertical="center"/>
    </xf>
    <xf numFmtId="0" fontId="51" fillId="5" borderId="105" xfId="3" applyFont="1" applyFill="1" applyBorder="1" applyAlignment="1">
      <alignment horizontal="center" vertical="center" wrapText="1"/>
    </xf>
    <xf numFmtId="0" fontId="51" fillId="5" borderId="105" xfId="3" applyFont="1" applyFill="1" applyBorder="1" applyAlignment="1">
      <alignment horizontal="center" vertical="center"/>
    </xf>
    <xf numFmtId="0" fontId="8" fillId="3" borderId="105" xfId="10" applyFont="1" applyBorder="1" applyAlignment="1">
      <alignment horizontal="center" vertical="center"/>
    </xf>
    <xf numFmtId="170" fontId="8" fillId="8" borderId="105" xfId="6" applyFont="1" applyFill="1" applyBorder="1" applyAlignment="1">
      <alignment horizontal="right" vertical="center" wrapText="1"/>
    </xf>
    <xf numFmtId="0" fontId="29" fillId="3" borderId="105" xfId="10" applyFont="1" applyBorder="1" applyAlignment="1">
      <alignment vertical="center"/>
    </xf>
    <xf numFmtId="170" fontId="8" fillId="3" borderId="105" xfId="6" applyFont="1" applyBorder="1" applyAlignment="1">
      <alignment horizontal="right" vertical="center" wrapText="1"/>
    </xf>
    <xf numFmtId="0" fontId="29" fillId="3" borderId="105" xfId="10" applyFont="1" applyBorder="1" applyAlignment="1">
      <alignment horizontal="center" vertical="center"/>
    </xf>
    <xf numFmtId="3" fontId="13" fillId="34" borderId="107" xfId="5" applyFont="1" applyFill="1" applyBorder="1" applyAlignment="1">
      <alignment horizontal="center" vertical="center"/>
    </xf>
    <xf numFmtId="0" fontId="13" fillId="0" borderId="0" xfId="26" applyFont="1" applyAlignment="1">
      <alignment vertical="center"/>
    </xf>
    <xf numFmtId="0" fontId="8" fillId="12" borderId="0" xfId="26" applyFill="1" applyAlignment="1">
      <alignment vertical="center"/>
    </xf>
    <xf numFmtId="0" fontId="28" fillId="0" borderId="105" xfId="9" applyFont="1" applyFill="1" applyBorder="1" applyAlignment="1">
      <alignment horizontal="center" vertical="center"/>
    </xf>
    <xf numFmtId="3" fontId="52" fillId="34" borderId="106" xfId="5" applyFont="1" applyFill="1" applyBorder="1" applyAlignment="1">
      <alignment horizontal="right" vertical="center"/>
    </xf>
    <xf numFmtId="3" fontId="52" fillId="34" borderId="107" xfId="5" applyFont="1" applyFill="1" applyBorder="1" applyAlignment="1">
      <alignment horizontal="right" vertical="center"/>
    </xf>
    <xf numFmtId="3" fontId="52" fillId="34" borderId="108" xfId="5" applyFont="1" applyFill="1" applyBorder="1" applyAlignment="1">
      <alignment horizontal="right" vertical="center"/>
    </xf>
    <xf numFmtId="170" fontId="8" fillId="3" borderId="105" xfId="6" applyFont="1" applyBorder="1" applyAlignment="1">
      <alignment horizontal="center" vertical="center"/>
    </xf>
    <xf numFmtId="4" fontId="32" fillId="0" borderId="105" xfId="7" applyFont="1" applyFill="1" applyBorder="1" applyAlignment="1">
      <alignment horizontal="right" vertical="center"/>
    </xf>
    <xf numFmtId="0" fontId="0" fillId="34" borderId="107" xfId="0" applyFill="1" applyBorder="1" applyAlignment="1">
      <alignment horizontal="center" vertical="center"/>
    </xf>
    <xf numFmtId="4" fontId="8" fillId="34" borderId="107" xfId="7" applyFont="1" applyFill="1" applyBorder="1" applyAlignment="1">
      <alignment horizontal="right" vertical="center"/>
    </xf>
    <xf numFmtId="3" fontId="13" fillId="34" borderId="108" xfId="5" applyFont="1" applyFill="1" applyBorder="1" applyAlignment="1">
      <alignment horizontal="right" vertical="center" wrapText="1"/>
    </xf>
    <xf numFmtId="4" fontId="8" fillId="8" borderId="105" xfId="7" applyFont="1" applyFill="1" applyBorder="1" applyAlignment="1">
      <alignment horizontal="right" vertical="center" wrapText="1"/>
    </xf>
    <xf numFmtId="4" fontId="8" fillId="3" borderId="105" xfId="7" applyFont="1" applyBorder="1" applyAlignment="1">
      <alignment horizontal="center" vertical="center"/>
    </xf>
    <xf numFmtId="4" fontId="8" fillId="3" borderId="105" xfId="7" applyFont="1" applyBorder="1" applyAlignment="1">
      <alignment horizontal="right" vertical="center" wrapText="1"/>
    </xf>
    <xf numFmtId="0" fontId="29" fillId="0" borderId="105" xfId="10" applyFont="1" applyFill="1" applyBorder="1" applyAlignment="1">
      <alignment vertical="center"/>
    </xf>
    <xf numFmtId="0" fontId="8" fillId="0" borderId="105" xfId="10" applyFont="1" applyFill="1" applyBorder="1" applyAlignment="1">
      <alignment horizontal="center" vertical="center"/>
    </xf>
    <xf numFmtId="0" fontId="8" fillId="0" borderId="105" xfId="27" applyFont="1" applyBorder="1" applyAlignment="1">
      <alignment horizontal="right" vertical="center" wrapText="1"/>
    </xf>
    <xf numFmtId="3" fontId="13" fillId="34" borderId="106" xfId="5" applyFont="1" applyFill="1" applyBorder="1" applyAlignment="1">
      <alignment horizontal="right" vertical="center"/>
    </xf>
    <xf numFmtId="4" fontId="8" fillId="6" borderId="105" xfId="7" applyFont="1" applyFill="1" applyBorder="1" applyAlignment="1">
      <alignment horizontal="right" vertical="center"/>
    </xf>
    <xf numFmtId="4" fontId="8" fillId="6" borderId="105" xfId="7" applyFont="1" applyFill="1" applyBorder="1" applyAlignment="1">
      <alignment horizontal="center" vertical="center"/>
    </xf>
    <xf numFmtId="4" fontId="8" fillId="0" borderId="105" xfId="7" applyFont="1" applyFill="1" applyBorder="1" applyAlignment="1">
      <alignment horizontal="right" vertical="center" wrapText="1"/>
    </xf>
    <xf numFmtId="0" fontId="29" fillId="3" borderId="105" xfId="10" applyFont="1" applyBorder="1" applyAlignment="1">
      <alignment vertical="center" wrapText="1"/>
    </xf>
    <xf numFmtId="4" fontId="8" fillId="0" borderId="105" xfId="7" applyFont="1" applyFill="1" applyBorder="1" applyAlignment="1">
      <alignment horizontal="center" vertical="center"/>
    </xf>
    <xf numFmtId="0" fontId="51" fillId="32" borderId="105" xfId="3" applyFont="1" applyFill="1" applyBorder="1" applyAlignment="1">
      <alignment horizontal="center" vertical="center" wrapText="1"/>
    </xf>
    <xf numFmtId="0" fontId="8" fillId="0" borderId="105" xfId="26" applyBorder="1"/>
    <xf numFmtId="0" fontId="8" fillId="0" borderId="105" xfId="26" applyBorder="1" applyAlignment="1">
      <alignment vertical="center"/>
    </xf>
    <xf numFmtId="0" fontId="35" fillId="12" borderId="105" xfId="26" applyFont="1" applyFill="1" applyBorder="1" applyAlignment="1">
      <alignment horizontal="center" vertical="center"/>
    </xf>
    <xf numFmtId="0" fontId="54" fillId="0" borderId="0" xfId="0" applyFont="1"/>
    <xf numFmtId="0" fontId="56" fillId="0" borderId="0" xfId="0" applyFont="1"/>
    <xf numFmtId="0" fontId="13" fillId="0" borderId="33" xfId="0" applyFont="1" applyBorder="1" applyAlignment="1">
      <alignment horizontal="center"/>
    </xf>
    <xf numFmtId="0" fontId="13" fillId="0" borderId="31" xfId="0" applyFont="1" applyBorder="1" applyAlignment="1">
      <alignment horizontal="center"/>
    </xf>
    <xf numFmtId="0" fontId="56" fillId="0" borderId="33" xfId="0" applyFont="1" applyBorder="1" applyAlignment="1">
      <alignment horizontal="center"/>
    </xf>
    <xf numFmtId="0" fontId="56" fillId="0" borderId="31" xfId="0" applyFont="1" applyBorder="1" applyAlignment="1">
      <alignment horizontal="center"/>
    </xf>
    <xf numFmtId="0" fontId="56" fillId="0" borderId="27" xfId="0" applyFont="1" applyBorder="1"/>
    <xf numFmtId="0" fontId="56" fillId="0" borderId="109" xfId="0" applyFont="1" applyBorder="1" applyAlignment="1">
      <alignment horizontal="center" vertical="center"/>
    </xf>
    <xf numFmtId="0" fontId="56" fillId="0" borderId="113" xfId="0" applyFont="1" applyBorder="1" applyAlignment="1">
      <alignment horizontal="center" vertical="center"/>
    </xf>
    <xf numFmtId="0" fontId="13" fillId="12" borderId="116" xfId="0" applyFont="1" applyFill="1" applyBorder="1" applyAlignment="1">
      <alignment horizontal="center"/>
    </xf>
    <xf numFmtId="0" fontId="56" fillId="12" borderId="116" xfId="0" applyFont="1" applyFill="1" applyBorder="1"/>
    <xf numFmtId="0" fontId="56" fillId="12" borderId="122" xfId="0" applyFont="1" applyFill="1" applyBorder="1"/>
    <xf numFmtId="0" fontId="54" fillId="12" borderId="122" xfId="0" applyFont="1" applyFill="1" applyBorder="1"/>
    <xf numFmtId="10" fontId="0" fillId="0" borderId="125" xfId="0" applyNumberFormat="1" applyBorder="1" applyAlignment="1">
      <alignment horizontal="center" vertical="center"/>
    </xf>
    <xf numFmtId="0" fontId="56" fillId="0" borderId="126" xfId="0" applyFont="1" applyBorder="1" applyAlignment="1">
      <alignment horizontal="center" vertical="center"/>
    </xf>
    <xf numFmtId="0" fontId="56" fillId="0" borderId="127" xfId="0" applyFont="1" applyBorder="1" applyAlignment="1">
      <alignment horizontal="center" vertical="center"/>
    </xf>
    <xf numFmtId="0" fontId="27" fillId="5" borderId="8" xfId="26" applyFont="1" applyFill="1" applyBorder="1" applyAlignment="1">
      <alignment horizontal="center"/>
    </xf>
    <xf numFmtId="0" fontId="54" fillId="8" borderId="0" xfId="0" applyFont="1" applyFill="1"/>
    <xf numFmtId="0" fontId="58" fillId="42" borderId="0" xfId="0" applyFont="1" applyFill="1"/>
    <xf numFmtId="0" fontId="8" fillId="37" borderId="27" xfId="0" applyFont="1" applyFill="1" applyBorder="1"/>
    <xf numFmtId="0" fontId="56" fillId="0" borderId="132" xfId="0" applyFont="1" applyBorder="1" applyAlignment="1">
      <alignment horizontal="center"/>
    </xf>
    <xf numFmtId="0" fontId="54" fillId="12" borderId="133" xfId="0" applyFont="1" applyFill="1" applyBorder="1" applyAlignment="1">
      <alignment horizontal="center"/>
    </xf>
    <xf numFmtId="0" fontId="8" fillId="39" borderId="133" xfId="0" applyFont="1" applyFill="1" applyBorder="1"/>
    <xf numFmtId="0" fontId="8" fillId="39" borderId="0" xfId="0" applyFont="1" applyFill="1"/>
    <xf numFmtId="0" fontId="13" fillId="41" borderId="27" xfId="0" quotePrefix="1" applyFont="1" applyFill="1" applyBorder="1"/>
    <xf numFmtId="0" fontId="13" fillId="41" borderId="0" xfId="0" quotePrefix="1" applyFont="1" applyFill="1"/>
    <xf numFmtId="0" fontId="54" fillId="39" borderId="0" xfId="0" applyFont="1" applyFill="1"/>
    <xf numFmtId="0" fontId="13" fillId="0" borderId="148" xfId="0" applyFont="1" applyBorder="1" applyAlignment="1">
      <alignment horizontal="center"/>
    </xf>
    <xf numFmtId="0" fontId="13" fillId="0" borderId="36" xfId="0" applyFont="1" applyBorder="1" applyAlignment="1">
      <alignment horizontal="center"/>
    </xf>
    <xf numFmtId="0" fontId="13" fillId="0" borderId="149" xfId="0" applyFont="1" applyBorder="1" applyAlignment="1">
      <alignment horizontal="center"/>
    </xf>
    <xf numFmtId="0" fontId="13" fillId="0" borderId="140" xfId="0" applyFont="1" applyBorder="1" applyAlignment="1">
      <alignment horizontal="center"/>
    </xf>
    <xf numFmtId="0" fontId="8" fillId="39" borderId="117" xfId="0" applyFont="1" applyFill="1" applyBorder="1"/>
    <xf numFmtId="10" fontId="0" fillId="0" borderId="0" xfId="16" applyNumberFormat="1" applyFont="1"/>
    <xf numFmtId="3" fontId="23" fillId="0" borderId="0" xfId="0" applyNumberFormat="1" applyFont="1" applyAlignment="1">
      <alignment horizontal="center" vertical="center"/>
    </xf>
    <xf numFmtId="3" fontId="35" fillId="19" borderId="0" xfId="0" applyNumberFormat="1" applyFont="1" applyFill="1" applyAlignment="1">
      <alignment horizontal="center" vertical="center"/>
    </xf>
    <xf numFmtId="168" fontId="33" fillId="43" borderId="143" xfId="30" applyNumberFormat="1" applyFont="1" applyFill="1" applyBorder="1" applyAlignment="1">
      <alignment horizontal="center" vertical="center"/>
    </xf>
    <xf numFmtId="0" fontId="62" fillId="0" borderId="40" xfId="0" applyFont="1" applyBorder="1" applyAlignment="1">
      <alignment horizontal="center" vertical="center"/>
    </xf>
    <xf numFmtId="9" fontId="38" fillId="0" borderId="0" xfId="16" applyFont="1"/>
    <xf numFmtId="9" fontId="0" fillId="0" borderId="84" xfId="0" applyNumberFormat="1" applyBorder="1" applyAlignment="1">
      <alignment horizontal="center"/>
    </xf>
    <xf numFmtId="9" fontId="13" fillId="0" borderId="61" xfId="0" applyNumberFormat="1" applyFont="1" applyBorder="1" applyAlignment="1">
      <alignment horizontal="center"/>
    </xf>
    <xf numFmtId="9" fontId="13" fillId="0" borderId="62" xfId="0" applyNumberFormat="1" applyFont="1" applyBorder="1" applyAlignment="1">
      <alignment horizontal="center"/>
    </xf>
    <xf numFmtId="9" fontId="8" fillId="0" borderId="66" xfId="0" applyNumberFormat="1" applyFont="1" applyBorder="1" applyAlignment="1">
      <alignment horizontal="center"/>
    </xf>
    <xf numFmtId="9" fontId="8" fillId="0" borderId="71" xfId="0" applyNumberFormat="1" applyFont="1" applyBorder="1" applyAlignment="1">
      <alignment horizontal="center"/>
    </xf>
    <xf numFmtId="9" fontId="8" fillId="0" borderId="74" xfId="0" applyNumberFormat="1" applyFont="1" applyBorder="1" applyAlignment="1">
      <alignment horizontal="center"/>
    </xf>
    <xf numFmtId="3" fontId="0" fillId="0" borderId="0" xfId="0" applyNumberFormat="1"/>
    <xf numFmtId="0" fontId="10" fillId="0" borderId="44" xfId="11" applyBorder="1" applyAlignment="1" applyProtection="1"/>
    <xf numFmtId="10" fontId="0" fillId="0" borderId="0" xfId="0" applyNumberFormat="1"/>
    <xf numFmtId="4" fontId="32" fillId="12" borderId="105" xfId="7" applyFont="1" applyFill="1" applyBorder="1" applyAlignment="1">
      <alignment horizontal="right" vertical="center"/>
    </xf>
    <xf numFmtId="4" fontId="8" fillId="0" borderId="0" xfId="7" applyFont="1" applyFill="1" applyBorder="1">
      <alignment horizontal="right"/>
    </xf>
    <xf numFmtId="4" fontId="32" fillId="0" borderId="0" xfId="7" applyFont="1" applyFill="1" applyBorder="1">
      <alignment horizontal="right"/>
    </xf>
    <xf numFmtId="4" fontId="32" fillId="9" borderId="105" xfId="7" applyFont="1" applyFill="1" applyBorder="1" applyAlignment="1">
      <alignment horizontal="right" vertical="center"/>
    </xf>
    <xf numFmtId="4" fontId="32" fillId="28" borderId="105" xfId="7" applyFont="1" applyFill="1" applyBorder="1" applyAlignment="1">
      <alignment horizontal="right" vertical="center"/>
    </xf>
    <xf numFmtId="4" fontId="25" fillId="28" borderId="105" xfId="7" applyFont="1" applyFill="1" applyBorder="1" applyAlignment="1">
      <alignment horizontal="right" vertical="center"/>
    </xf>
    <xf numFmtId="1" fontId="54" fillId="40" borderId="33" xfId="0" applyNumberFormat="1" applyFont="1" applyFill="1" applyBorder="1" applyAlignment="1">
      <alignment horizontal="center" vertical="center"/>
    </xf>
    <xf numFmtId="4" fontId="5" fillId="0" borderId="40" xfId="29" applyNumberFormat="1" applyBorder="1" applyAlignment="1">
      <alignment horizontal="center"/>
    </xf>
    <xf numFmtId="0" fontId="26" fillId="0" borderId="0" xfId="0" applyFont="1" applyAlignment="1">
      <alignment horizontal="center"/>
    </xf>
    <xf numFmtId="0" fontId="66" fillId="0" borderId="0" xfId="0" applyFont="1"/>
    <xf numFmtId="0" fontId="0" fillId="0" borderId="40" xfId="0" applyBorder="1"/>
    <xf numFmtId="0" fontId="65" fillId="0" borderId="0" xfId="0" applyFont="1"/>
    <xf numFmtId="3" fontId="54" fillId="0" borderId="33" xfId="0" applyNumberFormat="1" applyFont="1" applyBorder="1" applyAlignment="1">
      <alignment horizontal="center" vertical="center"/>
    </xf>
    <xf numFmtId="0" fontId="54" fillId="0" borderId="33" xfId="0" applyFont="1" applyBorder="1" applyAlignment="1">
      <alignment horizontal="center" vertical="center"/>
    </xf>
    <xf numFmtId="168" fontId="33" fillId="38" borderId="40" xfId="16" applyNumberFormat="1" applyFont="1" applyFill="1" applyBorder="1" applyAlignment="1">
      <alignment horizontal="center" vertical="center"/>
    </xf>
    <xf numFmtId="3" fontId="62" fillId="0" borderId="40" xfId="0" applyNumberFormat="1" applyFont="1" applyBorder="1" applyAlignment="1">
      <alignment horizontal="center" vertical="center"/>
    </xf>
    <xf numFmtId="3" fontId="62" fillId="38" borderId="40" xfId="0" applyNumberFormat="1" applyFont="1" applyFill="1" applyBorder="1" applyAlignment="1">
      <alignment horizontal="center" vertical="center"/>
    </xf>
    <xf numFmtId="168" fontId="33" fillId="43" borderId="154" xfId="30" applyNumberFormat="1" applyFont="1" applyFill="1" applyBorder="1" applyAlignment="1">
      <alignment horizontal="center" vertical="center"/>
    </xf>
    <xf numFmtId="3" fontId="4" fillId="43" borderId="38" xfId="30" applyNumberFormat="1" applyFill="1" applyBorder="1" applyAlignment="1">
      <alignment horizontal="center" vertical="center"/>
    </xf>
    <xf numFmtId="168" fontId="33" fillId="38" borderId="38" xfId="16" applyNumberFormat="1" applyFont="1" applyFill="1" applyBorder="1" applyAlignment="1">
      <alignment horizontal="center" vertical="center"/>
    </xf>
    <xf numFmtId="3" fontId="62" fillId="0" borderId="38" xfId="0" applyNumberFormat="1" applyFont="1" applyBorder="1" applyAlignment="1">
      <alignment horizontal="center" vertical="center"/>
    </xf>
    <xf numFmtId="0" fontId="62" fillId="0" borderId="38" xfId="0" applyFont="1" applyBorder="1" applyAlignment="1">
      <alignment horizontal="center" vertical="center"/>
    </xf>
    <xf numFmtId="3" fontId="62" fillId="38" borderId="38" xfId="0" applyNumberFormat="1" applyFont="1" applyFill="1" applyBorder="1" applyAlignment="1">
      <alignment horizontal="center" vertical="center"/>
    </xf>
    <xf numFmtId="0" fontId="62" fillId="38" borderId="155" xfId="0" applyFont="1" applyFill="1" applyBorder="1" applyAlignment="1">
      <alignment horizontal="center" vertical="center"/>
    </xf>
    <xf numFmtId="1" fontId="59" fillId="0" borderId="40" xfId="0" applyNumberFormat="1" applyFont="1" applyBorder="1" applyAlignment="1">
      <alignment horizontal="center" vertical="center"/>
    </xf>
    <xf numFmtId="1" fontId="59" fillId="0" borderId="145" xfId="0" applyNumberFormat="1" applyFont="1" applyBorder="1" applyAlignment="1">
      <alignment horizontal="center" vertical="center"/>
    </xf>
    <xf numFmtId="1" fontId="59" fillId="41" borderId="40" xfId="0" applyNumberFormat="1" applyFont="1" applyFill="1" applyBorder="1" applyAlignment="1">
      <alignment horizontal="center" vertical="center"/>
    </xf>
    <xf numFmtId="1" fontId="59" fillId="41" borderId="145" xfId="0" applyNumberFormat="1" applyFont="1" applyFill="1" applyBorder="1" applyAlignment="1">
      <alignment horizontal="center" vertical="center"/>
    </xf>
    <xf numFmtId="1" fontId="54" fillId="40" borderId="40" xfId="0" applyNumberFormat="1" applyFont="1" applyFill="1" applyBorder="1" applyAlignment="1">
      <alignment horizontal="center" vertical="center"/>
    </xf>
    <xf numFmtId="1" fontId="54" fillId="40" borderId="142" xfId="0" applyNumberFormat="1" applyFont="1" applyFill="1" applyBorder="1" applyAlignment="1">
      <alignment horizontal="center" vertical="center"/>
    </xf>
    <xf numFmtId="1" fontId="54" fillId="40" borderId="143" xfId="0" applyNumberFormat="1" applyFont="1" applyFill="1" applyBorder="1" applyAlignment="1">
      <alignment horizontal="center" vertical="center"/>
    </xf>
    <xf numFmtId="1" fontId="54" fillId="40" borderId="145" xfId="0" applyNumberFormat="1" applyFont="1" applyFill="1" applyBorder="1" applyAlignment="1">
      <alignment horizontal="center" vertical="center"/>
    </xf>
    <xf numFmtId="1" fontId="54" fillId="40" borderId="38" xfId="0" applyNumberFormat="1" applyFont="1" applyFill="1" applyBorder="1" applyAlignment="1">
      <alignment horizontal="center" vertical="center"/>
    </xf>
    <xf numFmtId="1" fontId="54" fillId="40" borderId="155" xfId="0" applyNumberFormat="1" applyFont="1" applyFill="1" applyBorder="1" applyAlignment="1">
      <alignment horizontal="center" vertical="center"/>
    </xf>
    <xf numFmtId="1" fontId="0" fillId="0" borderId="40" xfId="0" applyNumberFormat="1" applyBorder="1" applyAlignment="1">
      <alignment horizontal="center" vertical="center"/>
    </xf>
    <xf numFmtId="1" fontId="0" fillId="0" borderId="143" xfId="0" applyNumberFormat="1" applyBorder="1" applyAlignment="1">
      <alignment horizontal="center" vertical="center"/>
    </xf>
    <xf numFmtId="1" fontId="0" fillId="0" borderId="144" xfId="0" applyNumberFormat="1" applyBorder="1" applyAlignment="1">
      <alignment horizontal="center" vertical="center"/>
    </xf>
    <xf numFmtId="1" fontId="0" fillId="0" borderId="136" xfId="0" applyNumberFormat="1" applyBorder="1" applyAlignment="1">
      <alignment horizontal="center" vertical="center"/>
    </xf>
    <xf numFmtId="1" fontId="54" fillId="40" borderId="134" xfId="0" applyNumberFormat="1" applyFont="1" applyFill="1" applyBorder="1" applyAlignment="1">
      <alignment horizontal="center" vertical="center"/>
    </xf>
    <xf numFmtId="1" fontId="54" fillId="40" borderId="135" xfId="0" applyNumberFormat="1" applyFont="1" applyFill="1" applyBorder="1" applyAlignment="1">
      <alignment horizontal="center" vertical="center"/>
    </xf>
    <xf numFmtId="1" fontId="54" fillId="40" borderId="137" xfId="0" applyNumberFormat="1" applyFont="1" applyFill="1" applyBorder="1" applyAlignment="1">
      <alignment horizontal="center" vertical="center"/>
    </xf>
    <xf numFmtId="1" fontId="54" fillId="40" borderId="138" xfId="0" applyNumberFormat="1" applyFont="1" applyFill="1" applyBorder="1" applyAlignment="1">
      <alignment horizontal="center" vertical="center"/>
    </xf>
    <xf numFmtId="1" fontId="54" fillId="40" borderId="139" xfId="0" applyNumberFormat="1" applyFont="1" applyFill="1" applyBorder="1" applyAlignment="1">
      <alignment horizontal="center" vertical="center"/>
    </xf>
    <xf numFmtId="4" fontId="5" fillId="0" borderId="145" xfId="29" applyNumberFormat="1" applyBorder="1" applyAlignment="1">
      <alignment horizontal="center"/>
    </xf>
    <xf numFmtId="4" fontId="5" fillId="0" borderId="136" xfId="29" applyNumberFormat="1" applyBorder="1" applyAlignment="1">
      <alignment horizontal="center"/>
    </xf>
    <xf numFmtId="9" fontId="0" fillId="0" borderId="0" xfId="16" applyFont="1" applyBorder="1" applyAlignment="1">
      <alignment horizontal="left"/>
    </xf>
    <xf numFmtId="2" fontId="8" fillId="24" borderId="17" xfId="0" applyNumberFormat="1" applyFont="1" applyFill="1" applyBorder="1" applyAlignment="1">
      <alignment horizontal="center"/>
    </xf>
    <xf numFmtId="0" fontId="23" fillId="0" borderId="0" xfId="0" applyFont="1" applyAlignment="1">
      <alignment horizontal="center" vertical="center"/>
    </xf>
    <xf numFmtId="3" fontId="35" fillId="19" borderId="0" xfId="21" applyNumberFormat="1" applyFont="1" applyFill="1" applyAlignment="1">
      <alignment horizontal="center" vertical="center"/>
    </xf>
    <xf numFmtId="3" fontId="35" fillId="0" borderId="0" xfId="0" applyNumberFormat="1" applyFont="1" applyAlignment="1">
      <alignment horizontal="center" vertical="center"/>
    </xf>
    <xf numFmtId="170" fontId="23" fillId="0" borderId="0" xfId="0" applyNumberFormat="1" applyFont="1" applyAlignment="1">
      <alignment horizontal="center" vertical="center"/>
    </xf>
    <xf numFmtId="4" fontId="35" fillId="19" borderId="0" xfId="0" applyNumberFormat="1" applyFont="1" applyFill="1" applyAlignment="1">
      <alignment horizontal="center" vertical="center"/>
    </xf>
    <xf numFmtId="3" fontId="23" fillId="19" borderId="0" xfId="0" applyNumberFormat="1" applyFont="1" applyFill="1" applyAlignment="1">
      <alignment horizontal="center" vertical="center"/>
    </xf>
    <xf numFmtId="0" fontId="0" fillId="0" borderId="0" xfId="0" applyAlignment="1">
      <alignment horizontal="center" vertical="center"/>
    </xf>
    <xf numFmtId="0" fontId="26" fillId="0" borderId="0" xfId="0" applyFont="1" applyAlignment="1">
      <alignment horizontal="center" vertical="center"/>
    </xf>
    <xf numFmtId="0" fontId="47" fillId="9" borderId="61" xfId="0" applyFont="1" applyFill="1" applyBorder="1" applyAlignment="1">
      <alignment horizontal="center" vertical="center" wrapText="1"/>
    </xf>
    <xf numFmtId="0" fontId="47" fillId="10" borderId="62" xfId="0" applyFont="1" applyFill="1" applyBorder="1" applyAlignment="1">
      <alignment horizontal="center" vertical="center" wrapText="1"/>
    </xf>
    <xf numFmtId="0" fontId="47" fillId="11" borderId="62" xfId="0" applyFont="1" applyFill="1" applyBorder="1" applyAlignment="1">
      <alignment horizontal="center" vertical="center" wrapText="1"/>
    </xf>
    <xf numFmtId="0" fontId="47" fillId="15" borderId="62" xfId="0" applyFont="1" applyFill="1" applyBorder="1" applyAlignment="1">
      <alignment horizontal="center" vertical="center" wrapText="1"/>
    </xf>
    <xf numFmtId="0" fontId="47" fillId="23" borderId="91" xfId="0" applyFont="1" applyFill="1" applyBorder="1" applyAlignment="1">
      <alignment horizontal="center" vertical="center" wrapText="1"/>
    </xf>
    <xf numFmtId="0" fontId="47" fillId="16" borderId="62" xfId="0" applyFont="1" applyFill="1" applyBorder="1" applyAlignment="1">
      <alignment horizontal="center" vertical="center" wrapText="1"/>
    </xf>
    <xf numFmtId="0" fontId="47" fillId="10" borderId="53" xfId="0" applyFont="1" applyFill="1" applyBorder="1" applyAlignment="1">
      <alignment horizontal="center" vertical="center" wrapText="1"/>
    </xf>
    <xf numFmtId="0" fontId="47" fillId="11" borderId="53" xfId="0" applyFont="1" applyFill="1" applyBorder="1" applyAlignment="1">
      <alignment horizontal="center" vertical="center" wrapText="1"/>
    </xf>
    <xf numFmtId="0" fontId="47" fillId="15" borderId="53" xfId="0" applyFont="1" applyFill="1" applyBorder="1" applyAlignment="1">
      <alignment horizontal="center" vertical="center" wrapText="1"/>
    </xf>
    <xf numFmtId="0" fontId="47" fillId="23" borderId="53" xfId="0" applyFont="1" applyFill="1" applyBorder="1" applyAlignment="1">
      <alignment horizontal="center" vertical="center" wrapText="1"/>
    </xf>
    <xf numFmtId="0" fontId="47" fillId="16" borderId="53" xfId="0" applyFont="1" applyFill="1" applyBorder="1" applyAlignment="1">
      <alignment horizontal="center" vertical="center" wrapText="1"/>
    </xf>
    <xf numFmtId="0" fontId="56" fillId="0" borderId="0" xfId="0" applyFont="1" applyAlignment="1">
      <alignment horizontal="center" vertical="center"/>
    </xf>
    <xf numFmtId="0" fontId="0" fillId="0" borderId="0" xfId="0" applyAlignment="1">
      <alignment horizontal="left"/>
    </xf>
    <xf numFmtId="2" fontId="8" fillId="24" borderId="46" xfId="0" applyNumberFormat="1" applyFont="1" applyFill="1" applyBorder="1" applyAlignment="1">
      <alignment horizontal="center"/>
    </xf>
    <xf numFmtId="2" fontId="33" fillId="24" borderId="46" xfId="16" applyNumberFormat="1" applyFont="1" applyFill="1" applyBorder="1" applyAlignment="1">
      <alignment horizontal="center"/>
    </xf>
    <xf numFmtId="0" fontId="8" fillId="7" borderId="156" xfId="0" applyFont="1" applyFill="1" applyBorder="1"/>
    <xf numFmtId="0" fontId="27" fillId="32" borderId="50" xfId="0" applyFont="1" applyFill="1" applyBorder="1" applyAlignment="1">
      <alignment horizontal="center"/>
    </xf>
    <xf numFmtId="0" fontId="13" fillId="0" borderId="50" xfId="0" applyFont="1" applyBorder="1" applyAlignment="1">
      <alignment horizontal="center"/>
    </xf>
    <xf numFmtId="167" fontId="13" fillId="24" borderId="18" xfId="0" applyNumberFormat="1" applyFont="1" applyFill="1" applyBorder="1" applyAlignment="1">
      <alignment horizontal="center"/>
    </xf>
    <xf numFmtId="2" fontId="33" fillId="24" borderId="50" xfId="16" applyNumberFormat="1" applyFont="1" applyFill="1" applyBorder="1" applyAlignment="1">
      <alignment horizontal="center"/>
    </xf>
    <xf numFmtId="10" fontId="64" fillId="8" borderId="50" xfId="0" applyNumberFormat="1" applyFont="1" applyFill="1" applyBorder="1" applyAlignment="1">
      <alignment horizontal="center"/>
    </xf>
    <xf numFmtId="0" fontId="8" fillId="0" borderId="0" xfId="0" applyFont="1" applyAlignment="1">
      <alignment horizontal="center"/>
    </xf>
    <xf numFmtId="10" fontId="8" fillId="0" borderId="115" xfId="0" applyNumberFormat="1" applyFont="1" applyBorder="1" applyAlignment="1">
      <alignment horizontal="center" vertical="center"/>
    </xf>
    <xf numFmtId="10" fontId="8" fillId="0" borderId="5" xfId="0" applyNumberFormat="1" applyFont="1" applyBorder="1" applyAlignment="1">
      <alignment horizontal="center" vertical="center"/>
    </xf>
    <xf numFmtId="1" fontId="59" fillId="40" borderId="146" xfId="0" applyNumberFormat="1" applyFont="1" applyFill="1" applyBorder="1" applyAlignment="1">
      <alignment horizontal="center" vertical="center"/>
    </xf>
    <xf numFmtId="1" fontId="59" fillId="40" borderId="152" xfId="0" applyNumberFormat="1" applyFont="1" applyFill="1" applyBorder="1" applyAlignment="1">
      <alignment horizontal="center" vertical="center"/>
    </xf>
    <xf numFmtId="0" fontId="0" fillId="0" borderId="40" xfId="0" applyBorder="1" applyAlignment="1">
      <alignment horizontal="center"/>
    </xf>
    <xf numFmtId="167" fontId="0" fillId="0" borderId="40" xfId="0" applyNumberFormat="1" applyBorder="1" applyAlignment="1">
      <alignment horizontal="center"/>
    </xf>
    <xf numFmtId="168" fontId="65" fillId="0" borderId="40" xfId="16" applyNumberFormat="1" applyFont="1" applyBorder="1" applyAlignment="1">
      <alignment horizontal="center"/>
    </xf>
    <xf numFmtId="0" fontId="65" fillId="0" borderId="40" xfId="0" applyFont="1" applyBorder="1"/>
    <xf numFmtId="166" fontId="65" fillId="0" borderId="40" xfId="0" applyNumberFormat="1" applyFont="1" applyBorder="1" applyAlignment="1">
      <alignment horizontal="center"/>
    </xf>
    <xf numFmtId="9" fontId="0" fillId="0" borderId="0" xfId="16" applyFont="1" applyAlignment="1">
      <alignment horizontal="left"/>
    </xf>
    <xf numFmtId="0" fontId="54" fillId="0" borderId="157" xfId="0" applyFont="1" applyBorder="1"/>
    <xf numFmtId="0" fontId="54" fillId="0" borderId="30" xfId="0" applyFont="1" applyBorder="1"/>
    <xf numFmtId="0" fontId="54" fillId="40" borderId="134" xfId="0" applyFont="1" applyFill="1" applyBorder="1" applyAlignment="1">
      <alignment horizontal="center" vertical="center"/>
    </xf>
    <xf numFmtId="0" fontId="54" fillId="40" borderId="2" xfId="0" applyFont="1" applyFill="1" applyBorder="1" applyAlignment="1">
      <alignment horizontal="center" vertical="center"/>
    </xf>
    <xf numFmtId="1" fontId="54" fillId="40" borderId="113" xfId="0" applyNumberFormat="1" applyFont="1" applyFill="1" applyBorder="1" applyAlignment="1">
      <alignment horizontal="center" vertical="center"/>
    </xf>
    <xf numFmtId="1" fontId="54" fillId="40" borderId="158" xfId="0" applyNumberFormat="1" applyFont="1" applyFill="1" applyBorder="1" applyAlignment="1">
      <alignment horizontal="center" vertical="center"/>
    </xf>
    <xf numFmtId="3" fontId="60" fillId="12" borderId="0" xfId="0" applyNumberFormat="1" applyFont="1" applyFill="1" applyAlignment="1">
      <alignment horizontal="center" vertical="center"/>
    </xf>
    <xf numFmtId="3" fontId="60" fillId="12" borderId="159" xfId="0" applyNumberFormat="1" applyFont="1" applyFill="1" applyBorder="1" applyAlignment="1">
      <alignment horizontal="center" vertical="center"/>
    </xf>
    <xf numFmtId="1" fontId="59" fillId="41" borderId="38" xfId="0" applyNumberFormat="1" applyFont="1" applyFill="1" applyBorder="1" applyAlignment="1">
      <alignment horizontal="center" vertical="center"/>
    </xf>
    <xf numFmtId="1" fontId="59" fillId="0" borderId="38" xfId="0" applyNumberFormat="1" applyFont="1" applyBorder="1" applyAlignment="1">
      <alignment horizontal="center" vertical="center"/>
    </xf>
    <xf numFmtId="0" fontId="0" fillId="37" borderId="27" xfId="0" applyFill="1" applyBorder="1"/>
    <xf numFmtId="0" fontId="65" fillId="0" borderId="0" xfId="29" applyFont="1" applyAlignment="1">
      <alignment horizontal="center" vertical="center"/>
    </xf>
    <xf numFmtId="0" fontId="5" fillId="0" borderId="0" xfId="29"/>
    <xf numFmtId="0" fontId="5" fillId="0" borderId="31" xfId="29" applyBorder="1"/>
    <xf numFmtId="0" fontId="54" fillId="0" borderId="160" xfId="0" applyFont="1" applyBorder="1"/>
    <xf numFmtId="0" fontId="56" fillId="0" borderId="111" xfId="0" applyFont="1" applyBorder="1" applyAlignment="1">
      <alignment horizontal="center" vertical="center"/>
    </xf>
    <xf numFmtId="0" fontId="56" fillId="0" borderId="112" xfId="0" applyFont="1" applyBorder="1" applyAlignment="1">
      <alignment horizontal="center" vertical="center"/>
    </xf>
    <xf numFmtId="0" fontId="54" fillId="0" borderId="161" xfId="0" applyFont="1" applyBorder="1"/>
    <xf numFmtId="0" fontId="54" fillId="0" borderId="110" xfId="0" applyFont="1" applyBorder="1" applyAlignment="1">
      <alignment horizontal="center" vertical="center"/>
    </xf>
    <xf numFmtId="0" fontId="54" fillId="0" borderId="162" xfId="0" applyFont="1" applyBorder="1"/>
    <xf numFmtId="10" fontId="0" fillId="0" borderId="0" xfId="0" applyNumberFormat="1" applyAlignment="1">
      <alignment horizontal="center" vertical="center"/>
    </xf>
    <xf numFmtId="0" fontId="54" fillId="0" borderId="110" xfId="0" applyFont="1" applyBorder="1"/>
    <xf numFmtId="9" fontId="23" fillId="0" borderId="0" xfId="16" applyFont="1" applyAlignment="1">
      <alignment horizontal="center" vertical="center"/>
    </xf>
    <xf numFmtId="3" fontId="0" fillId="0" borderId="40" xfId="0" applyNumberFormat="1" applyBorder="1" applyAlignment="1">
      <alignment horizontal="center" vertical="center"/>
    </xf>
    <xf numFmtId="168" fontId="38" fillId="0" borderId="0" xfId="0" applyNumberFormat="1" applyFont="1"/>
    <xf numFmtId="1" fontId="54" fillId="40" borderId="164" xfId="0" applyNumberFormat="1" applyFont="1" applyFill="1" applyBorder="1" applyAlignment="1">
      <alignment horizontal="center" vertical="center"/>
    </xf>
    <xf numFmtId="0" fontId="54" fillId="40" borderId="32" xfId="0" applyFont="1" applyFill="1" applyBorder="1" applyAlignment="1">
      <alignment horizontal="center" vertical="center"/>
    </xf>
    <xf numFmtId="1" fontId="0" fillId="0" borderId="165" xfId="0" applyNumberFormat="1" applyBorder="1" applyAlignment="1">
      <alignment horizontal="center" vertical="center"/>
    </xf>
    <xf numFmtId="1" fontId="0" fillId="0" borderId="39" xfId="0" applyNumberFormat="1" applyBorder="1" applyAlignment="1">
      <alignment horizontal="center" vertical="center"/>
    </xf>
    <xf numFmtId="2" fontId="0" fillId="24" borderId="50" xfId="0" applyNumberFormat="1" applyFill="1" applyBorder="1" applyAlignment="1">
      <alignment horizontal="center"/>
    </xf>
    <xf numFmtId="167" fontId="0" fillId="24" borderId="18" xfId="0" applyNumberFormat="1" applyFill="1" applyBorder="1" applyAlignment="1">
      <alignment horizontal="center"/>
    </xf>
    <xf numFmtId="10" fontId="71" fillId="35" borderId="105" xfId="26" applyNumberFormat="1" applyFont="1" applyFill="1" applyBorder="1"/>
    <xf numFmtId="174" fontId="8" fillId="0" borderId="105" xfId="26" applyNumberFormat="1" applyBorder="1"/>
    <xf numFmtId="168" fontId="54" fillId="0" borderId="0" xfId="16" applyNumberFormat="1" applyFont="1"/>
    <xf numFmtId="3" fontId="69" fillId="38" borderId="40" xfId="0" quotePrefix="1" applyNumberFormat="1" applyFont="1" applyFill="1" applyBorder="1" applyAlignment="1">
      <alignment horizontal="center" vertical="center"/>
    </xf>
    <xf numFmtId="3" fontId="69" fillId="38" borderId="38" xfId="0" quotePrefix="1" applyNumberFormat="1" applyFont="1" applyFill="1" applyBorder="1" applyAlignment="1">
      <alignment horizontal="center" vertical="center"/>
    </xf>
    <xf numFmtId="3" fontId="25" fillId="38" borderId="40" xfId="0" applyNumberFormat="1" applyFont="1" applyFill="1" applyBorder="1" applyAlignment="1">
      <alignment horizontal="center" vertical="center"/>
    </xf>
    <xf numFmtId="3" fontId="25" fillId="38" borderId="38" xfId="0" applyNumberFormat="1" applyFont="1" applyFill="1" applyBorder="1" applyAlignment="1">
      <alignment horizontal="center" vertical="center"/>
    </xf>
    <xf numFmtId="0" fontId="69" fillId="38" borderId="40" xfId="0" applyFont="1" applyFill="1" applyBorder="1" applyAlignment="1">
      <alignment horizontal="center" vertical="center"/>
    </xf>
    <xf numFmtId="0" fontId="69" fillId="38" borderId="38" xfId="0" applyFont="1" applyFill="1" applyBorder="1" applyAlignment="1">
      <alignment horizontal="center" vertical="center"/>
    </xf>
    <xf numFmtId="0" fontId="66" fillId="0" borderId="0" xfId="0" applyFont="1" applyAlignment="1">
      <alignment horizontal="center"/>
    </xf>
    <xf numFmtId="1" fontId="66" fillId="0" borderId="0" xfId="0" applyNumberFormat="1" applyFont="1" applyAlignment="1">
      <alignment horizontal="center"/>
    </xf>
    <xf numFmtId="1" fontId="72" fillId="0" borderId="0" xfId="0" applyNumberFormat="1" applyFont="1" applyAlignment="1">
      <alignment horizontal="left"/>
    </xf>
    <xf numFmtId="0" fontId="8" fillId="0" borderId="0" xfId="26" applyAlignment="1">
      <alignment vertical="center" wrapText="1"/>
    </xf>
    <xf numFmtId="3" fontId="52" fillId="34" borderId="107" xfId="5" applyFont="1" applyFill="1" applyBorder="1" applyAlignment="1">
      <alignment horizontal="right" vertical="center" wrapText="1"/>
    </xf>
    <xf numFmtId="4" fontId="8" fillId="34" borderId="107" xfId="7" applyFont="1" applyFill="1" applyBorder="1" applyAlignment="1">
      <alignment horizontal="right" vertical="center" wrapText="1"/>
    </xf>
    <xf numFmtId="4" fontId="32" fillId="0" borderId="105" xfId="7" applyFont="1" applyFill="1" applyBorder="1" applyAlignment="1">
      <alignment horizontal="right" vertical="center" wrapText="1"/>
    </xf>
    <xf numFmtId="0" fontId="20" fillId="0" borderId="0" xfId="8" applyFill="1" applyBorder="1" applyAlignment="1">
      <alignment wrapText="1"/>
    </xf>
    <xf numFmtId="0" fontId="8" fillId="0" borderId="0" xfId="26" applyAlignment="1">
      <alignment wrapText="1"/>
    </xf>
    <xf numFmtId="0" fontId="0" fillId="0" borderId="0" xfId="0" applyAlignment="1">
      <alignment wrapText="1"/>
    </xf>
    <xf numFmtId="0" fontId="0" fillId="0" borderId="0" xfId="26" applyFont="1"/>
    <xf numFmtId="2" fontId="8" fillId="0" borderId="0" xfId="26" applyNumberFormat="1"/>
    <xf numFmtId="2" fontId="0" fillId="0" borderId="0" xfId="26" applyNumberFormat="1" applyFont="1"/>
    <xf numFmtId="0" fontId="59" fillId="0" borderId="0" xfId="0" applyFont="1"/>
    <xf numFmtId="0" fontId="59" fillId="0" borderId="0" xfId="0" applyFont="1" applyAlignment="1">
      <alignment horizontal="center"/>
    </xf>
    <xf numFmtId="167" fontId="8" fillId="0" borderId="0" xfId="0" applyNumberFormat="1" applyFont="1"/>
    <xf numFmtId="166" fontId="8" fillId="0" borderId="0" xfId="0" applyNumberFormat="1" applyFont="1"/>
    <xf numFmtId="167" fontId="26" fillId="0" borderId="0" xfId="0" applyNumberFormat="1" applyFont="1"/>
    <xf numFmtId="168" fontId="8" fillId="24" borderId="17" xfId="16" applyNumberFormat="1" applyFont="1" applyFill="1" applyBorder="1" applyAlignment="1">
      <alignment horizontal="center"/>
    </xf>
    <xf numFmtId="173" fontId="34" fillId="24" borderId="90" xfId="0" applyNumberFormat="1" applyFont="1" applyFill="1" applyBorder="1" applyAlignment="1">
      <alignment horizontal="center"/>
    </xf>
    <xf numFmtId="0" fontId="47" fillId="9" borderId="61" xfId="0" applyFont="1" applyFill="1" applyBorder="1" applyAlignment="1">
      <alignment horizontal="center" vertical="center"/>
    </xf>
    <xf numFmtId="0" fontId="47" fillId="31" borderId="61" xfId="0" applyFont="1" applyFill="1" applyBorder="1" applyAlignment="1">
      <alignment horizontal="center" vertical="center"/>
    </xf>
    <xf numFmtId="4" fontId="25" fillId="9" borderId="105" xfId="7" applyFont="1" applyFill="1" applyBorder="1" applyAlignment="1">
      <alignment horizontal="right" vertical="center"/>
    </xf>
    <xf numFmtId="0" fontId="47" fillId="5" borderId="132" xfId="0" applyFont="1" applyFill="1" applyBorder="1" applyAlignment="1">
      <alignment horizontal="center"/>
    </xf>
    <xf numFmtId="0" fontId="27" fillId="32" borderId="10" xfId="0" applyFont="1" applyFill="1" applyBorder="1" applyAlignment="1">
      <alignment horizontal="center"/>
    </xf>
    <xf numFmtId="0" fontId="47" fillId="5" borderId="117" xfId="0" applyFont="1" applyFill="1" applyBorder="1" applyAlignment="1">
      <alignment horizontal="center"/>
    </xf>
    <xf numFmtId="0" fontId="27" fillId="32" borderId="169" xfId="0" applyFont="1" applyFill="1" applyBorder="1" applyAlignment="1">
      <alignment horizontal="center"/>
    </xf>
    <xf numFmtId="0" fontId="13" fillId="17" borderId="93" xfId="0" applyFont="1" applyFill="1" applyBorder="1" applyAlignment="1">
      <alignment horizontal="left" vertical="center"/>
    </xf>
    <xf numFmtId="173" fontId="0" fillId="17" borderId="89" xfId="0" applyNumberFormat="1" applyFill="1" applyBorder="1" applyAlignment="1">
      <alignment horizontal="center"/>
    </xf>
    <xf numFmtId="0" fontId="13" fillId="17" borderId="94" xfId="0" applyFont="1" applyFill="1" applyBorder="1" applyAlignment="1">
      <alignment horizontal="left" vertical="center"/>
    </xf>
    <xf numFmtId="9" fontId="0" fillId="17" borderId="90" xfId="16" applyFont="1" applyFill="1" applyBorder="1" applyAlignment="1">
      <alignment horizontal="center"/>
    </xf>
    <xf numFmtId="9" fontId="8" fillId="17" borderId="89" xfId="16" applyFont="1" applyFill="1" applyBorder="1" applyAlignment="1">
      <alignment horizontal="center"/>
    </xf>
    <xf numFmtId="2" fontId="0" fillId="17" borderId="90" xfId="0" applyNumberFormat="1" applyFill="1" applyBorder="1" applyAlignment="1">
      <alignment horizontal="center"/>
    </xf>
    <xf numFmtId="0" fontId="13" fillId="17" borderId="92" xfId="0" applyFont="1" applyFill="1" applyBorder="1" applyAlignment="1">
      <alignment horizontal="left" vertical="center"/>
    </xf>
    <xf numFmtId="2" fontId="0" fillId="17" borderId="88" xfId="0" applyNumberFormat="1" applyFill="1" applyBorder="1" applyAlignment="1">
      <alignment horizontal="center"/>
    </xf>
    <xf numFmtId="169" fontId="0" fillId="17" borderId="90" xfId="0" applyNumberFormat="1" applyFill="1" applyBorder="1" applyAlignment="1">
      <alignment horizontal="center"/>
    </xf>
    <xf numFmtId="9" fontId="0" fillId="0" borderId="88" xfId="16" applyFont="1" applyFill="1" applyBorder="1" applyAlignment="1">
      <alignment horizontal="center"/>
    </xf>
    <xf numFmtId="0" fontId="13" fillId="0" borderId="94" xfId="0" applyFont="1" applyBorder="1" applyAlignment="1">
      <alignment horizontal="left" vertical="center"/>
    </xf>
    <xf numFmtId="9" fontId="0" fillId="0" borderId="90" xfId="16" applyFont="1" applyFill="1" applyBorder="1" applyAlignment="1">
      <alignment horizontal="center"/>
    </xf>
    <xf numFmtId="2" fontId="0" fillId="0" borderId="88" xfId="0" applyNumberFormat="1" applyBorder="1" applyAlignment="1">
      <alignment horizontal="center"/>
    </xf>
    <xf numFmtId="0" fontId="13" fillId="0" borderId="93" xfId="0" applyFont="1" applyBorder="1" applyAlignment="1">
      <alignment horizontal="left" vertical="center"/>
    </xf>
    <xf numFmtId="2" fontId="0" fillId="0" borderId="90" xfId="0" applyNumberFormat="1" applyBorder="1" applyAlignment="1">
      <alignment horizontal="center"/>
    </xf>
    <xf numFmtId="2" fontId="0" fillId="17" borderId="89" xfId="0" applyNumberFormat="1" applyFill="1" applyBorder="1" applyAlignment="1">
      <alignment horizontal="center"/>
    </xf>
    <xf numFmtId="0" fontId="14" fillId="17" borderId="94" xfId="0" applyFont="1" applyFill="1" applyBorder="1" applyAlignment="1">
      <alignment horizontal="left" vertical="center"/>
    </xf>
    <xf numFmtId="2" fontId="0" fillId="17" borderId="90" xfId="16" applyNumberFormat="1" applyFont="1" applyFill="1" applyBorder="1" applyAlignment="1">
      <alignment horizontal="center"/>
    </xf>
    <xf numFmtId="0" fontId="13" fillId="0" borderId="96" xfId="0" applyFont="1" applyBorder="1" applyAlignment="1">
      <alignment horizontal="left" vertical="center"/>
    </xf>
    <xf numFmtId="9" fontId="0" fillId="0" borderId="97" xfId="16" applyFont="1" applyFill="1" applyBorder="1" applyAlignment="1">
      <alignment horizontal="center"/>
    </xf>
    <xf numFmtId="10" fontId="0" fillId="0" borderId="89" xfId="16" applyNumberFormat="1" applyFont="1" applyFill="1" applyBorder="1" applyAlignment="1">
      <alignment horizontal="center"/>
    </xf>
    <xf numFmtId="169" fontId="0" fillId="0" borderId="89" xfId="0" applyNumberFormat="1" applyBorder="1" applyAlignment="1">
      <alignment horizontal="center"/>
    </xf>
    <xf numFmtId="169" fontId="0" fillId="0" borderId="88" xfId="0" applyNumberFormat="1" applyBorder="1" applyAlignment="1">
      <alignment horizontal="center"/>
    </xf>
    <xf numFmtId="2" fontId="0" fillId="0" borderId="89" xfId="0" applyNumberFormat="1" applyBorder="1" applyAlignment="1">
      <alignment horizontal="center"/>
    </xf>
    <xf numFmtId="169" fontId="0" fillId="0" borderId="90" xfId="0" applyNumberFormat="1" applyBorder="1" applyAlignment="1">
      <alignment horizontal="center"/>
    </xf>
    <xf numFmtId="173" fontId="26" fillId="18" borderId="174" xfId="0" applyNumberFormat="1" applyFont="1" applyFill="1" applyBorder="1" applyAlignment="1">
      <alignment horizontal="center"/>
    </xf>
    <xf numFmtId="173" fontId="26" fillId="18" borderId="175" xfId="0" applyNumberFormat="1" applyFont="1" applyFill="1" applyBorder="1" applyAlignment="1">
      <alignment horizontal="center"/>
    </xf>
    <xf numFmtId="9" fontId="26" fillId="31" borderId="63" xfId="16" applyFont="1" applyFill="1" applyBorder="1" applyAlignment="1">
      <alignment horizontal="center" vertical="center"/>
    </xf>
    <xf numFmtId="9" fontId="26" fillId="18" borderId="174" xfId="16" applyFont="1" applyFill="1" applyBorder="1" applyAlignment="1">
      <alignment horizontal="center"/>
    </xf>
    <xf numFmtId="9" fontId="26" fillId="18" borderId="95" xfId="16" applyFont="1" applyFill="1" applyBorder="1" applyAlignment="1">
      <alignment horizontal="center"/>
    </xf>
    <xf numFmtId="9" fontId="26" fillId="18" borderId="175" xfId="16" applyFont="1" applyFill="1" applyBorder="1" applyAlignment="1">
      <alignment horizontal="center"/>
    </xf>
    <xf numFmtId="0" fontId="26" fillId="31" borderId="63" xfId="0" applyFont="1" applyFill="1" applyBorder="1" applyAlignment="1">
      <alignment horizontal="center" vertical="center"/>
    </xf>
    <xf numFmtId="2" fontId="26" fillId="18" borderId="95" xfId="0" applyNumberFormat="1" applyFont="1" applyFill="1" applyBorder="1" applyAlignment="1">
      <alignment horizontal="center"/>
    </xf>
    <xf numFmtId="2" fontId="26" fillId="18" borderId="175" xfId="0" applyNumberFormat="1" applyFont="1" applyFill="1" applyBorder="1" applyAlignment="1">
      <alignment horizontal="center"/>
    </xf>
    <xf numFmtId="2" fontId="26" fillId="31" borderId="63" xfId="16" applyNumberFormat="1" applyFont="1" applyFill="1" applyBorder="1" applyAlignment="1">
      <alignment horizontal="center" vertical="center"/>
    </xf>
    <xf numFmtId="2" fontId="26" fillId="18" borderId="174" xfId="0" applyNumberFormat="1" applyFont="1" applyFill="1" applyBorder="1" applyAlignment="1">
      <alignment horizontal="center"/>
    </xf>
    <xf numFmtId="10" fontId="26" fillId="31" borderId="63" xfId="0" applyNumberFormat="1" applyFont="1" applyFill="1" applyBorder="1" applyAlignment="1">
      <alignment horizontal="center" vertical="center"/>
    </xf>
    <xf numFmtId="171" fontId="26" fillId="31" borderId="63" xfId="19" applyNumberFormat="1" applyFont="1" applyFill="1" applyBorder="1" applyAlignment="1">
      <alignment horizontal="center" vertical="center"/>
    </xf>
    <xf numFmtId="2" fontId="26" fillId="18" borderId="95" xfId="16" applyNumberFormat="1" applyFont="1" applyFill="1" applyBorder="1" applyAlignment="1">
      <alignment horizontal="center"/>
    </xf>
    <xf numFmtId="0" fontId="26" fillId="31" borderId="63" xfId="0" applyFont="1" applyFill="1" applyBorder="1" applyAlignment="1">
      <alignment horizontal="center"/>
    </xf>
    <xf numFmtId="9" fontId="26" fillId="18" borderId="65" xfId="16" applyFont="1" applyFill="1" applyBorder="1" applyAlignment="1">
      <alignment horizontal="center"/>
    </xf>
    <xf numFmtId="0" fontId="13" fillId="0" borderId="83" xfId="0" applyFont="1" applyBorder="1" applyAlignment="1">
      <alignment horizontal="left"/>
    </xf>
    <xf numFmtId="9" fontId="8" fillId="0" borderId="176" xfId="0" applyNumberFormat="1" applyFont="1" applyBorder="1" applyAlignment="1">
      <alignment horizontal="center"/>
    </xf>
    <xf numFmtId="3" fontId="54" fillId="0" borderId="134" xfId="0" applyNumberFormat="1" applyFont="1" applyBorder="1" applyAlignment="1">
      <alignment horizontal="center" vertical="center"/>
    </xf>
    <xf numFmtId="0" fontId="54" fillId="0" borderId="177" xfId="0" applyFont="1" applyBorder="1"/>
    <xf numFmtId="0" fontId="54" fillId="0" borderId="37" xfId="0" applyFont="1" applyBorder="1"/>
    <xf numFmtId="10" fontId="5" fillId="0" borderId="0" xfId="29" quotePrefix="1" applyNumberFormat="1" applyAlignment="1">
      <alignment horizontal="right"/>
    </xf>
    <xf numFmtId="1" fontId="54" fillId="40" borderId="178" xfId="0" applyNumberFormat="1" applyFont="1" applyFill="1" applyBorder="1" applyAlignment="1">
      <alignment horizontal="center" vertical="center"/>
    </xf>
    <xf numFmtId="1" fontId="0" fillId="0" borderId="3" xfId="0" applyNumberFormat="1" applyBorder="1" applyAlignment="1">
      <alignment horizontal="center" vertical="center"/>
    </xf>
    <xf numFmtId="1" fontId="0" fillId="0" borderId="163" xfId="0" applyNumberFormat="1" applyBorder="1" applyAlignment="1">
      <alignment horizontal="center" vertical="center"/>
    </xf>
    <xf numFmtId="1" fontId="0" fillId="0" borderId="30" xfId="0" applyNumberFormat="1" applyBorder="1" applyAlignment="1">
      <alignment horizontal="center" vertical="center"/>
    </xf>
    <xf numFmtId="0" fontId="27" fillId="0" borderId="0" xfId="26" applyFont="1" applyAlignment="1">
      <alignment horizontal="center" vertical="center"/>
    </xf>
    <xf numFmtId="4" fontId="25" fillId="0" borderId="0" xfId="7" applyFont="1" applyFill="1" applyBorder="1">
      <alignment horizontal="right"/>
    </xf>
    <xf numFmtId="0" fontId="47" fillId="31" borderId="54" xfId="0" applyFont="1" applyFill="1" applyBorder="1" applyAlignment="1">
      <alignment horizontal="left" vertical="center"/>
    </xf>
    <xf numFmtId="10" fontId="0" fillId="0" borderId="45" xfId="0" applyNumberFormat="1" applyBorder="1" applyAlignment="1">
      <alignment horizontal="center" vertical="center"/>
    </xf>
    <xf numFmtId="0" fontId="13" fillId="8" borderId="96" xfId="0" applyFont="1" applyFill="1" applyBorder="1" applyAlignment="1">
      <alignment horizontal="left" vertical="center"/>
    </xf>
    <xf numFmtId="10" fontId="0" fillId="8" borderId="97" xfId="16" applyNumberFormat="1" applyFont="1" applyFill="1" applyBorder="1" applyAlignment="1">
      <alignment horizontal="center" vertical="center"/>
    </xf>
    <xf numFmtId="10" fontId="0" fillId="8" borderId="98" xfId="16" applyNumberFormat="1" applyFont="1" applyFill="1" applyBorder="1" applyAlignment="1">
      <alignment horizontal="center" vertical="center"/>
    </xf>
    <xf numFmtId="0" fontId="47" fillId="0" borderId="0" xfId="0" applyFont="1" applyAlignment="1">
      <alignment horizontal="left" vertical="center"/>
    </xf>
    <xf numFmtId="10" fontId="0" fillId="0" borderId="0" xfId="16" applyNumberFormat="1" applyFont="1" applyFill="1" applyBorder="1" applyAlignment="1">
      <alignment horizontal="center" vertical="center"/>
    </xf>
    <xf numFmtId="0" fontId="58" fillId="36" borderId="65" xfId="0" applyFont="1" applyFill="1" applyBorder="1" applyAlignment="1">
      <alignment horizontal="center" vertical="center"/>
    </xf>
    <xf numFmtId="173" fontId="0" fillId="0" borderId="174" xfId="0" applyNumberFormat="1" applyBorder="1" applyAlignment="1">
      <alignment horizontal="center"/>
    </xf>
    <xf numFmtId="173" fontId="0" fillId="17" borderId="175" xfId="0" applyNumberFormat="1" applyFill="1" applyBorder="1" applyAlignment="1">
      <alignment horizontal="center"/>
    </xf>
    <xf numFmtId="0" fontId="0" fillId="31" borderId="63" xfId="0" applyFill="1" applyBorder="1" applyAlignment="1">
      <alignment horizontal="center"/>
    </xf>
    <xf numFmtId="9" fontId="0" fillId="0" borderId="174" xfId="16" applyFont="1" applyFill="1" applyBorder="1" applyAlignment="1">
      <alignment horizontal="center"/>
    </xf>
    <xf numFmtId="9" fontId="0" fillId="17" borderId="95" xfId="16" applyFont="1" applyFill="1" applyBorder="1" applyAlignment="1">
      <alignment horizontal="center"/>
    </xf>
    <xf numFmtId="9" fontId="0" fillId="0" borderId="95" xfId="16" applyFont="1" applyFill="1" applyBorder="1" applyAlignment="1">
      <alignment horizontal="center"/>
    </xf>
    <xf numFmtId="9" fontId="0" fillId="17" borderId="175" xfId="16" applyFont="1" applyFill="1" applyBorder="1" applyAlignment="1">
      <alignment horizontal="center"/>
    </xf>
    <xf numFmtId="2" fontId="0" fillId="0" borderId="174" xfId="0" applyNumberFormat="1" applyBorder="1" applyAlignment="1">
      <alignment horizontal="center"/>
    </xf>
    <xf numFmtId="2" fontId="0" fillId="17" borderId="95" xfId="0" applyNumberFormat="1" applyFill="1" applyBorder="1" applyAlignment="1">
      <alignment horizontal="center"/>
    </xf>
    <xf numFmtId="2" fontId="0" fillId="0" borderId="175" xfId="0" applyNumberFormat="1" applyBorder="1" applyAlignment="1">
      <alignment horizontal="center"/>
    </xf>
    <xf numFmtId="2" fontId="0" fillId="17" borderId="174" xfId="0" applyNumberFormat="1" applyFill="1" applyBorder="1" applyAlignment="1">
      <alignment horizontal="center"/>
    </xf>
    <xf numFmtId="2" fontId="0" fillId="0" borderId="95" xfId="0" applyNumberFormat="1" applyBorder="1" applyAlignment="1">
      <alignment horizontal="center"/>
    </xf>
    <xf numFmtId="2" fontId="0" fillId="17" borderId="175" xfId="0" applyNumberFormat="1" applyFill="1" applyBorder="1" applyAlignment="1">
      <alignment horizontal="center"/>
    </xf>
    <xf numFmtId="169" fontId="0" fillId="0" borderId="174" xfId="0" applyNumberFormat="1" applyBorder="1" applyAlignment="1">
      <alignment horizontal="center"/>
    </xf>
    <xf numFmtId="169" fontId="0" fillId="17" borderId="95" xfId="0" applyNumberFormat="1" applyFill="1" applyBorder="1" applyAlignment="1">
      <alignment horizontal="center"/>
    </xf>
    <xf numFmtId="169" fontId="0" fillId="0" borderId="95" xfId="0" applyNumberFormat="1" applyBorder="1" applyAlignment="1">
      <alignment horizontal="center"/>
    </xf>
    <xf numFmtId="169" fontId="0" fillId="0" borderId="175" xfId="0" applyNumberFormat="1" applyBorder="1" applyAlignment="1">
      <alignment horizontal="center"/>
    </xf>
    <xf numFmtId="168" fontId="0" fillId="0" borderId="174" xfId="16" applyNumberFormat="1" applyFont="1" applyFill="1" applyBorder="1" applyAlignment="1">
      <alignment horizontal="center"/>
    </xf>
    <xf numFmtId="2" fontId="0" fillId="17" borderId="95" xfId="16" applyNumberFormat="1" applyFont="1" applyFill="1" applyBorder="1" applyAlignment="1">
      <alignment horizontal="center"/>
    </xf>
    <xf numFmtId="10" fontId="0" fillId="0" borderId="175" xfId="16" applyNumberFormat="1" applyFont="1" applyFill="1" applyBorder="1" applyAlignment="1">
      <alignment horizontal="center"/>
    </xf>
    <xf numFmtId="10" fontId="0" fillId="17" borderId="95" xfId="16" applyNumberFormat="1" applyFont="1" applyFill="1" applyBorder="1" applyAlignment="1">
      <alignment horizontal="center" vertical="center"/>
    </xf>
    <xf numFmtId="175" fontId="0" fillId="8" borderId="95" xfId="0" applyNumberFormat="1" applyFill="1" applyBorder="1" applyAlignment="1">
      <alignment horizontal="right" vertical="center"/>
    </xf>
    <xf numFmtId="175" fontId="0" fillId="17" borderId="95" xfId="0" applyNumberFormat="1" applyFill="1" applyBorder="1" applyAlignment="1">
      <alignment horizontal="center"/>
    </xf>
    <xf numFmtId="9" fontId="0" fillId="0" borderId="98" xfId="16" applyFont="1" applyFill="1" applyBorder="1" applyAlignment="1">
      <alignment horizontal="center"/>
    </xf>
    <xf numFmtId="0" fontId="74" fillId="36" borderId="63" xfId="0" applyFont="1" applyFill="1" applyBorder="1" applyAlignment="1">
      <alignment horizontal="center" vertical="center" wrapText="1"/>
    </xf>
    <xf numFmtId="0" fontId="27" fillId="5" borderId="182" xfId="26" applyFont="1" applyFill="1" applyBorder="1" applyAlignment="1">
      <alignment horizontal="center" vertical="center"/>
    </xf>
    <xf numFmtId="4" fontId="25" fillId="28" borderId="183" xfId="7" applyFont="1" applyFill="1" applyBorder="1">
      <alignment horizontal="right"/>
    </xf>
    <xf numFmtId="4" fontId="8" fillId="12" borderId="183" xfId="7" applyFont="1" applyFill="1" applyBorder="1">
      <alignment horizontal="right"/>
    </xf>
    <xf numFmtId="4" fontId="32" fillId="9" borderId="184" xfId="7" applyFont="1" applyFill="1" applyBorder="1">
      <alignment horizontal="right"/>
    </xf>
    <xf numFmtId="0" fontId="58" fillId="36" borderId="0" xfId="24" applyFont="1" applyFill="1"/>
    <xf numFmtId="0" fontId="75" fillId="36" borderId="0" xfId="24" applyFont="1" applyFill="1" applyAlignment="1">
      <alignment horizontal="left" vertical="center"/>
    </xf>
    <xf numFmtId="0" fontId="75" fillId="36" borderId="0" xfId="24" applyFont="1" applyFill="1" applyAlignment="1">
      <alignment horizontal="center" vertical="center"/>
    </xf>
    <xf numFmtId="0" fontId="8" fillId="31" borderId="0" xfId="24" applyFill="1"/>
    <xf numFmtId="0" fontId="8" fillId="0" borderId="0" xfId="24"/>
    <xf numFmtId="10" fontId="0" fillId="0" borderId="0" xfId="16" applyNumberFormat="1" applyFont="1" applyAlignment="1">
      <alignment horizontal="left"/>
    </xf>
    <xf numFmtId="0" fontId="13" fillId="0" borderId="0" xfId="24" applyFont="1"/>
    <xf numFmtId="0" fontId="8" fillId="8" borderId="0" xfId="24" applyFill="1"/>
    <xf numFmtId="0" fontId="38" fillId="0" borderId="0" xfId="24" applyFont="1"/>
    <xf numFmtId="10" fontId="8" fillId="8" borderId="0" xfId="24" applyNumberFormat="1" applyFill="1"/>
    <xf numFmtId="0" fontId="8" fillId="0" borderId="0" xfId="24" applyAlignment="1">
      <alignment horizontal="left"/>
    </xf>
    <xf numFmtId="10" fontId="8" fillId="0" borderId="0" xfId="24" applyNumberFormat="1"/>
    <xf numFmtId="168" fontId="0" fillId="0" borderId="0" xfId="16" applyNumberFormat="1" applyFont="1"/>
    <xf numFmtId="0" fontId="50" fillId="31" borderId="0" xfId="24" applyFont="1" applyFill="1"/>
    <xf numFmtId="0" fontId="27" fillId="32" borderId="193" xfId="0" applyFont="1" applyFill="1" applyBorder="1" applyAlignment="1">
      <alignment horizontal="center"/>
    </xf>
    <xf numFmtId="0" fontId="13" fillId="0" borderId="193" xfId="0" applyFont="1" applyBorder="1" applyAlignment="1">
      <alignment horizontal="center"/>
    </xf>
    <xf numFmtId="0" fontId="0" fillId="0" borderId="193" xfId="0" applyBorder="1" applyAlignment="1">
      <alignment horizontal="center"/>
    </xf>
    <xf numFmtId="0" fontId="27" fillId="16" borderId="54" xfId="0" applyFont="1" applyFill="1" applyBorder="1" applyAlignment="1">
      <alignment horizontal="center" vertical="center" wrapText="1"/>
    </xf>
    <xf numFmtId="0" fontId="57" fillId="0" borderId="0" xfId="24" applyFont="1" applyAlignment="1">
      <alignment horizontal="center"/>
    </xf>
    <xf numFmtId="0" fontId="8" fillId="24" borderId="0" xfId="0" applyFont="1" applyFill="1" applyAlignment="1">
      <alignment horizontal="center" vertical="center"/>
    </xf>
    <xf numFmtId="0" fontId="58" fillId="0" borderId="0" xfId="24" applyFont="1"/>
    <xf numFmtId="0" fontId="75" fillId="0" borderId="0" xfId="24" applyFont="1" applyAlignment="1">
      <alignment horizontal="center" vertical="center"/>
    </xf>
    <xf numFmtId="0" fontId="76" fillId="0" borderId="0" xfId="0" applyFont="1" applyAlignment="1">
      <alignment horizontal="center"/>
    </xf>
    <xf numFmtId="0" fontId="13" fillId="8" borderId="0" xfId="24" applyFont="1" applyFill="1" applyAlignment="1">
      <alignment horizontal="center" vertical="center"/>
    </xf>
    <xf numFmtId="0" fontId="78" fillId="5" borderId="105" xfId="4" applyFont="1" applyFill="1" applyBorder="1" applyAlignment="1">
      <alignment horizontal="center" vertical="center"/>
    </xf>
    <xf numFmtId="0" fontId="47" fillId="23" borderId="62" xfId="0" applyFont="1" applyFill="1" applyBorder="1" applyAlignment="1">
      <alignment horizontal="center" vertical="center" wrapText="1"/>
    </xf>
    <xf numFmtId="0" fontId="47" fillId="16" borderId="63" xfId="0" applyFont="1" applyFill="1" applyBorder="1" applyAlignment="1">
      <alignment horizontal="center" vertical="center" wrapText="1"/>
    </xf>
    <xf numFmtId="3" fontId="62" fillId="38" borderId="155" xfId="0" applyNumberFormat="1" applyFont="1" applyFill="1" applyBorder="1" applyAlignment="1">
      <alignment horizontal="center" vertical="center"/>
    </xf>
    <xf numFmtId="3" fontId="1" fillId="43" borderId="38" xfId="30" applyNumberFormat="1" applyFont="1" applyFill="1" applyBorder="1" applyAlignment="1">
      <alignment horizontal="center" vertical="center"/>
    </xf>
    <xf numFmtId="9" fontId="8" fillId="0" borderId="100" xfId="16" applyFont="1" applyBorder="1" applyAlignment="1">
      <alignment horizontal="center" vertical="center"/>
    </xf>
    <xf numFmtId="9" fontId="8" fillId="17" borderId="90" xfId="16" applyFont="1" applyFill="1" applyBorder="1" applyAlignment="1">
      <alignment horizontal="center" vertical="center"/>
    </xf>
    <xf numFmtId="10" fontId="35" fillId="19" borderId="0" xfId="16" applyNumberFormat="1" applyFont="1" applyFill="1" applyAlignment="1">
      <alignment horizontal="center"/>
    </xf>
    <xf numFmtId="168" fontId="35" fillId="19" borderId="0" xfId="16" applyNumberFormat="1" applyFont="1" applyFill="1" applyAlignment="1">
      <alignment horizontal="center"/>
    </xf>
    <xf numFmtId="10" fontId="35" fillId="19" borderId="0" xfId="0" applyNumberFormat="1" applyFont="1" applyFill="1" applyAlignment="1">
      <alignment horizontal="center"/>
    </xf>
    <xf numFmtId="0" fontId="1" fillId="0" borderId="40" xfId="0" applyFont="1" applyBorder="1"/>
    <xf numFmtId="166" fontId="1" fillId="0" borderId="40" xfId="0" applyNumberFormat="1" applyFont="1" applyBorder="1" applyAlignment="1">
      <alignment horizontal="center"/>
    </xf>
    <xf numFmtId="166" fontId="1" fillId="0" borderId="0" xfId="0" applyNumberFormat="1" applyFont="1" applyAlignment="1">
      <alignment horizontal="center"/>
    </xf>
    <xf numFmtId="173" fontId="8" fillId="24" borderId="17" xfId="0" applyNumberFormat="1" applyFont="1" applyFill="1" applyBorder="1" applyAlignment="1">
      <alignment horizontal="center" vertical="center"/>
    </xf>
    <xf numFmtId="3" fontId="5" fillId="0" borderId="145" xfId="29" applyNumberFormat="1" applyBorder="1" applyAlignment="1">
      <alignment horizontal="center"/>
    </xf>
    <xf numFmtId="3" fontId="5" fillId="0" borderId="40" xfId="29" applyNumberFormat="1" applyBorder="1" applyAlignment="1">
      <alignment horizontal="center"/>
    </xf>
    <xf numFmtId="3" fontId="5" fillId="0" borderId="136" xfId="29" applyNumberFormat="1" applyBorder="1" applyAlignment="1">
      <alignment horizontal="center"/>
    </xf>
    <xf numFmtId="1" fontId="54" fillId="0" borderId="142" xfId="0" applyNumberFormat="1" applyFont="1" applyBorder="1" applyAlignment="1">
      <alignment horizontal="center" vertical="center"/>
    </xf>
    <xf numFmtId="1" fontId="54" fillId="0" borderId="143" xfId="0" applyNumberFormat="1" applyFont="1" applyBorder="1" applyAlignment="1">
      <alignment horizontal="center" vertical="center"/>
    </xf>
    <xf numFmtId="1" fontId="54" fillId="0" borderId="144" xfId="0" applyNumberFormat="1" applyFont="1" applyBorder="1" applyAlignment="1">
      <alignment horizontal="center" vertical="center"/>
    </xf>
    <xf numFmtId="4" fontId="5" fillId="0" borderId="146" xfId="29" applyNumberFormat="1" applyBorder="1" applyAlignment="1">
      <alignment horizontal="center"/>
    </xf>
    <xf numFmtId="4" fontId="5" fillId="0" borderId="152" xfId="29" applyNumberFormat="1" applyBorder="1" applyAlignment="1">
      <alignment horizontal="center"/>
    </xf>
    <xf numFmtId="4" fontId="5" fillId="0" borderId="153" xfId="29" applyNumberFormat="1" applyBorder="1" applyAlignment="1">
      <alignment horizontal="center"/>
    </xf>
    <xf numFmtId="0" fontId="54" fillId="0" borderId="0" xfId="0" applyFont="1" applyAlignment="1">
      <alignment horizontal="center" vertical="center"/>
    </xf>
    <xf numFmtId="0" fontId="8" fillId="0" borderId="0" xfId="24" applyAlignment="1">
      <alignment horizontal="center"/>
    </xf>
    <xf numFmtId="0" fontId="54" fillId="0" borderId="198" xfId="0" applyFont="1" applyBorder="1" applyAlignment="1">
      <alignment horizontal="center" vertical="center"/>
    </xf>
    <xf numFmtId="10" fontId="8" fillId="0" borderId="40" xfId="0" applyNumberFormat="1" applyFont="1" applyBorder="1" applyAlignment="1">
      <alignment horizontal="center" vertical="center"/>
    </xf>
    <xf numFmtId="2" fontId="8" fillId="0" borderId="0" xfId="24" applyNumberFormat="1" applyAlignment="1">
      <alignment horizontal="center" vertical="center"/>
    </xf>
    <xf numFmtId="0" fontId="65" fillId="0" borderId="40" xfId="29" applyFont="1" applyBorder="1"/>
    <xf numFmtId="167" fontId="13" fillId="0" borderId="202" xfId="0" applyNumberFormat="1" applyFont="1" applyBorder="1" applyAlignment="1">
      <alignment horizontal="center"/>
    </xf>
    <xf numFmtId="167" fontId="13" fillId="0" borderId="35" xfId="0" applyNumberFormat="1" applyFont="1" applyBorder="1" applyAlignment="1">
      <alignment horizontal="center"/>
    </xf>
    <xf numFmtId="167" fontId="13" fillId="0" borderId="203" xfId="0" applyNumberFormat="1" applyFont="1" applyBorder="1" applyAlignment="1">
      <alignment horizontal="center"/>
    </xf>
    <xf numFmtId="0" fontId="13" fillId="0" borderId="202" xfId="0" applyFont="1" applyBorder="1" applyAlignment="1">
      <alignment horizontal="center"/>
    </xf>
    <xf numFmtId="10" fontId="0" fillId="33" borderId="65" xfId="0" applyNumberFormat="1" applyFill="1" applyBorder="1"/>
    <xf numFmtId="167" fontId="0" fillId="0" borderId="205" xfId="0" applyNumberFormat="1" applyBorder="1" applyAlignment="1">
      <alignment horizontal="center"/>
    </xf>
    <xf numFmtId="167" fontId="0" fillId="0" borderId="45" xfId="0" applyNumberFormat="1" applyBorder="1" applyAlignment="1">
      <alignment horizontal="center"/>
    </xf>
    <xf numFmtId="166" fontId="8" fillId="0" borderId="90" xfId="0" applyNumberFormat="1" applyFont="1" applyBorder="1" applyAlignment="1">
      <alignment horizontal="center"/>
    </xf>
    <xf numFmtId="0" fontId="56" fillId="0" borderId="110" xfId="0" applyFont="1" applyBorder="1" applyAlignment="1">
      <alignment horizontal="center"/>
    </xf>
    <xf numFmtId="0" fontId="13" fillId="0" borderId="206" xfId="0" applyFont="1" applyBorder="1" applyAlignment="1">
      <alignment horizontal="center"/>
    </xf>
    <xf numFmtId="0" fontId="8" fillId="37" borderId="207" xfId="0" applyFont="1" applyFill="1" applyBorder="1"/>
    <xf numFmtId="0" fontId="13" fillId="0" borderId="207" xfId="0" applyFont="1" applyBorder="1"/>
    <xf numFmtId="0" fontId="8" fillId="0" borderId="207" xfId="0" applyFont="1" applyBorder="1"/>
    <xf numFmtId="0" fontId="13" fillId="0" borderId="208" xfId="0" applyFont="1" applyBorder="1" applyAlignment="1">
      <alignment horizontal="center"/>
    </xf>
    <xf numFmtId="0" fontId="8" fillId="0" borderId="141" xfId="0" applyFont="1" applyBorder="1"/>
    <xf numFmtId="9" fontId="33" fillId="38" borderId="165" xfId="16" applyFont="1" applyFill="1" applyBorder="1" applyAlignment="1">
      <alignment horizontal="center" vertical="center"/>
    </xf>
    <xf numFmtId="3" fontId="1" fillId="43" borderId="1" xfId="30" applyNumberFormat="1" applyFont="1" applyFill="1" applyBorder="1" applyAlignment="1">
      <alignment horizontal="center" vertical="center"/>
    </xf>
    <xf numFmtId="168" fontId="33" fillId="38" borderId="39" xfId="16" applyNumberFormat="1" applyFont="1" applyFill="1" applyBorder="1" applyAlignment="1">
      <alignment horizontal="center" vertical="center"/>
    </xf>
    <xf numFmtId="3" fontId="62" fillId="0" borderId="39" xfId="0" applyNumberFormat="1" applyFont="1" applyBorder="1" applyAlignment="1">
      <alignment horizontal="center" vertical="center"/>
    </xf>
    <xf numFmtId="0" fontId="69" fillId="38" borderId="39" xfId="0" applyFont="1" applyFill="1" applyBorder="1" applyAlignment="1">
      <alignment horizontal="center" vertical="center"/>
    </xf>
    <xf numFmtId="3" fontId="25" fillId="38" borderId="39" xfId="0" applyNumberFormat="1" applyFont="1" applyFill="1" applyBorder="1" applyAlignment="1">
      <alignment horizontal="center" vertical="center"/>
    </xf>
    <xf numFmtId="3" fontId="62" fillId="38" borderId="39" xfId="0" applyNumberFormat="1" applyFont="1" applyFill="1" applyBorder="1" applyAlignment="1">
      <alignment horizontal="center" vertical="center"/>
    </xf>
    <xf numFmtId="0" fontId="62" fillId="0" borderId="39" xfId="0" applyFont="1" applyBorder="1" applyAlignment="1">
      <alignment horizontal="center" vertical="center"/>
    </xf>
    <xf numFmtId="3" fontId="69" fillId="38" borderId="39" xfId="0" quotePrefix="1" applyNumberFormat="1" applyFont="1" applyFill="1" applyBorder="1" applyAlignment="1">
      <alignment horizontal="center" vertical="center"/>
    </xf>
    <xf numFmtId="0" fontId="62" fillId="38" borderId="209" xfId="0" applyFont="1" applyFill="1" applyBorder="1" applyAlignment="1">
      <alignment horizontal="center" vertical="center"/>
    </xf>
    <xf numFmtId="0" fontId="56" fillId="0" borderId="210" xfId="0" applyFont="1" applyBorder="1" applyAlignment="1">
      <alignment horizontal="center"/>
    </xf>
    <xf numFmtId="0" fontId="57" fillId="0" borderId="171" xfId="0" applyFont="1" applyBorder="1" applyAlignment="1">
      <alignment horizontal="center"/>
    </xf>
    <xf numFmtId="0" fontId="13" fillId="37" borderId="207" xfId="0" applyFont="1" applyFill="1" applyBorder="1"/>
    <xf numFmtId="0" fontId="27" fillId="32" borderId="21" xfId="0" applyFont="1" applyFill="1" applyBorder="1" applyAlignment="1">
      <alignment horizontal="center"/>
    </xf>
    <xf numFmtId="14" fontId="13" fillId="0" borderId="212" xfId="0" applyNumberFormat="1" applyFont="1" applyBorder="1" applyAlignment="1">
      <alignment horizontal="center" vertical="center"/>
    </xf>
    <xf numFmtId="14" fontId="13" fillId="0" borderId="213" xfId="0" applyNumberFormat="1" applyFont="1" applyBorder="1" applyAlignment="1">
      <alignment horizontal="center" vertical="center"/>
    </xf>
    <xf numFmtId="0" fontId="8" fillId="0" borderId="217" xfId="0" applyFont="1" applyBorder="1" applyAlignment="1">
      <alignment horizontal="center" vertical="center"/>
    </xf>
    <xf numFmtId="0" fontId="0" fillId="0" borderId="218" xfId="0" applyBorder="1" applyAlignment="1">
      <alignment horizontal="center" vertical="center"/>
    </xf>
    <xf numFmtId="0" fontId="0" fillId="0" borderId="219" xfId="0" applyBorder="1"/>
    <xf numFmtId="0" fontId="0" fillId="0" borderId="219" xfId="0" quotePrefix="1" applyBorder="1"/>
    <xf numFmtId="2" fontId="0" fillId="24" borderId="220" xfId="16" applyNumberFormat="1" applyFont="1" applyFill="1" applyBorder="1" applyAlignment="1">
      <alignment horizontal="center"/>
    </xf>
    <xf numFmtId="168" fontId="0" fillId="24" borderId="220" xfId="16" applyNumberFormat="1" applyFont="1" applyFill="1" applyBorder="1" applyAlignment="1">
      <alignment horizontal="center"/>
    </xf>
    <xf numFmtId="169" fontId="0" fillId="24" borderId="220" xfId="16" applyNumberFormat="1" applyFont="1" applyFill="1" applyBorder="1" applyAlignment="1">
      <alignment horizontal="center"/>
    </xf>
    <xf numFmtId="169" fontId="0" fillId="24" borderId="220" xfId="0" applyNumberFormat="1" applyFill="1" applyBorder="1" applyAlignment="1">
      <alignment horizontal="center"/>
    </xf>
    <xf numFmtId="0" fontId="13" fillId="0" borderId="219" xfId="0" applyFont="1" applyBorder="1" applyAlignment="1">
      <alignment horizontal="center"/>
    </xf>
    <xf numFmtId="0" fontId="0" fillId="7" borderId="0" xfId="0" applyFill="1"/>
    <xf numFmtId="14" fontId="40" fillId="0" borderId="214" xfId="0" applyNumberFormat="1" applyFont="1" applyBorder="1" applyAlignment="1">
      <alignment horizontal="center" vertical="center"/>
    </xf>
    <xf numFmtId="176" fontId="8" fillId="24" borderId="17" xfId="0" applyNumberFormat="1" applyFont="1" applyFill="1" applyBorder="1" applyAlignment="1">
      <alignment horizontal="center"/>
    </xf>
    <xf numFmtId="177" fontId="8" fillId="24" borderId="17" xfId="34" applyNumberFormat="1" applyFont="1" applyFill="1" applyBorder="1" applyAlignment="1">
      <alignment horizontal="center" vertical="center"/>
    </xf>
    <xf numFmtId="10" fontId="0" fillId="24" borderId="220" xfId="16" applyNumberFormat="1" applyFont="1" applyFill="1" applyBorder="1" applyAlignment="1">
      <alignment horizontal="center"/>
    </xf>
    <xf numFmtId="175" fontId="0" fillId="32" borderId="90" xfId="0" applyNumberFormat="1" applyFill="1" applyBorder="1"/>
    <xf numFmtId="175" fontId="0" fillId="32" borderId="95" xfId="0" applyNumberFormat="1" applyFill="1" applyBorder="1"/>
    <xf numFmtId="173" fontId="0" fillId="8" borderId="90" xfId="0" applyNumberFormat="1" applyFill="1" applyBorder="1" applyAlignment="1">
      <alignment horizontal="center"/>
    </xf>
    <xf numFmtId="173" fontId="0" fillId="8" borderId="97" xfId="0" applyNumberFormat="1" applyFill="1" applyBorder="1" applyAlignment="1">
      <alignment horizontal="center"/>
    </xf>
    <xf numFmtId="173" fontId="0" fillId="8" borderId="175" xfId="0" applyNumberFormat="1" applyFill="1" applyBorder="1" applyAlignment="1">
      <alignment horizontal="center"/>
    </xf>
    <xf numFmtId="0" fontId="81" fillId="0" borderId="0" xfId="0" applyFont="1" applyAlignment="1">
      <alignment horizontal="left" vertical="center"/>
    </xf>
    <xf numFmtId="167" fontId="0" fillId="0" borderId="174" xfId="16" applyNumberFormat="1" applyFont="1" applyFill="1" applyBorder="1" applyAlignment="1">
      <alignment horizontal="center"/>
    </xf>
    <xf numFmtId="167" fontId="0" fillId="8" borderId="98" xfId="16" applyNumberFormat="1" applyFont="1" applyFill="1" applyBorder="1" applyAlignment="1">
      <alignment horizontal="center" vertical="center"/>
    </xf>
    <xf numFmtId="172" fontId="0" fillId="8" borderId="90" xfId="0" applyNumberFormat="1" applyFill="1" applyBorder="1" applyAlignment="1">
      <alignment horizontal="center"/>
    </xf>
    <xf numFmtId="10" fontId="64" fillId="7" borderId="50" xfId="0" applyNumberFormat="1" applyFont="1" applyFill="1" applyBorder="1" applyAlignment="1">
      <alignment horizontal="center"/>
    </xf>
    <xf numFmtId="0" fontId="0" fillId="0" borderId="232" xfId="0" applyBorder="1" applyAlignment="1">
      <alignment wrapText="1"/>
    </xf>
    <xf numFmtId="0" fontId="8" fillId="0" borderId="233" xfId="0" applyFont="1" applyBorder="1"/>
    <xf numFmtId="0" fontId="8" fillId="0" borderId="234" xfId="0" applyFont="1" applyBorder="1"/>
    <xf numFmtId="0" fontId="13" fillId="0" borderId="44" xfId="0" applyFont="1" applyBorder="1"/>
    <xf numFmtId="0" fontId="0" fillId="0" borderId="235" xfId="0" applyBorder="1" applyAlignment="1">
      <alignment wrapText="1"/>
    </xf>
    <xf numFmtId="0" fontId="8" fillId="0" borderId="235" xfId="0" applyFont="1" applyBorder="1"/>
    <xf numFmtId="0" fontId="0" fillId="0" borderId="236" xfId="0" applyBorder="1"/>
    <xf numFmtId="0" fontId="8" fillId="0" borderId="237" xfId="0" applyFont="1" applyBorder="1"/>
    <xf numFmtId="0" fontId="8" fillId="0" borderId="226" xfId="0" applyFont="1" applyBorder="1"/>
    <xf numFmtId="0" fontId="8" fillId="0" borderId="238" xfId="0" applyFont="1" applyBorder="1" applyAlignment="1">
      <alignment wrapText="1"/>
    </xf>
    <xf numFmtId="0" fontId="8" fillId="0" borderId="239" xfId="0" applyFont="1" applyBorder="1"/>
    <xf numFmtId="0" fontId="8" fillId="0" borderId="225" xfId="0" applyFont="1" applyBorder="1"/>
    <xf numFmtId="0" fontId="13" fillId="0" borderId="238" xfId="0" applyFont="1" applyBorder="1" applyAlignment="1">
      <alignment wrapText="1"/>
    </xf>
    <xf numFmtId="0" fontId="70" fillId="0" borderId="233" xfId="0" applyFont="1" applyBorder="1"/>
    <xf numFmtId="0" fontId="70" fillId="0" borderId="234" xfId="0" applyFont="1" applyBorder="1"/>
    <xf numFmtId="0" fontId="70" fillId="0" borderId="0" xfId="0" applyFont="1"/>
    <xf numFmtId="0" fontId="70" fillId="0" borderId="235" xfId="0" applyFont="1" applyBorder="1"/>
    <xf numFmtId="0" fontId="70" fillId="0" borderId="225" xfId="0" applyFont="1" applyBorder="1"/>
    <xf numFmtId="0" fontId="70" fillId="0" borderId="237" xfId="0" applyFont="1" applyBorder="1"/>
    <xf numFmtId="0" fontId="70" fillId="0" borderId="226" xfId="0" applyFont="1" applyBorder="1"/>
    <xf numFmtId="0" fontId="70" fillId="0" borderId="44" xfId="0" applyFont="1" applyBorder="1"/>
    <xf numFmtId="0" fontId="70" fillId="0" borderId="236" xfId="0" applyFont="1" applyBorder="1"/>
    <xf numFmtId="167" fontId="8" fillId="0" borderId="84" xfId="0" applyNumberFormat="1" applyFont="1" applyBorder="1" applyAlignment="1">
      <alignment horizontal="center"/>
    </xf>
    <xf numFmtId="167" fontId="8" fillId="0" borderId="72" xfId="0" applyNumberFormat="1" applyFont="1" applyBorder="1" applyAlignment="1">
      <alignment horizontal="center"/>
    </xf>
    <xf numFmtId="0" fontId="8" fillId="33" borderId="231" xfId="0" applyFont="1" applyFill="1" applyBorder="1" applyAlignment="1">
      <alignment wrapText="1"/>
    </xf>
    <xf numFmtId="3" fontId="8" fillId="0" borderId="105" xfId="26" applyNumberFormat="1" applyBorder="1" applyAlignment="1">
      <alignment vertical="center"/>
    </xf>
    <xf numFmtId="4" fontId="8" fillId="0" borderId="105" xfId="26" applyNumberFormat="1" applyBorder="1" applyAlignment="1">
      <alignment vertical="center"/>
    </xf>
    <xf numFmtId="10" fontId="84" fillId="41" borderId="0" xfId="0" applyNumberFormat="1" applyFont="1" applyFill="1"/>
    <xf numFmtId="0" fontId="8" fillId="0" borderId="105" xfId="10" applyFont="1" applyFill="1" applyBorder="1" applyAlignment="1">
      <alignment horizontal="center" vertical="center" wrapText="1"/>
    </xf>
    <xf numFmtId="9" fontId="0" fillId="12" borderId="90" xfId="16" applyFont="1" applyFill="1" applyBorder="1" applyAlignment="1">
      <alignment horizontal="center"/>
    </xf>
    <xf numFmtId="2" fontId="8" fillId="9" borderId="88" xfId="0" applyNumberFormat="1" applyFont="1" applyFill="1" applyBorder="1" applyAlignment="1">
      <alignment horizontal="center"/>
    </xf>
    <xf numFmtId="9" fontId="0" fillId="28" borderId="88" xfId="16" applyFont="1" applyFill="1" applyBorder="1" applyAlignment="1">
      <alignment horizontal="center"/>
    </xf>
    <xf numFmtId="2" fontId="8" fillId="9" borderId="90" xfId="0" applyNumberFormat="1" applyFont="1" applyFill="1" applyBorder="1" applyAlignment="1">
      <alignment horizontal="center"/>
    </xf>
    <xf numFmtId="9" fontId="0" fillId="0" borderId="0" xfId="16" applyFont="1" applyFill="1" applyBorder="1" applyAlignment="1">
      <alignment horizontal="center" vertical="center"/>
    </xf>
    <xf numFmtId="9" fontId="8" fillId="0" borderId="100" xfId="16" applyFont="1" applyFill="1" applyBorder="1" applyAlignment="1">
      <alignment horizontal="center" vertical="center"/>
    </xf>
    <xf numFmtId="168" fontId="0" fillId="0" borderId="88" xfId="16" applyNumberFormat="1" applyFont="1" applyFill="1" applyBorder="1" applyAlignment="1">
      <alignment horizontal="center"/>
    </xf>
    <xf numFmtId="169" fontId="8" fillId="0" borderId="88" xfId="0" applyNumberFormat="1" applyFont="1" applyBorder="1" applyAlignment="1">
      <alignment horizontal="center"/>
    </xf>
    <xf numFmtId="0" fontId="77" fillId="0" borderId="0" xfId="0" applyFont="1"/>
    <xf numFmtId="0" fontId="85" fillId="0" borderId="0" xfId="0" applyFont="1" applyAlignment="1">
      <alignment horizontal="center"/>
    </xf>
    <xf numFmtId="10" fontId="59" fillId="0" borderId="0" xfId="24" applyNumberFormat="1" applyFont="1" applyAlignment="1">
      <alignment horizontal="center"/>
    </xf>
    <xf numFmtId="3" fontId="69" fillId="38" borderId="40" xfId="0" applyNumberFormat="1" applyFont="1" applyFill="1" applyBorder="1" applyAlignment="1">
      <alignment horizontal="center" vertical="center"/>
    </xf>
    <xf numFmtId="10" fontId="76" fillId="0" borderId="0" xfId="24" applyNumberFormat="1" applyFont="1" applyAlignment="1">
      <alignment horizontal="center" vertical="center"/>
    </xf>
    <xf numFmtId="10" fontId="76" fillId="0" borderId="0" xfId="0" applyNumberFormat="1" applyFont="1" applyAlignment="1">
      <alignment horizontal="center" vertical="center"/>
    </xf>
    <xf numFmtId="10" fontId="76" fillId="0" borderId="0" xfId="24" quotePrefix="1" applyNumberFormat="1" applyFont="1" applyAlignment="1">
      <alignment horizontal="center" vertical="center"/>
    </xf>
    <xf numFmtId="0" fontId="76" fillId="0" borderId="0" xfId="24" quotePrefix="1" applyFont="1" applyAlignment="1">
      <alignment horizontal="center" vertical="center"/>
    </xf>
    <xf numFmtId="0" fontId="10" fillId="0" borderId="0" xfId="11" applyAlignment="1" applyProtection="1"/>
    <xf numFmtId="0" fontId="34" fillId="0" borderId="0" xfId="0" applyFont="1"/>
    <xf numFmtId="10" fontId="0" fillId="0" borderId="119" xfId="0" applyNumberFormat="1" applyBorder="1" applyAlignment="1">
      <alignment horizontal="center" vertical="center" wrapText="1"/>
    </xf>
    <xf numFmtId="10" fontId="0" fillId="0" borderId="123" xfId="0" applyNumberFormat="1" applyBorder="1" applyAlignment="1">
      <alignment horizontal="center" vertical="center" wrapText="1"/>
    </xf>
    <xf numFmtId="10" fontId="0" fillId="0" borderId="124" xfId="0" applyNumberFormat="1" applyBorder="1" applyAlignment="1">
      <alignment horizontal="center" vertical="center" wrapText="1"/>
    </xf>
    <xf numFmtId="10" fontId="84" fillId="41" borderId="0" xfId="0" applyNumberFormat="1" applyFont="1" applyFill="1" applyAlignment="1">
      <alignment wrapText="1"/>
    </xf>
    <xf numFmtId="3" fontId="59" fillId="0" borderId="0" xfId="0" applyNumberFormat="1" applyFont="1" applyAlignment="1">
      <alignment horizontal="center"/>
    </xf>
    <xf numFmtId="1" fontId="8" fillId="0" borderId="40" xfId="0" quotePrefix="1" applyNumberFormat="1" applyFont="1" applyBorder="1" applyAlignment="1">
      <alignment horizontal="center" vertical="center"/>
    </xf>
    <xf numFmtId="173" fontId="0" fillId="17" borderId="90" xfId="0" applyNumberFormat="1" applyFill="1" applyBorder="1" applyAlignment="1">
      <alignment horizontal="center"/>
    </xf>
    <xf numFmtId="1" fontId="54" fillId="40" borderId="144" xfId="0" applyNumberFormat="1" applyFont="1" applyFill="1" applyBorder="1" applyAlignment="1">
      <alignment horizontal="center" vertical="center"/>
    </xf>
    <xf numFmtId="1" fontId="54" fillId="40" borderId="136" xfId="0" applyNumberFormat="1" applyFont="1" applyFill="1" applyBorder="1" applyAlignment="1">
      <alignment horizontal="center" vertical="center"/>
    </xf>
    <xf numFmtId="1" fontId="54" fillId="40" borderId="146" xfId="0" applyNumberFormat="1" applyFont="1" applyFill="1" applyBorder="1" applyAlignment="1">
      <alignment horizontal="center" vertical="center"/>
    </xf>
    <xf numFmtId="1" fontId="54" fillId="40" borderId="152" xfId="0" applyNumberFormat="1" applyFont="1" applyFill="1" applyBorder="1" applyAlignment="1">
      <alignment horizontal="center" vertical="center"/>
    </xf>
    <xf numFmtId="1" fontId="54" fillId="40" borderId="153" xfId="0" applyNumberFormat="1" applyFont="1" applyFill="1" applyBorder="1" applyAlignment="1">
      <alignment horizontal="center" vertical="center"/>
    </xf>
    <xf numFmtId="0" fontId="0" fillId="39" borderId="0" xfId="0" applyFill="1"/>
    <xf numFmtId="1" fontId="8" fillId="0" borderId="40" xfId="0" applyNumberFormat="1" applyFont="1" applyBorder="1" applyAlignment="1">
      <alignment horizontal="center" vertical="center"/>
    </xf>
    <xf numFmtId="1" fontId="8" fillId="0" borderId="143" xfId="0" applyNumberFormat="1" applyFont="1" applyBorder="1" applyAlignment="1">
      <alignment horizontal="center" vertical="center"/>
    </xf>
    <xf numFmtId="1" fontId="8" fillId="0" borderId="144" xfId="0" applyNumberFormat="1" applyFont="1" applyBorder="1" applyAlignment="1">
      <alignment horizontal="center" vertical="center"/>
    </xf>
    <xf numFmtId="1" fontId="8" fillId="0" borderId="136" xfId="0" applyNumberFormat="1" applyFont="1" applyBorder="1" applyAlignment="1">
      <alignment horizontal="center" vertical="center"/>
    </xf>
    <xf numFmtId="1" fontId="59" fillId="41" borderId="136" xfId="0" applyNumberFormat="1" applyFont="1" applyFill="1" applyBorder="1" applyAlignment="1">
      <alignment horizontal="center" vertical="center"/>
    </xf>
    <xf numFmtId="1" fontId="59" fillId="0" borderId="136" xfId="0" applyNumberFormat="1" applyFont="1" applyBorder="1" applyAlignment="1">
      <alignment horizontal="center" vertical="center"/>
    </xf>
    <xf numFmtId="1" fontId="8" fillId="0" borderId="136" xfId="0" quotePrefix="1" applyNumberFormat="1" applyFont="1" applyBorder="1" applyAlignment="1">
      <alignment horizontal="center" vertical="center"/>
    </xf>
    <xf numFmtId="3" fontId="59" fillId="41" borderId="146" xfId="0" applyNumberFormat="1" applyFont="1" applyFill="1" applyBorder="1" applyAlignment="1">
      <alignment horizontal="center" vertical="center"/>
    </xf>
    <xf numFmtId="3" fontId="59" fillId="41" borderId="152" xfId="0" applyNumberFormat="1" applyFont="1" applyFill="1" applyBorder="1" applyAlignment="1">
      <alignment horizontal="center" vertical="center"/>
    </xf>
    <xf numFmtId="3" fontId="59" fillId="41" borderId="153" xfId="0" applyNumberFormat="1" applyFont="1" applyFill="1" applyBorder="1" applyAlignment="1">
      <alignment horizontal="center" vertical="center"/>
    </xf>
    <xf numFmtId="1" fontId="8" fillId="0" borderId="154" xfId="0" applyNumberFormat="1" applyFont="1" applyBorder="1" applyAlignment="1">
      <alignment horizontal="center" vertical="center"/>
    </xf>
    <xf numFmtId="1" fontId="8" fillId="0" borderId="38" xfId="0" applyNumberFormat="1" applyFont="1" applyBorder="1" applyAlignment="1">
      <alignment horizontal="center" vertical="center"/>
    </xf>
    <xf numFmtId="3" fontId="0" fillId="0" borderId="38" xfId="0" applyNumberFormat="1" applyBorder="1" applyAlignment="1">
      <alignment horizontal="center" vertical="center"/>
    </xf>
    <xf numFmtId="1" fontId="8" fillId="0" borderId="38" xfId="0" quotePrefix="1" applyNumberFormat="1" applyFont="1" applyBorder="1" applyAlignment="1">
      <alignment horizontal="center" vertical="center"/>
    </xf>
    <xf numFmtId="3" fontId="59" fillId="41" borderId="155" xfId="0" applyNumberFormat="1" applyFont="1" applyFill="1" applyBorder="1" applyAlignment="1">
      <alignment horizontal="center" vertical="center"/>
    </xf>
    <xf numFmtId="1" fontId="0" fillId="0" borderId="142" xfId="0" applyNumberFormat="1" applyBorder="1" applyAlignment="1">
      <alignment horizontal="center" vertical="center"/>
    </xf>
    <xf numFmtId="1" fontId="0" fillId="0" borderId="145" xfId="0" applyNumberFormat="1" applyBorder="1" applyAlignment="1">
      <alignment horizontal="center" vertical="center"/>
    </xf>
    <xf numFmtId="10" fontId="84" fillId="41" borderId="0" xfId="0" quotePrefix="1" applyNumberFormat="1" applyFont="1" applyFill="1" applyAlignment="1">
      <alignment horizontal="center"/>
    </xf>
    <xf numFmtId="0" fontId="54" fillId="0" borderId="27" xfId="0" applyFont="1" applyBorder="1" applyAlignment="1">
      <alignment horizontal="center" vertical="center"/>
    </xf>
    <xf numFmtId="3" fontId="54" fillId="8" borderId="27" xfId="0" applyNumberFormat="1" applyFont="1" applyFill="1" applyBorder="1" applyAlignment="1">
      <alignment horizontal="center" vertical="center"/>
    </xf>
    <xf numFmtId="4" fontId="5" fillId="0" borderId="1" xfId="29" applyNumberFormat="1" applyBorder="1" applyAlignment="1">
      <alignment horizontal="center"/>
    </xf>
    <xf numFmtId="4" fontId="5" fillId="0" borderId="38" xfId="29" applyNumberFormat="1" applyBorder="1" applyAlignment="1">
      <alignment horizontal="center"/>
    </xf>
    <xf numFmtId="4" fontId="5" fillId="0" borderId="29" xfId="29" applyNumberFormat="1" applyBorder="1" applyAlignment="1">
      <alignment horizontal="center"/>
    </xf>
    <xf numFmtId="1" fontId="54" fillId="0" borderId="154" xfId="0" applyNumberFormat="1" applyFont="1" applyBorder="1" applyAlignment="1">
      <alignment horizontal="center" vertical="center"/>
    </xf>
    <xf numFmtId="4" fontId="5" fillId="0" borderId="155" xfId="29" applyNumberFormat="1" applyBorder="1" applyAlignment="1">
      <alignment horizontal="center"/>
    </xf>
    <xf numFmtId="168" fontId="8" fillId="0" borderId="40" xfId="16" applyNumberFormat="1" applyFont="1" applyFill="1" applyBorder="1" applyAlignment="1">
      <alignment horizontal="center" vertical="center"/>
    </xf>
    <xf numFmtId="1" fontId="54" fillId="0" borderId="40" xfId="0" applyNumberFormat="1" applyFont="1" applyBorder="1" applyAlignment="1">
      <alignment horizontal="center" vertical="center"/>
    </xf>
    <xf numFmtId="1" fontId="69" fillId="0" borderId="40" xfId="0" applyNumberFormat="1" applyFont="1" applyBorder="1" applyAlignment="1">
      <alignment horizontal="center" vertical="center"/>
    </xf>
    <xf numFmtId="1" fontId="62" fillId="0" borderId="40" xfId="0" applyNumberFormat="1" applyFont="1" applyBorder="1" applyAlignment="1">
      <alignment horizontal="center" vertical="center"/>
    </xf>
    <xf numFmtId="1" fontId="25" fillId="0" borderId="40" xfId="0" applyNumberFormat="1" applyFont="1" applyBorder="1" applyAlignment="1">
      <alignment horizontal="center" vertical="center"/>
    </xf>
    <xf numFmtId="3" fontId="69" fillId="0" borderId="40" xfId="0" quotePrefix="1" applyNumberFormat="1" applyFont="1" applyBorder="1" applyAlignment="1">
      <alignment horizontal="center" vertical="center"/>
    </xf>
    <xf numFmtId="168" fontId="8" fillId="0" borderId="143" xfId="16" applyNumberFormat="1" applyFont="1" applyFill="1" applyBorder="1" applyAlignment="1">
      <alignment horizontal="center" vertical="center"/>
    </xf>
    <xf numFmtId="1" fontId="54" fillId="0" borderId="145" xfId="0" applyNumberFormat="1" applyFont="1" applyBorder="1" applyAlignment="1">
      <alignment horizontal="center" vertical="center"/>
    </xf>
    <xf numFmtId="168" fontId="8" fillId="0" borderId="145" xfId="16" applyNumberFormat="1" applyFont="1" applyFill="1" applyBorder="1" applyAlignment="1">
      <alignment horizontal="center" vertical="center"/>
    </xf>
    <xf numFmtId="1" fontId="69" fillId="0" borderId="145" xfId="0" applyNumberFormat="1" applyFont="1" applyBorder="1" applyAlignment="1">
      <alignment horizontal="center" vertical="center"/>
    </xf>
    <xf numFmtId="1" fontId="62" fillId="0" borderId="145" xfId="0" applyNumberFormat="1" applyFont="1" applyBorder="1" applyAlignment="1">
      <alignment horizontal="center" vertical="center"/>
    </xf>
    <xf numFmtId="1" fontId="25" fillId="0" borderId="145" xfId="0" applyNumberFormat="1" applyFont="1" applyBorder="1" applyAlignment="1">
      <alignment horizontal="center" vertical="center"/>
    </xf>
    <xf numFmtId="3" fontId="69" fillId="0" borderId="145" xfId="0" applyNumberFormat="1" applyFont="1" applyBorder="1" applyAlignment="1">
      <alignment horizontal="center" vertical="center"/>
    </xf>
    <xf numFmtId="1" fontId="62" fillId="38" borderId="146" xfId="0" applyNumberFormat="1" applyFont="1" applyFill="1" applyBorder="1" applyAlignment="1">
      <alignment horizontal="center" vertical="center"/>
    </xf>
    <xf numFmtId="1" fontId="62" fillId="38" borderId="152" xfId="0" applyNumberFormat="1" applyFont="1" applyFill="1" applyBorder="1" applyAlignment="1">
      <alignment horizontal="center" vertical="center"/>
    </xf>
    <xf numFmtId="168" fontId="0" fillId="0" borderId="154" xfId="16" applyNumberFormat="1" applyFont="1" applyFill="1" applyBorder="1" applyAlignment="1">
      <alignment horizontal="center" vertical="center"/>
    </xf>
    <xf numFmtId="1" fontId="54" fillId="0" borderId="38" xfId="0" applyNumberFormat="1" applyFont="1" applyBorder="1" applyAlignment="1">
      <alignment horizontal="center" vertical="center"/>
    </xf>
    <xf numFmtId="168" fontId="8" fillId="0" borderId="38" xfId="16" applyNumberFormat="1" applyFont="1" applyFill="1" applyBorder="1" applyAlignment="1">
      <alignment horizontal="center" vertical="center"/>
    </xf>
    <xf numFmtId="1" fontId="69" fillId="0" borderId="38" xfId="0" applyNumberFormat="1" applyFont="1" applyBorder="1" applyAlignment="1">
      <alignment horizontal="center" vertical="center"/>
    </xf>
    <xf numFmtId="1" fontId="62" fillId="0" borderId="38" xfId="0" applyNumberFormat="1" applyFont="1" applyBorder="1" applyAlignment="1">
      <alignment horizontal="center" vertical="center"/>
    </xf>
    <xf numFmtId="1" fontId="25" fillId="0" borderId="38" xfId="0" applyNumberFormat="1" applyFont="1" applyBorder="1" applyAlignment="1">
      <alignment horizontal="center" vertical="center"/>
    </xf>
    <xf numFmtId="3" fontId="69" fillId="0" borderId="38" xfId="0" quotePrefix="1" applyNumberFormat="1" applyFont="1" applyBorder="1" applyAlignment="1">
      <alignment horizontal="center" vertical="center"/>
    </xf>
    <xf numFmtId="1" fontId="62" fillId="38" borderId="155" xfId="0" applyNumberFormat="1" applyFont="1" applyFill="1" applyBorder="1" applyAlignment="1">
      <alignment horizontal="center" vertical="center"/>
    </xf>
    <xf numFmtId="168" fontId="8" fillId="8" borderId="110" xfId="16" applyNumberFormat="1" applyFont="1" applyFill="1" applyBorder="1" applyAlignment="1">
      <alignment horizontal="center" vertical="center"/>
    </xf>
    <xf numFmtId="1" fontId="54" fillId="8" borderId="110" xfId="0" applyNumberFormat="1" applyFont="1" applyFill="1" applyBorder="1" applyAlignment="1">
      <alignment horizontal="center" vertical="center"/>
    </xf>
    <xf numFmtId="1" fontId="69" fillId="0" borderId="110" xfId="0" applyNumberFormat="1" applyFont="1" applyBorder="1" applyAlignment="1">
      <alignment horizontal="center" vertical="center"/>
    </xf>
    <xf numFmtId="1" fontId="25" fillId="8" borderId="110" xfId="0" applyNumberFormat="1" applyFont="1" applyFill="1" applyBorder="1" applyAlignment="1">
      <alignment horizontal="center" vertical="center"/>
    </xf>
    <xf numFmtId="1" fontId="62" fillId="8" borderId="110" xfId="0" applyNumberFormat="1" applyFont="1" applyFill="1" applyBorder="1" applyAlignment="1">
      <alignment horizontal="center" vertical="center"/>
    </xf>
    <xf numFmtId="3" fontId="69" fillId="8" borderId="110" xfId="0" applyNumberFormat="1" applyFont="1" applyFill="1" applyBorder="1" applyAlignment="1">
      <alignment horizontal="center" vertical="center"/>
    </xf>
    <xf numFmtId="3" fontId="69" fillId="8" borderId="110" xfId="0" quotePrefix="1" applyNumberFormat="1" applyFont="1" applyFill="1" applyBorder="1" applyAlignment="1">
      <alignment horizontal="center" vertical="center"/>
    </xf>
    <xf numFmtId="168" fontId="8" fillId="8" borderId="243" xfId="16" applyNumberFormat="1" applyFont="1" applyFill="1" applyBorder="1" applyAlignment="1">
      <alignment horizontal="center" vertical="center"/>
    </xf>
    <xf numFmtId="168" fontId="0" fillId="8" borderId="244" xfId="16" applyNumberFormat="1" applyFont="1" applyFill="1" applyBorder="1" applyAlignment="1">
      <alignment horizontal="center" vertical="center"/>
    </xf>
    <xf numFmtId="168" fontId="0" fillId="8" borderId="245" xfId="16" applyNumberFormat="1" applyFont="1" applyFill="1" applyBorder="1" applyAlignment="1">
      <alignment horizontal="center" vertical="center" wrapText="1"/>
    </xf>
    <xf numFmtId="1" fontId="54" fillId="8" borderId="246" xfId="0" applyNumberFormat="1" applyFont="1" applyFill="1" applyBorder="1" applyAlignment="1">
      <alignment horizontal="center" vertical="center"/>
    </xf>
    <xf numFmtId="1" fontId="54" fillId="8" borderId="247" xfId="0" applyNumberFormat="1" applyFont="1" applyFill="1" applyBorder="1" applyAlignment="1">
      <alignment horizontal="center" vertical="center"/>
    </xf>
    <xf numFmtId="168" fontId="8" fillId="8" borderId="246" xfId="16" applyNumberFormat="1" applyFont="1" applyFill="1" applyBorder="1" applyAlignment="1">
      <alignment horizontal="center" vertical="center"/>
    </xf>
    <xf numFmtId="168" fontId="8" fillId="8" borderId="247" xfId="16" applyNumberFormat="1" applyFont="1" applyFill="1" applyBorder="1" applyAlignment="1">
      <alignment horizontal="center" vertical="center"/>
    </xf>
    <xf numFmtId="1" fontId="69" fillId="0" borderId="246" xfId="0" applyNumberFormat="1" applyFont="1" applyBorder="1" applyAlignment="1">
      <alignment horizontal="center" vertical="center"/>
    </xf>
    <xf numFmtId="1" fontId="69" fillId="0" borderId="247" xfId="0" applyNumberFormat="1" applyFont="1" applyBorder="1" applyAlignment="1">
      <alignment horizontal="center" vertical="center"/>
    </xf>
    <xf numFmtId="1" fontId="25" fillId="8" borderId="246" xfId="0" applyNumberFormat="1" applyFont="1" applyFill="1" applyBorder="1" applyAlignment="1">
      <alignment horizontal="center" vertical="center"/>
    </xf>
    <xf numFmtId="1" fontId="25" fillId="8" borderId="247" xfId="0" applyNumberFormat="1" applyFont="1" applyFill="1" applyBorder="1" applyAlignment="1">
      <alignment horizontal="center" vertical="center"/>
    </xf>
    <xf numFmtId="1" fontId="62" fillId="8" borderId="246" xfId="0" applyNumberFormat="1" applyFont="1" applyFill="1" applyBorder="1" applyAlignment="1">
      <alignment horizontal="center" vertical="center"/>
    </xf>
    <xf numFmtId="1" fontId="62" fillId="8" borderId="247" xfId="0" applyNumberFormat="1" applyFont="1" applyFill="1" applyBorder="1" applyAlignment="1">
      <alignment horizontal="center" vertical="center"/>
    </xf>
    <xf numFmtId="3" fontId="69" fillId="8" borderId="246" xfId="0" applyNumberFormat="1" applyFont="1" applyFill="1" applyBorder="1" applyAlignment="1">
      <alignment horizontal="center" vertical="center"/>
    </xf>
    <xf numFmtId="3" fontId="69" fillId="8" borderId="247" xfId="0" quotePrefix="1" applyNumberFormat="1" applyFont="1" applyFill="1" applyBorder="1" applyAlignment="1">
      <alignment horizontal="center" vertical="center"/>
    </xf>
    <xf numFmtId="1" fontId="62" fillId="8" borderId="248" xfId="0" applyNumberFormat="1" applyFont="1" applyFill="1" applyBorder="1" applyAlignment="1">
      <alignment horizontal="center" vertical="center"/>
    </xf>
    <xf numFmtId="1" fontId="62" fillId="8" borderId="249" xfId="0" applyNumberFormat="1" applyFont="1" applyFill="1" applyBorder="1" applyAlignment="1">
      <alignment horizontal="center" vertical="center"/>
    </xf>
    <xf numFmtId="1" fontId="62" fillId="8" borderId="250" xfId="0" applyNumberFormat="1" applyFont="1" applyFill="1" applyBorder="1" applyAlignment="1">
      <alignment horizontal="center" vertical="center"/>
    </xf>
    <xf numFmtId="3" fontId="59" fillId="0" borderId="110" xfId="0" applyNumberFormat="1" applyFont="1" applyBorder="1" applyAlignment="1">
      <alignment horizontal="center" vertical="center"/>
    </xf>
    <xf numFmtId="0" fontId="59" fillId="0" borderId="110" xfId="0" applyFont="1" applyBorder="1" applyAlignment="1">
      <alignment horizontal="center" vertical="center"/>
    </xf>
    <xf numFmtId="3" fontId="59" fillId="40" borderId="110" xfId="0" applyNumberFormat="1" applyFont="1" applyFill="1" applyBorder="1" applyAlignment="1">
      <alignment horizontal="center" vertical="center"/>
    </xf>
    <xf numFmtId="0" fontId="59" fillId="41" borderId="110" xfId="0" applyFont="1" applyFill="1" applyBorder="1" applyAlignment="1">
      <alignment horizontal="center" vertical="center"/>
    </xf>
    <xf numFmtId="3" fontId="59" fillId="40" borderId="110" xfId="0" quotePrefix="1" applyNumberFormat="1" applyFont="1" applyFill="1" applyBorder="1" applyAlignment="1">
      <alignment horizontal="center" vertical="center"/>
    </xf>
    <xf numFmtId="1" fontId="8" fillId="0" borderId="165" xfId="0" applyNumberFormat="1" applyFont="1" applyBorder="1" applyAlignment="1">
      <alignment horizontal="center" vertical="center"/>
    </xf>
    <xf numFmtId="1" fontId="8" fillId="0" borderId="39" xfId="0" applyNumberFormat="1" applyFont="1" applyBorder="1" applyAlignment="1">
      <alignment horizontal="center" vertical="center"/>
    </xf>
    <xf numFmtId="3" fontId="8" fillId="0" borderId="39" xfId="0" applyNumberFormat="1" applyFont="1" applyBorder="1" applyAlignment="1">
      <alignment horizontal="center" vertical="center"/>
    </xf>
    <xf numFmtId="1" fontId="59" fillId="41" borderId="39" xfId="0" applyNumberFormat="1" applyFont="1" applyFill="1" applyBorder="1" applyAlignment="1">
      <alignment horizontal="center" vertical="center"/>
    </xf>
    <xf numFmtId="1" fontId="59" fillId="0" borderId="39" xfId="0" applyNumberFormat="1" applyFont="1" applyBorder="1" applyAlignment="1">
      <alignment horizontal="center" vertical="center"/>
    </xf>
    <xf numFmtId="1" fontId="8" fillId="0" borderId="39" xfId="0" quotePrefix="1" applyNumberFormat="1" applyFont="1" applyBorder="1" applyAlignment="1">
      <alignment horizontal="center" vertical="center"/>
    </xf>
    <xf numFmtId="3" fontId="59" fillId="41" borderId="209" xfId="0" applyNumberFormat="1" applyFont="1" applyFill="1" applyBorder="1" applyAlignment="1">
      <alignment horizontal="center" vertical="center"/>
    </xf>
    <xf numFmtId="3" fontId="59" fillId="0" borderId="243" xfId="0" applyNumberFormat="1" applyFont="1" applyBorder="1" applyAlignment="1">
      <alignment horizontal="center" vertical="center"/>
    </xf>
    <xf numFmtId="0" fontId="59" fillId="0" borderId="244" xfId="0" applyFont="1" applyBorder="1" applyAlignment="1">
      <alignment horizontal="center" vertical="center"/>
    </xf>
    <xf numFmtId="0" fontId="59" fillId="0" borderId="245" xfId="0" applyFont="1" applyBorder="1" applyAlignment="1">
      <alignment horizontal="center" vertical="center"/>
    </xf>
    <xf numFmtId="0" fontId="59" fillId="0" borderId="246" xfId="0" applyFont="1" applyBorder="1" applyAlignment="1">
      <alignment horizontal="center" vertical="center"/>
    </xf>
    <xf numFmtId="0" fontId="59" fillId="0" borderId="247" xfId="0" applyFont="1" applyBorder="1" applyAlignment="1">
      <alignment horizontal="center" vertical="center"/>
    </xf>
    <xf numFmtId="3" fontId="59" fillId="40" borderId="246" xfId="0" applyNumberFormat="1" applyFont="1" applyFill="1" applyBorder="1" applyAlignment="1">
      <alignment horizontal="center" vertical="center"/>
    </xf>
    <xf numFmtId="3" fontId="59" fillId="40" borderId="247" xfId="0" applyNumberFormat="1" applyFont="1" applyFill="1" applyBorder="1" applyAlignment="1">
      <alignment horizontal="center" vertical="center"/>
    </xf>
    <xf numFmtId="0" fontId="59" fillId="41" borderId="246" xfId="0" applyFont="1" applyFill="1" applyBorder="1" applyAlignment="1">
      <alignment horizontal="center" vertical="center"/>
    </xf>
    <xf numFmtId="0" fontId="59" fillId="41" borderId="247" xfId="0" applyFont="1" applyFill="1" applyBorder="1" applyAlignment="1">
      <alignment horizontal="center" vertical="center"/>
    </xf>
    <xf numFmtId="3" fontId="59" fillId="40" borderId="246" xfId="0" quotePrefix="1" applyNumberFormat="1" applyFont="1" applyFill="1" applyBorder="1" applyAlignment="1">
      <alignment horizontal="center" vertical="center"/>
    </xf>
    <xf numFmtId="3" fontId="59" fillId="40" borderId="247" xfId="0" quotePrefix="1" applyNumberFormat="1" applyFont="1" applyFill="1" applyBorder="1" applyAlignment="1">
      <alignment horizontal="center" vertical="center"/>
    </xf>
    <xf numFmtId="3" fontId="59" fillId="0" borderId="246" xfId="0" applyNumberFormat="1" applyFont="1" applyBorder="1" applyAlignment="1">
      <alignment horizontal="center" vertical="center"/>
    </xf>
    <xf numFmtId="3" fontId="59" fillId="0" borderId="247" xfId="0" applyNumberFormat="1" applyFont="1" applyBorder="1" applyAlignment="1">
      <alignment horizontal="center" vertical="center"/>
    </xf>
    <xf numFmtId="3" fontId="59" fillId="41" borderId="248" xfId="0" applyNumberFormat="1" applyFont="1" applyFill="1" applyBorder="1" applyAlignment="1">
      <alignment horizontal="center" vertical="center"/>
    </xf>
    <xf numFmtId="3" fontId="59" fillId="41" borderId="249" xfId="0" applyNumberFormat="1" applyFont="1" applyFill="1" applyBorder="1" applyAlignment="1">
      <alignment horizontal="center" vertical="center"/>
    </xf>
    <xf numFmtId="3" fontId="59" fillId="41" borderId="250" xfId="0" applyNumberFormat="1" applyFont="1" applyFill="1" applyBorder="1" applyAlignment="1">
      <alignment horizontal="center" vertical="center"/>
    </xf>
    <xf numFmtId="0" fontId="8" fillId="46" borderId="223" xfId="0" applyFont="1" applyFill="1" applyBorder="1" applyAlignment="1">
      <alignment horizontal="center" vertical="center" wrapText="1"/>
    </xf>
    <xf numFmtId="0" fontId="8" fillId="46" borderId="224" xfId="0" applyFont="1" applyFill="1" applyBorder="1" applyAlignment="1">
      <alignment horizontal="center" vertical="center" wrapText="1"/>
    </xf>
    <xf numFmtId="0" fontId="8" fillId="46" borderId="223" xfId="0" applyFont="1" applyFill="1" applyBorder="1" applyAlignment="1">
      <alignment vertical="center" wrapText="1"/>
    </xf>
    <xf numFmtId="0" fontId="8" fillId="46" borderId="224" xfId="0" applyFont="1" applyFill="1" applyBorder="1" applyAlignment="1">
      <alignment vertical="center" wrapText="1"/>
    </xf>
    <xf numFmtId="0" fontId="21" fillId="0" borderId="219" xfId="0" applyFont="1" applyBorder="1" applyAlignment="1">
      <alignment vertical="center" wrapText="1"/>
    </xf>
    <xf numFmtId="0" fontId="21" fillId="0" borderId="21" xfId="0" applyFont="1" applyBorder="1" applyAlignment="1">
      <alignment vertical="center" wrapText="1"/>
    </xf>
    <xf numFmtId="0" fontId="8" fillId="46" borderId="230" xfId="0" applyFont="1" applyFill="1" applyBorder="1" applyAlignment="1">
      <alignment horizontal="left" vertical="center" wrapText="1"/>
    </xf>
    <xf numFmtId="0" fontId="8" fillId="46" borderId="231" xfId="0" applyFont="1" applyFill="1" applyBorder="1" applyAlignment="1">
      <alignment horizontal="left" vertical="center"/>
    </xf>
    <xf numFmtId="0" fontId="27" fillId="10" borderId="54" xfId="0" applyFont="1" applyFill="1" applyBorder="1" applyAlignment="1">
      <alignment horizontal="center" vertical="top" wrapText="1"/>
    </xf>
    <xf numFmtId="0" fontId="27" fillId="11" borderId="54" xfId="0" applyFont="1" applyFill="1" applyBorder="1" applyAlignment="1">
      <alignment horizontal="center" vertical="top" wrapText="1"/>
    </xf>
    <xf numFmtId="0" fontId="48" fillId="15" borderId="54" xfId="0" applyFont="1" applyFill="1" applyBorder="1" applyAlignment="1">
      <alignment horizontal="center" vertical="top" wrapText="1"/>
    </xf>
    <xf numFmtId="0" fontId="27" fillId="23" borderId="54" xfId="0" applyFont="1" applyFill="1" applyBorder="1" applyAlignment="1">
      <alignment horizontal="center" vertical="top" wrapText="1"/>
    </xf>
    <xf numFmtId="0" fontId="47" fillId="13" borderId="63" xfId="0" applyFont="1" applyFill="1" applyBorder="1" applyAlignment="1">
      <alignment horizontal="center" vertical="center"/>
    </xf>
    <xf numFmtId="168" fontId="35" fillId="0" borderId="0" xfId="16" applyNumberFormat="1" applyFont="1"/>
    <xf numFmtId="168" fontId="35" fillId="0" borderId="0" xfId="0" applyNumberFormat="1" applyFont="1"/>
    <xf numFmtId="168" fontId="8" fillId="0" borderId="0" xfId="0" applyNumberFormat="1" applyFont="1" applyAlignment="1">
      <alignment horizontal="center"/>
    </xf>
    <xf numFmtId="2" fontId="84" fillId="41" borderId="0" xfId="0" quotePrefix="1" applyNumberFormat="1" applyFont="1" applyFill="1" applyAlignment="1">
      <alignment horizontal="center"/>
    </xf>
    <xf numFmtId="2" fontId="8" fillId="0" borderId="0" xfId="24" applyNumberFormat="1"/>
    <xf numFmtId="0" fontId="50" fillId="8" borderId="0" xfId="24" applyFont="1" applyFill="1"/>
    <xf numFmtId="10" fontId="84" fillId="41" borderId="0" xfId="0" applyNumberFormat="1" applyFont="1" applyFill="1" applyAlignment="1">
      <alignment horizontal="center"/>
    </xf>
    <xf numFmtId="9" fontId="35" fillId="0" borderId="0" xfId="16" applyFont="1"/>
    <xf numFmtId="2" fontId="54" fillId="0" borderId="0" xfId="0" applyNumberFormat="1" applyFont="1"/>
    <xf numFmtId="1" fontId="54" fillId="0" borderId="0" xfId="0" applyNumberFormat="1" applyFont="1"/>
    <xf numFmtId="2" fontId="56" fillId="0" borderId="0" xfId="0" applyNumberFormat="1" applyFont="1"/>
    <xf numFmtId="1" fontId="54" fillId="0" borderId="136" xfId="0" applyNumberFormat="1" applyFont="1" applyBorder="1" applyAlignment="1">
      <alignment horizontal="center" vertical="center"/>
    </xf>
    <xf numFmtId="9" fontId="54" fillId="8" borderId="0" xfId="16" applyFont="1" applyFill="1"/>
    <xf numFmtId="10" fontId="8" fillId="8" borderId="89" xfId="16" applyNumberFormat="1" applyFont="1" applyFill="1" applyBorder="1" applyAlignment="1">
      <alignment horizontal="center"/>
    </xf>
    <xf numFmtId="178" fontId="13" fillId="0" borderId="0" xfId="16" applyNumberFormat="1" applyFont="1"/>
    <xf numFmtId="169" fontId="0" fillId="28" borderId="89" xfId="0" applyNumberFormat="1" applyFill="1" applyBorder="1" applyAlignment="1">
      <alignment horizontal="center"/>
    </xf>
    <xf numFmtId="168" fontId="8" fillId="8" borderId="142" xfId="16" applyNumberFormat="1" applyFont="1" applyFill="1" applyBorder="1" applyAlignment="1">
      <alignment horizontal="center" vertical="center"/>
    </xf>
    <xf numFmtId="0" fontId="13" fillId="8" borderId="21" xfId="16" applyNumberFormat="1" applyFont="1" applyFill="1" applyBorder="1" applyAlignment="1">
      <alignment horizontal="left"/>
    </xf>
    <xf numFmtId="0" fontId="13" fillId="8" borderId="20" xfId="16" applyNumberFormat="1" applyFont="1" applyFill="1" applyBorder="1" applyAlignment="1">
      <alignment horizontal="left"/>
    </xf>
    <xf numFmtId="0" fontId="8" fillId="0" borderId="0" xfId="0" applyFont="1" applyAlignment="1">
      <alignment horizontal="left" vertical="center" wrapText="1"/>
    </xf>
    <xf numFmtId="0" fontId="8" fillId="0" borderId="235" xfId="0" applyFont="1" applyBorder="1" applyAlignment="1">
      <alignment horizontal="left" vertical="center" wrapText="1"/>
    </xf>
    <xf numFmtId="0" fontId="8" fillId="0" borderId="0" xfId="0" applyFont="1" applyAlignment="1">
      <alignment vertical="top" wrapText="1"/>
    </xf>
    <xf numFmtId="0" fontId="8" fillId="0" borderId="235" xfId="0" applyFont="1" applyBorder="1" applyAlignment="1">
      <alignment vertical="top" wrapText="1"/>
    </xf>
    <xf numFmtId="0" fontId="13" fillId="0" borderId="239" xfId="0" applyFont="1" applyBorder="1" applyAlignment="1">
      <alignment horizontal="left" vertical="center" wrapText="1"/>
    </xf>
    <xf numFmtId="0" fontId="8" fillId="0" borderId="0" xfId="0" applyFont="1" applyAlignment="1">
      <alignment wrapText="1"/>
    </xf>
    <xf numFmtId="0" fontId="8" fillId="0" borderId="235" xfId="0" applyFont="1" applyBorder="1" applyAlignment="1">
      <alignment wrapText="1"/>
    </xf>
    <xf numFmtId="0" fontId="13" fillId="0" borderId="239" xfId="0" applyFont="1" applyBorder="1" applyAlignment="1">
      <alignment wrapText="1"/>
    </xf>
    <xf numFmtId="0" fontId="8" fillId="0" borderId="0" xfId="0" applyFont="1" applyAlignment="1">
      <alignment vertical="center"/>
    </xf>
    <xf numFmtId="0" fontId="8" fillId="0" borderId="235" xfId="0" applyFont="1" applyBorder="1" applyAlignment="1">
      <alignment vertical="center"/>
    </xf>
    <xf numFmtId="0" fontId="13" fillId="0" borderId="44" xfId="0" applyFont="1" applyBorder="1" applyAlignment="1">
      <alignment wrapText="1"/>
    </xf>
    <xf numFmtId="0" fontId="27" fillId="32" borderId="193" xfId="0" applyFont="1" applyFill="1" applyBorder="1" applyAlignment="1">
      <alignment horizontal="center"/>
    </xf>
    <xf numFmtId="0" fontId="27" fillId="32" borderId="46" xfId="0" applyFont="1" applyFill="1" applyBorder="1" applyAlignment="1">
      <alignment horizontal="center"/>
    </xf>
    <xf numFmtId="0" fontId="8" fillId="0" borderId="255" xfId="0" applyFont="1" applyBorder="1" applyAlignment="1">
      <alignment horizontal="left" vertical="center" wrapText="1"/>
    </xf>
    <xf numFmtId="0" fontId="27" fillId="32" borderId="21" xfId="0" applyFont="1" applyFill="1" applyBorder="1" applyAlignment="1">
      <alignment horizontal="center"/>
    </xf>
    <xf numFmtId="0" fontId="27" fillId="32" borderId="20" xfId="0" applyFont="1" applyFill="1" applyBorder="1" applyAlignment="1">
      <alignment horizontal="center"/>
    </xf>
    <xf numFmtId="0" fontId="8" fillId="46" borderId="225" xfId="0" applyFont="1" applyFill="1" applyBorder="1" applyAlignment="1">
      <alignment horizontal="center" vertical="center" wrapText="1"/>
    </xf>
    <xf numFmtId="0" fontId="8" fillId="46" borderId="226" xfId="0" applyFont="1" applyFill="1" applyBorder="1" applyAlignment="1">
      <alignment horizontal="center" vertical="center" wrapText="1"/>
    </xf>
    <xf numFmtId="0" fontId="8" fillId="46" borderId="227" xfId="0" applyFont="1" applyFill="1" applyBorder="1" applyAlignment="1">
      <alignment horizontal="center" vertical="center" wrapText="1"/>
    </xf>
    <xf numFmtId="0" fontId="8" fillId="46" borderId="228" xfId="0" applyFont="1" applyFill="1" applyBorder="1" applyAlignment="1">
      <alignment horizontal="center" vertical="center" wrapText="1"/>
    </xf>
    <xf numFmtId="0" fontId="27" fillId="32" borderId="19" xfId="0" applyFont="1" applyFill="1" applyBorder="1" applyAlignment="1">
      <alignment horizontal="center" vertical="center" wrapText="1"/>
    </xf>
    <xf numFmtId="0" fontId="27" fillId="32" borderId="221" xfId="0" applyFont="1" applyFill="1" applyBorder="1" applyAlignment="1">
      <alignment horizontal="center" vertical="center" wrapText="1"/>
    </xf>
    <xf numFmtId="0" fontId="8" fillId="46" borderId="229" xfId="0" applyFont="1" applyFill="1" applyBorder="1" applyAlignment="1">
      <alignment horizontal="center" vertical="center" wrapText="1"/>
    </xf>
    <xf numFmtId="0" fontId="8" fillId="46" borderId="227" xfId="0" quotePrefix="1" applyFont="1" applyFill="1" applyBorder="1" applyAlignment="1">
      <alignment horizontal="center" vertical="center" wrapText="1"/>
    </xf>
    <xf numFmtId="0" fontId="8" fillId="0" borderId="227" xfId="0" applyFont="1" applyBorder="1" applyAlignment="1">
      <alignment horizontal="center" vertical="center"/>
    </xf>
    <xf numFmtId="0" fontId="8" fillId="0" borderId="229" xfId="0" applyFont="1" applyBorder="1" applyAlignment="1">
      <alignment horizontal="center" vertical="center"/>
    </xf>
    <xf numFmtId="0" fontId="8" fillId="7" borderId="240" xfId="0" applyFont="1" applyFill="1" applyBorder="1" applyAlignment="1">
      <alignment horizontal="center" vertical="center" wrapText="1"/>
    </xf>
    <xf numFmtId="0" fontId="8" fillId="7" borderId="233" xfId="0" applyFont="1" applyFill="1" applyBorder="1" applyAlignment="1">
      <alignment horizontal="center" vertical="center" wrapText="1"/>
    </xf>
    <xf numFmtId="0" fontId="8" fillId="7" borderId="241" xfId="0" applyFont="1" applyFill="1" applyBorder="1" applyAlignment="1">
      <alignment horizontal="center" vertical="center" wrapText="1"/>
    </xf>
    <xf numFmtId="0" fontId="8" fillId="7" borderId="28" xfId="0" applyFont="1" applyFill="1" applyBorder="1" applyAlignment="1">
      <alignment horizontal="center" vertical="center" wrapText="1"/>
    </xf>
    <xf numFmtId="0" fontId="8" fillId="7" borderId="22" xfId="0" applyFont="1" applyFill="1" applyBorder="1" applyAlignment="1">
      <alignment horizontal="center" vertical="center" wrapText="1"/>
    </xf>
    <xf numFmtId="0" fontId="8" fillId="7" borderId="222" xfId="0" applyFont="1" applyFill="1" applyBorder="1" applyAlignment="1">
      <alignment horizontal="center" vertical="center" wrapText="1"/>
    </xf>
    <xf numFmtId="0" fontId="63" fillId="8" borderId="46" xfId="0" applyFont="1" applyFill="1" applyBorder="1" applyAlignment="1">
      <alignment horizontal="center"/>
    </xf>
    <xf numFmtId="0" fontId="27" fillId="8" borderId="46" xfId="0" applyFont="1" applyFill="1" applyBorder="1" applyAlignment="1">
      <alignment horizontal="center"/>
    </xf>
    <xf numFmtId="0" fontId="47" fillId="5" borderId="41" xfId="0" applyFont="1" applyFill="1" applyBorder="1" applyAlignment="1">
      <alignment horizontal="center"/>
    </xf>
    <xf numFmtId="0" fontId="47" fillId="5" borderId="42" xfId="0" applyFont="1" applyFill="1" applyBorder="1" applyAlignment="1">
      <alignment horizontal="center"/>
    </xf>
    <xf numFmtId="0" fontId="47" fillId="5" borderId="43" xfId="0" applyFont="1" applyFill="1" applyBorder="1" applyAlignment="1">
      <alignment horizontal="center"/>
    </xf>
    <xf numFmtId="0" fontId="47" fillId="5" borderId="166" xfId="0" applyFont="1" applyFill="1" applyBorder="1" applyAlignment="1">
      <alignment horizontal="center"/>
    </xf>
    <xf numFmtId="0" fontId="47" fillId="5" borderId="116" xfId="0" applyFont="1" applyFill="1" applyBorder="1" applyAlignment="1">
      <alignment horizontal="center"/>
    </xf>
    <xf numFmtId="0" fontId="47" fillId="5" borderId="28" xfId="0" applyFont="1" applyFill="1" applyBorder="1" applyAlignment="1">
      <alignment horizontal="center"/>
    </xf>
    <xf numFmtId="0" fontId="47" fillId="5" borderId="22" xfId="0" applyFont="1" applyFill="1" applyBorder="1" applyAlignment="1">
      <alignment horizontal="center"/>
    </xf>
    <xf numFmtId="0" fontId="47" fillId="5" borderId="23" xfId="0" applyFont="1" applyFill="1" applyBorder="1" applyAlignment="1">
      <alignment horizontal="center"/>
    </xf>
    <xf numFmtId="0" fontId="8" fillId="46" borderId="132" xfId="0" applyFont="1" applyFill="1" applyBorder="1" applyAlignment="1">
      <alignment horizontal="left" vertical="center"/>
    </xf>
    <xf numFmtId="0" fontId="8" fillId="46" borderId="116" xfId="0" applyFont="1" applyFill="1" applyBorder="1" applyAlignment="1">
      <alignment horizontal="left" vertical="center"/>
    </xf>
    <xf numFmtId="0" fontId="8" fillId="46" borderId="171" xfId="0" applyFont="1" applyFill="1" applyBorder="1" applyAlignment="1">
      <alignment horizontal="left" vertical="center"/>
    </xf>
    <xf numFmtId="0" fontId="8" fillId="46" borderId="122" xfId="0" applyFont="1" applyFill="1" applyBorder="1" applyAlignment="1">
      <alignment horizontal="left" vertical="center" wrapText="1"/>
    </xf>
    <xf numFmtId="0" fontId="8" fillId="46" borderId="167" xfId="0" applyFont="1" applyFill="1" applyBorder="1" applyAlignment="1">
      <alignment horizontal="left" vertical="center" wrapText="1"/>
    </xf>
    <xf numFmtId="0" fontId="8" fillId="46" borderId="140" xfId="0" applyFont="1" applyFill="1" applyBorder="1" applyAlignment="1">
      <alignment horizontal="left" vertical="center" wrapText="1"/>
    </xf>
    <xf numFmtId="0" fontId="8" fillId="0" borderId="17" xfId="0" applyFont="1" applyBorder="1" applyAlignment="1">
      <alignment horizontal="left" vertical="center"/>
    </xf>
    <xf numFmtId="0" fontId="47" fillId="5" borderId="222" xfId="0" applyFont="1" applyFill="1" applyBorder="1" applyAlignment="1">
      <alignment horizontal="center"/>
    </xf>
    <xf numFmtId="0" fontId="47" fillId="5" borderId="219" xfId="0" applyFont="1" applyFill="1" applyBorder="1" applyAlignment="1">
      <alignment horizontal="center"/>
    </xf>
    <xf numFmtId="0" fontId="47" fillId="5" borderId="17" xfId="0" applyFont="1" applyFill="1" applyBorder="1" applyAlignment="1">
      <alignment horizontal="center"/>
    </xf>
    <xf numFmtId="0" fontId="46" fillId="18" borderId="44" xfId="0" applyFont="1" applyFill="1" applyBorder="1" applyAlignment="1">
      <alignment horizontal="center"/>
    </xf>
    <xf numFmtId="0" fontId="46" fillId="18" borderId="0" xfId="0" applyFont="1" applyFill="1" applyAlignment="1">
      <alignment horizontal="center"/>
    </xf>
    <xf numFmtId="0" fontId="46" fillId="18" borderId="45" xfId="0" applyFont="1" applyFill="1" applyBorder="1" applyAlignment="1">
      <alignment horizontal="center"/>
    </xf>
    <xf numFmtId="0" fontId="21" fillId="0" borderId="251" xfId="0" applyFont="1" applyBorder="1" applyAlignment="1">
      <alignment horizontal="center" vertical="center" wrapText="1"/>
    </xf>
    <xf numFmtId="0" fontId="21" fillId="0" borderId="252" xfId="0" applyFont="1" applyBorder="1" applyAlignment="1">
      <alignment horizontal="center" vertical="center" wrapText="1"/>
    </xf>
    <xf numFmtId="0" fontId="21" fillId="0" borderId="44" xfId="0" applyFont="1" applyBorder="1" applyAlignment="1">
      <alignment horizontal="center" vertical="center" wrapText="1"/>
    </xf>
    <xf numFmtId="0" fontId="21" fillId="0" borderId="253" xfId="0" applyFont="1" applyBorder="1" applyAlignment="1">
      <alignment horizontal="center" vertical="center" wrapText="1"/>
    </xf>
    <xf numFmtId="0" fontId="21" fillId="0" borderId="254" xfId="0" applyFont="1" applyBorder="1" applyAlignment="1">
      <alignment horizontal="center" vertical="center" wrapText="1"/>
    </xf>
    <xf numFmtId="0" fontId="21" fillId="0" borderId="23" xfId="0" applyFont="1" applyBorder="1" applyAlignment="1">
      <alignment horizontal="center" vertical="center" wrapText="1"/>
    </xf>
    <xf numFmtId="0" fontId="21" fillId="0" borderId="219" xfId="0" applyFont="1" applyBorder="1" applyAlignment="1">
      <alignment horizontal="center" wrapText="1"/>
    </xf>
    <xf numFmtId="0" fontId="21" fillId="0" borderId="21" xfId="0" applyFont="1" applyBorder="1" applyAlignment="1">
      <alignment horizontal="center" wrapText="1"/>
    </xf>
    <xf numFmtId="0" fontId="8" fillId="0" borderId="51" xfId="0" applyFont="1" applyBorder="1" applyAlignment="1">
      <alignment horizontal="left" indent="1"/>
    </xf>
    <xf numFmtId="0" fontId="8" fillId="0" borderId="52" xfId="0" applyFont="1" applyBorder="1" applyAlignment="1">
      <alignment horizontal="left" indent="1"/>
    </xf>
    <xf numFmtId="0" fontId="8" fillId="0" borderId="51" xfId="0" applyFont="1" applyBorder="1" applyAlignment="1">
      <alignment horizontal="left"/>
    </xf>
    <xf numFmtId="0" fontId="8" fillId="0" borderId="52" xfId="0" applyFont="1" applyBorder="1" applyAlignment="1">
      <alignment horizontal="left"/>
    </xf>
    <xf numFmtId="0" fontId="8" fillId="0" borderId="17" xfId="0" applyFont="1" applyBorder="1" applyAlignment="1">
      <alignment horizontal="left"/>
    </xf>
    <xf numFmtId="0" fontId="47" fillId="5" borderId="122" xfId="0" applyFont="1" applyFill="1" applyBorder="1" applyAlignment="1">
      <alignment horizontal="center"/>
    </xf>
    <xf numFmtId="0" fontId="47" fillId="5" borderId="167" xfId="0" applyFont="1" applyFill="1" applyBorder="1" applyAlignment="1">
      <alignment horizontal="center"/>
    </xf>
    <xf numFmtId="0" fontId="47" fillId="5" borderId="168" xfId="0" applyFont="1" applyFill="1" applyBorder="1" applyAlignment="1">
      <alignment horizontal="center"/>
    </xf>
    <xf numFmtId="0" fontId="47" fillId="5" borderId="10" xfId="0" applyFont="1" applyFill="1" applyBorder="1" applyAlignment="1">
      <alignment horizontal="center"/>
    </xf>
    <xf numFmtId="0" fontId="47" fillId="5" borderId="0" xfId="0" applyFont="1" applyFill="1" applyAlignment="1">
      <alignment horizontal="center"/>
    </xf>
    <xf numFmtId="0" fontId="47" fillId="5" borderId="117" xfId="0" applyFont="1" applyFill="1" applyBorder="1" applyAlignment="1">
      <alignment horizontal="center"/>
    </xf>
    <xf numFmtId="0" fontId="27" fillId="32" borderId="132" xfId="0" applyFont="1" applyFill="1" applyBorder="1" applyAlignment="1">
      <alignment horizontal="center"/>
    </xf>
    <xf numFmtId="0" fontId="27" fillId="32" borderId="116" xfId="0" applyFont="1" applyFill="1" applyBorder="1" applyAlignment="1">
      <alignment horizontal="center"/>
    </xf>
    <xf numFmtId="0" fontId="27" fillId="32" borderId="171" xfId="0" applyFont="1" applyFill="1" applyBorder="1" applyAlignment="1">
      <alignment horizontal="center"/>
    </xf>
    <xf numFmtId="0" fontId="27" fillId="32" borderId="119" xfId="0" applyFont="1" applyFill="1" applyBorder="1" applyAlignment="1">
      <alignment horizontal="center"/>
    </xf>
    <xf numFmtId="0" fontId="27" fillId="32" borderId="133" xfId="0" applyFont="1" applyFill="1" applyBorder="1" applyAlignment="1">
      <alignment horizontal="center"/>
    </xf>
    <xf numFmtId="0" fontId="27" fillId="32" borderId="141" xfId="0" applyFont="1" applyFill="1" applyBorder="1" applyAlignment="1">
      <alignment horizontal="center"/>
    </xf>
    <xf numFmtId="0" fontId="9" fillId="0" borderId="122" xfId="0" applyFont="1" applyBorder="1" applyAlignment="1">
      <alignment horizontal="center" vertical="center" wrapText="1"/>
    </xf>
    <xf numFmtId="0" fontId="9" fillId="0" borderId="167" xfId="0" applyFont="1" applyBorder="1" applyAlignment="1">
      <alignment horizontal="center" vertical="center" wrapText="1"/>
    </xf>
    <xf numFmtId="0" fontId="9" fillId="0" borderId="168" xfId="0" applyFont="1" applyBorder="1" applyAlignment="1">
      <alignment horizontal="center" vertical="center" wrapText="1"/>
    </xf>
    <xf numFmtId="0" fontId="9" fillId="0" borderId="120" xfId="0" applyFont="1" applyBorder="1" applyAlignment="1">
      <alignment horizontal="center" vertical="center" wrapText="1"/>
    </xf>
    <xf numFmtId="0" fontId="9" fillId="0" borderId="0" xfId="0" applyFont="1" applyAlignment="1">
      <alignment horizontal="center" vertical="center" wrapText="1"/>
    </xf>
    <xf numFmtId="0" fontId="9" fillId="0" borderId="12" xfId="0" applyFont="1" applyBorder="1" applyAlignment="1">
      <alignment horizontal="center" vertical="center" wrapText="1"/>
    </xf>
    <xf numFmtId="0" fontId="9" fillId="0" borderId="119" xfId="0" applyFont="1" applyBorder="1" applyAlignment="1">
      <alignment horizontal="center" vertical="center" wrapText="1"/>
    </xf>
    <xf numFmtId="0" fontId="9" fillId="0" borderId="133" xfId="0" applyFont="1" applyBorder="1" applyAlignment="1">
      <alignment horizontal="center" vertical="center" wrapText="1"/>
    </xf>
    <xf numFmtId="0" fontId="9" fillId="0" borderId="170" xfId="0" applyFont="1" applyBorder="1" applyAlignment="1">
      <alignment horizontal="center" vertical="center" wrapText="1"/>
    </xf>
    <xf numFmtId="0" fontId="47" fillId="5" borderId="133" xfId="0" applyFont="1" applyFill="1" applyBorder="1" applyAlignment="1">
      <alignment horizontal="center"/>
    </xf>
    <xf numFmtId="0" fontId="47" fillId="5" borderId="170" xfId="0" applyFont="1" applyFill="1" applyBorder="1" applyAlignment="1">
      <alignment horizontal="center"/>
    </xf>
    <xf numFmtId="0" fontId="46" fillId="18" borderId="59" xfId="0" applyFont="1" applyFill="1" applyBorder="1" applyAlignment="1">
      <alignment horizontal="center"/>
    </xf>
    <xf numFmtId="0" fontId="46" fillId="18" borderId="64" xfId="0" applyFont="1" applyFill="1" applyBorder="1" applyAlignment="1">
      <alignment horizontal="center"/>
    </xf>
    <xf numFmtId="0" fontId="46" fillId="18" borderId="65" xfId="0" applyFont="1" applyFill="1" applyBorder="1" applyAlignment="1">
      <alignment horizontal="center"/>
    </xf>
    <xf numFmtId="166" fontId="9" fillId="12" borderId="140" xfId="0" applyNumberFormat="1" applyFont="1" applyFill="1" applyBorder="1" applyAlignment="1">
      <alignment horizontal="center" vertical="center"/>
    </xf>
    <xf numFmtId="166" fontId="9" fillId="12" borderId="117" xfId="0" applyNumberFormat="1" applyFont="1" applyFill="1" applyBorder="1" applyAlignment="1">
      <alignment horizontal="center" vertical="center"/>
    </xf>
    <xf numFmtId="166" fontId="9" fillId="12" borderId="141" xfId="0" applyNumberFormat="1" applyFont="1" applyFill="1" applyBorder="1" applyAlignment="1">
      <alignment horizontal="center" vertical="center"/>
    </xf>
    <xf numFmtId="0" fontId="47" fillId="5" borderId="46" xfId="0" applyFont="1" applyFill="1" applyBorder="1" applyAlignment="1">
      <alignment horizontal="center"/>
    </xf>
    <xf numFmtId="0" fontId="47" fillId="5" borderId="50" xfId="0" applyFont="1" applyFill="1" applyBorder="1" applyAlignment="1">
      <alignment horizontal="center"/>
    </xf>
    <xf numFmtId="0" fontId="47" fillId="5" borderId="193" xfId="0" applyFont="1" applyFill="1" applyBorder="1" applyAlignment="1">
      <alignment horizontal="center"/>
    </xf>
    <xf numFmtId="0" fontId="9" fillId="12" borderId="0" xfId="0" applyFont="1" applyFill="1" applyAlignment="1">
      <alignment horizontal="center" vertical="center" wrapText="1"/>
    </xf>
    <xf numFmtId="0" fontId="9" fillId="12" borderId="133" xfId="0" applyFont="1" applyFill="1" applyBorder="1" applyAlignment="1">
      <alignment horizontal="center" vertical="center" wrapText="1"/>
    </xf>
    <xf numFmtId="0" fontId="34" fillId="46" borderId="119" xfId="0" applyFont="1" applyFill="1" applyBorder="1" applyAlignment="1">
      <alignment horizontal="left" vertical="center" wrapText="1"/>
    </xf>
    <xf numFmtId="0" fontId="34" fillId="46" borderId="133" xfId="0" applyFont="1" applyFill="1" applyBorder="1" applyAlignment="1">
      <alignment horizontal="left" vertical="center" wrapText="1"/>
    </xf>
    <xf numFmtId="0" fontId="34" fillId="46" borderId="141" xfId="0" applyFont="1" applyFill="1" applyBorder="1" applyAlignment="1">
      <alignment horizontal="left" vertical="center" wrapText="1"/>
    </xf>
    <xf numFmtId="0" fontId="34" fillId="33" borderId="119" xfId="0" applyFont="1" applyFill="1" applyBorder="1" applyAlignment="1">
      <alignment vertical="center" wrapText="1"/>
    </xf>
    <xf numFmtId="0" fontId="34" fillId="33" borderId="133" xfId="0" applyFont="1" applyFill="1" applyBorder="1" applyAlignment="1">
      <alignment vertical="center" wrapText="1"/>
    </xf>
    <xf numFmtId="0" fontId="34" fillId="33" borderId="141" xfId="0" applyFont="1" applyFill="1" applyBorder="1" applyAlignment="1">
      <alignment vertical="center" wrapText="1"/>
    </xf>
    <xf numFmtId="0" fontId="8" fillId="46" borderId="120" xfId="0" applyFont="1" applyFill="1" applyBorder="1" applyAlignment="1">
      <alignment horizontal="left" vertical="center" wrapText="1"/>
    </xf>
    <xf numFmtId="0" fontId="8" fillId="46" borderId="0" xfId="0" applyFont="1" applyFill="1" applyAlignment="1">
      <alignment horizontal="left" vertical="center" wrapText="1"/>
    </xf>
    <xf numFmtId="0" fontId="8" fillId="46" borderId="117" xfId="0" applyFont="1" applyFill="1" applyBorder="1" applyAlignment="1">
      <alignment horizontal="left" vertical="center" wrapText="1"/>
    </xf>
    <xf numFmtId="0" fontId="9" fillId="0" borderId="215" xfId="0" applyFont="1" applyBorder="1" applyAlignment="1">
      <alignment horizontal="center" vertical="center"/>
    </xf>
    <xf numFmtId="0" fontId="9" fillId="0" borderId="57" xfId="0" applyFont="1" applyBorder="1" applyAlignment="1">
      <alignment horizontal="center" vertical="center"/>
    </xf>
    <xf numFmtId="0" fontId="9" fillId="0" borderId="216" xfId="0" applyFont="1" applyBorder="1" applyAlignment="1">
      <alignment horizontal="center" vertical="center"/>
    </xf>
    <xf numFmtId="0" fontId="27" fillId="32" borderId="28" xfId="0" applyFont="1" applyFill="1" applyBorder="1" applyAlignment="1">
      <alignment horizontal="center"/>
    </xf>
    <xf numFmtId="0" fontId="27" fillId="32" borderId="22" xfId="0" applyFont="1" applyFill="1" applyBorder="1" applyAlignment="1">
      <alignment horizontal="center"/>
    </xf>
    <xf numFmtId="0" fontId="27" fillId="32" borderId="19" xfId="0" applyFont="1" applyFill="1" applyBorder="1" applyAlignment="1">
      <alignment horizontal="center"/>
    </xf>
    <xf numFmtId="14" fontId="13" fillId="0" borderId="21" xfId="0" applyNumberFormat="1" applyFont="1" applyBorder="1" applyAlignment="1">
      <alignment horizontal="center"/>
    </xf>
    <xf numFmtId="14" fontId="13" fillId="0" borderId="20" xfId="0" applyNumberFormat="1" applyFont="1" applyBorder="1" applyAlignment="1">
      <alignment horizontal="center"/>
    </xf>
    <xf numFmtId="0" fontId="8" fillId="0" borderId="17" xfId="0" quotePrefix="1" applyFont="1" applyBorder="1" applyAlignment="1">
      <alignment horizontal="left"/>
    </xf>
    <xf numFmtId="0" fontId="67" fillId="8" borderId="17" xfId="0" applyFont="1" applyFill="1" applyBorder="1" applyAlignment="1">
      <alignment horizontal="center" vertical="center" wrapText="1"/>
    </xf>
    <xf numFmtId="0" fontId="47" fillId="31" borderId="24" xfId="0" applyFont="1" applyFill="1" applyBorder="1" applyAlignment="1">
      <alignment horizontal="center" vertical="center" wrapText="1"/>
    </xf>
    <xf numFmtId="0" fontId="47" fillId="31" borderId="17" xfId="0" applyFont="1" applyFill="1" applyBorder="1" applyAlignment="1">
      <alignment horizontal="center" vertical="center" wrapText="1"/>
    </xf>
    <xf numFmtId="0" fontId="47" fillId="31" borderId="211" xfId="0" applyFont="1" applyFill="1" applyBorder="1" applyAlignment="1">
      <alignment horizontal="center" vertical="center" wrapText="1"/>
    </xf>
    <xf numFmtId="0" fontId="47" fillId="31" borderId="220" xfId="0" applyFont="1" applyFill="1" applyBorder="1" applyAlignment="1">
      <alignment horizontal="center" vertical="center" wrapText="1"/>
    </xf>
    <xf numFmtId="0" fontId="63" fillId="7" borderId="48" xfId="0" applyFont="1" applyFill="1" applyBorder="1" applyAlignment="1">
      <alignment horizontal="center"/>
    </xf>
    <xf numFmtId="0" fontId="27" fillId="7" borderId="48" xfId="0" applyFont="1" applyFill="1" applyBorder="1" applyAlignment="1">
      <alignment horizontal="center"/>
    </xf>
    <xf numFmtId="0" fontId="63" fillId="8" borderId="48" xfId="0" applyFont="1" applyFill="1" applyBorder="1" applyAlignment="1">
      <alignment horizontal="center"/>
    </xf>
    <xf numFmtId="0" fontId="27" fillId="8" borderId="48" xfId="0" applyFont="1" applyFill="1" applyBorder="1" applyAlignment="1">
      <alignment horizontal="center"/>
    </xf>
    <xf numFmtId="0" fontId="8" fillId="0" borderId="2" xfId="0" applyFont="1" applyBorder="1" applyAlignment="1">
      <alignment horizontal="left" vertical="top" wrapText="1"/>
    </xf>
    <xf numFmtId="0" fontId="8" fillId="0" borderId="49" xfId="0" applyFont="1" applyBorder="1" applyAlignment="1">
      <alignment horizontal="left" vertical="top" wrapText="1"/>
    </xf>
    <xf numFmtId="0" fontId="0" fillId="0" borderId="194" xfId="0" applyBorder="1" applyAlignment="1">
      <alignment horizontal="left" vertical="top" wrapText="1"/>
    </xf>
    <xf numFmtId="0" fontId="8" fillId="0" borderId="40" xfId="0" applyFont="1" applyBorder="1" applyAlignment="1">
      <alignment horizontal="left" vertical="top" wrapText="1"/>
    </xf>
    <xf numFmtId="0" fontId="8" fillId="0" borderId="47" xfId="0" applyFont="1" applyBorder="1" applyAlignment="1">
      <alignment horizontal="left" vertical="top" wrapText="1"/>
    </xf>
    <xf numFmtId="0" fontId="0" fillId="0" borderId="195" xfId="0" applyBorder="1" applyAlignment="1">
      <alignment horizontal="left" vertical="top" wrapText="1"/>
    </xf>
    <xf numFmtId="0" fontId="0" fillId="0" borderId="196" xfId="0" applyBorder="1" applyAlignment="1">
      <alignment horizontal="left" vertical="top" wrapText="1"/>
    </xf>
    <xf numFmtId="0" fontId="0" fillId="0" borderId="197" xfId="0" applyBorder="1" applyAlignment="1">
      <alignment horizontal="left" vertical="top" wrapText="1"/>
    </xf>
    <xf numFmtId="0" fontId="13" fillId="0" borderId="19" xfId="0" applyFont="1" applyBorder="1" applyAlignment="1">
      <alignment horizontal="center"/>
    </xf>
    <xf numFmtId="0" fontId="13" fillId="0" borderId="20" xfId="0" applyFont="1" applyBorder="1" applyAlignment="1">
      <alignment horizontal="center"/>
    </xf>
    <xf numFmtId="0" fontId="8" fillId="8" borderId="21" xfId="0" applyFont="1" applyFill="1" applyBorder="1" applyAlignment="1">
      <alignment horizontal="left" vertical="center"/>
    </xf>
    <xf numFmtId="0" fontId="8" fillId="8" borderId="20" xfId="0" applyFont="1" applyFill="1" applyBorder="1" applyAlignment="1">
      <alignment horizontal="left" vertical="center"/>
    </xf>
    <xf numFmtId="0" fontId="46" fillId="18" borderId="10" xfId="0" applyFont="1" applyFill="1" applyBorder="1" applyAlignment="1">
      <alignment horizontal="center"/>
    </xf>
    <xf numFmtId="0" fontId="46" fillId="18" borderId="12" xfId="0" applyFont="1" applyFill="1" applyBorder="1" applyAlignment="1">
      <alignment horizontal="center"/>
    </xf>
    <xf numFmtId="0" fontId="27" fillId="32" borderId="50" xfId="0" applyFont="1" applyFill="1" applyBorder="1" applyAlignment="1">
      <alignment horizontal="center"/>
    </xf>
    <xf numFmtId="0" fontId="9" fillId="8" borderId="121" xfId="0" applyFont="1" applyFill="1" applyBorder="1" applyAlignment="1">
      <alignment horizontal="center" vertical="center" wrapText="1"/>
    </xf>
    <xf numFmtId="0" fontId="9" fillId="8" borderId="118" xfId="0" applyFont="1" applyFill="1" applyBorder="1" applyAlignment="1">
      <alignment horizontal="center" vertical="center" wrapText="1"/>
    </xf>
    <xf numFmtId="168" fontId="45" fillId="12" borderId="122" xfId="16" applyNumberFormat="1" applyFont="1" applyFill="1" applyBorder="1" applyAlignment="1">
      <alignment horizontal="center" vertical="center"/>
    </xf>
    <xf numFmtId="168" fontId="45" fillId="12" borderId="140" xfId="16" applyNumberFormat="1" applyFont="1" applyFill="1" applyBorder="1" applyAlignment="1">
      <alignment horizontal="center" vertical="center"/>
    </xf>
    <xf numFmtId="168" fontId="45" fillId="12" borderId="119" xfId="16" applyNumberFormat="1" applyFont="1" applyFill="1" applyBorder="1" applyAlignment="1">
      <alignment horizontal="center" vertical="center"/>
    </xf>
    <xf numFmtId="168" fontId="45" fillId="12" borderId="141" xfId="16" applyNumberFormat="1" applyFont="1" applyFill="1" applyBorder="1" applyAlignment="1">
      <alignment horizontal="center" vertical="center"/>
    </xf>
    <xf numFmtId="168" fontId="45" fillId="12" borderId="120" xfId="16" applyNumberFormat="1" applyFont="1" applyFill="1" applyBorder="1" applyAlignment="1">
      <alignment horizontal="center" vertical="center"/>
    </xf>
    <xf numFmtId="168" fontId="45" fillId="12" borderId="117" xfId="16" applyNumberFormat="1" applyFont="1" applyFill="1" applyBorder="1" applyAlignment="1">
      <alignment horizontal="center" vertical="center"/>
    </xf>
    <xf numFmtId="168" fontId="9" fillId="0" borderId="121" xfId="16" applyNumberFormat="1" applyFont="1" applyBorder="1" applyAlignment="1">
      <alignment horizontal="center" vertical="center" wrapText="1"/>
    </xf>
    <xf numFmtId="168" fontId="9" fillId="0" borderId="201" xfId="16" applyNumberFormat="1" applyFont="1" applyBorder="1" applyAlignment="1">
      <alignment horizontal="center" vertical="center" wrapText="1"/>
    </xf>
    <xf numFmtId="168" fontId="9" fillId="0" borderId="118" xfId="16" applyNumberFormat="1" applyFont="1" applyBorder="1" applyAlignment="1">
      <alignment horizontal="center" vertical="center" wrapText="1"/>
    </xf>
    <xf numFmtId="168" fontId="9" fillId="0" borderId="199" xfId="16" applyNumberFormat="1" applyFont="1" applyBorder="1" applyAlignment="1">
      <alignment horizontal="center" vertical="center" wrapText="1"/>
    </xf>
    <xf numFmtId="9" fontId="45" fillId="12" borderId="200" xfId="16" applyFont="1" applyFill="1" applyBorder="1" applyAlignment="1">
      <alignment horizontal="center" vertical="center"/>
    </xf>
    <xf numFmtId="9" fontId="45" fillId="12" borderId="173" xfId="16" applyFont="1" applyFill="1" applyBorder="1" applyAlignment="1">
      <alignment horizontal="center" vertical="center"/>
    </xf>
    <xf numFmtId="9" fontId="45" fillId="12" borderId="172" xfId="16" applyFont="1" applyFill="1" applyBorder="1" applyAlignment="1">
      <alignment horizontal="center" vertical="center"/>
    </xf>
    <xf numFmtId="0" fontId="47" fillId="31" borderId="193" xfId="0" applyFont="1" applyFill="1" applyBorder="1" applyAlignment="1">
      <alignment horizontal="center"/>
    </xf>
    <xf numFmtId="0" fontId="47" fillId="31" borderId="46" xfId="0" applyFont="1" applyFill="1" applyBorder="1" applyAlignment="1">
      <alignment horizontal="center"/>
    </xf>
    <xf numFmtId="0" fontId="13" fillId="0" borderId="51" xfId="0" applyFont="1" applyBorder="1" applyAlignment="1">
      <alignment horizontal="left"/>
    </xf>
    <xf numFmtId="0" fontId="13" fillId="0" borderId="52" xfId="0" applyFont="1" applyBorder="1" applyAlignment="1">
      <alignment horizontal="left"/>
    </xf>
    <xf numFmtId="0" fontId="0" fillId="0" borderId="51" xfId="0" applyBorder="1" applyAlignment="1">
      <alignment horizontal="left"/>
    </xf>
    <xf numFmtId="0" fontId="0" fillId="0" borderId="52" xfId="0" applyBorder="1" applyAlignment="1">
      <alignment horizontal="left"/>
    </xf>
    <xf numFmtId="0" fontId="8" fillId="16" borderId="51" xfId="0" applyFont="1" applyFill="1" applyBorder="1" applyAlignment="1">
      <alignment horizontal="left"/>
    </xf>
    <xf numFmtId="0" fontId="8" fillId="16" borderId="52" xfId="0" applyFont="1" applyFill="1" applyBorder="1" applyAlignment="1">
      <alignment horizontal="left"/>
    </xf>
    <xf numFmtId="0" fontId="27" fillId="9" borderId="54" xfId="0" applyFont="1" applyFill="1" applyBorder="1" applyAlignment="1">
      <alignment horizontal="center" vertical="center" wrapText="1"/>
    </xf>
    <xf numFmtId="0" fontId="9" fillId="0" borderId="61" xfId="0" applyFont="1" applyBorder="1" applyAlignment="1">
      <alignment horizontal="center" vertical="center"/>
    </xf>
    <xf numFmtId="0" fontId="9" fillId="0" borderId="63" xfId="0" applyFont="1" applyBorder="1" applyAlignment="1">
      <alignment horizontal="center" vertical="center"/>
    </xf>
    <xf numFmtId="0" fontId="8" fillId="0" borderId="86" xfId="0" applyFont="1" applyBorder="1" applyAlignment="1">
      <alignment horizontal="center" vertical="center" wrapText="1"/>
    </xf>
    <xf numFmtId="0" fontId="0" fillId="0" borderId="35" xfId="0" applyBorder="1" applyAlignment="1">
      <alignment horizontal="center" vertical="center" wrapText="1"/>
    </xf>
    <xf numFmtId="0" fontId="31" fillId="18" borderId="44" xfId="0" applyFont="1" applyFill="1" applyBorder="1" applyAlignment="1">
      <alignment horizontal="center"/>
    </xf>
    <xf numFmtId="0" fontId="31" fillId="18" borderId="0" xfId="0" applyFont="1" applyFill="1" applyAlignment="1">
      <alignment horizontal="center"/>
    </xf>
    <xf numFmtId="0" fontId="31" fillId="5" borderId="44" xfId="0" applyFont="1" applyFill="1" applyBorder="1" applyAlignment="1">
      <alignment horizontal="center"/>
    </xf>
    <xf numFmtId="0" fontId="31" fillId="5" borderId="0" xfId="0" applyFont="1" applyFill="1" applyAlignment="1">
      <alignment horizontal="center"/>
    </xf>
    <xf numFmtId="0" fontId="31" fillId="5" borderId="45" xfId="0" applyFont="1" applyFill="1" applyBorder="1" applyAlignment="1">
      <alignment horizontal="center"/>
    </xf>
    <xf numFmtId="0" fontId="46" fillId="5" borderId="62" xfId="0" applyFont="1" applyFill="1" applyBorder="1" applyAlignment="1">
      <alignment horizontal="center"/>
    </xf>
    <xf numFmtId="0" fontId="46" fillId="5" borderId="63" xfId="0" applyFont="1" applyFill="1" applyBorder="1" applyAlignment="1">
      <alignment horizontal="center"/>
    </xf>
    <xf numFmtId="0" fontId="46" fillId="5" borderId="0" xfId="0" applyFont="1" applyFill="1" applyAlignment="1">
      <alignment horizontal="center"/>
    </xf>
    <xf numFmtId="0" fontId="31" fillId="5" borderId="61" xfId="0" applyFont="1" applyFill="1" applyBorder="1" applyAlignment="1">
      <alignment horizontal="center"/>
    </xf>
    <xf numFmtId="0" fontId="31" fillId="5" borderId="62" xfId="0" applyFont="1" applyFill="1" applyBorder="1" applyAlignment="1">
      <alignment horizontal="center"/>
    </xf>
    <xf numFmtId="0" fontId="31" fillId="5" borderId="63" xfId="0" applyFont="1" applyFill="1" applyBorder="1" applyAlignment="1">
      <alignment horizontal="center"/>
    </xf>
    <xf numFmtId="0" fontId="46" fillId="5" borderId="56" xfId="0" applyFont="1" applyFill="1" applyBorder="1" applyAlignment="1">
      <alignment horizontal="center"/>
    </xf>
    <xf numFmtId="0" fontId="46" fillId="5" borderId="57" xfId="0" applyFont="1" applyFill="1" applyBorder="1" applyAlignment="1">
      <alignment horizontal="center"/>
    </xf>
    <xf numFmtId="0" fontId="31" fillId="5" borderId="56" xfId="0" applyFont="1" applyFill="1" applyBorder="1" applyAlignment="1">
      <alignment horizontal="center"/>
    </xf>
    <xf numFmtId="0" fontId="31" fillId="5" borderId="57" xfId="0" applyFont="1" applyFill="1" applyBorder="1" applyAlignment="1">
      <alignment horizontal="center"/>
    </xf>
    <xf numFmtId="0" fontId="31" fillId="5" borderId="61" xfId="0" applyFont="1" applyFill="1" applyBorder="1" applyAlignment="1">
      <alignment horizontal="center" vertical="center"/>
    </xf>
    <xf numFmtId="0" fontId="31" fillId="5" borderId="62" xfId="0" applyFont="1" applyFill="1" applyBorder="1" applyAlignment="1">
      <alignment horizontal="center" vertical="center"/>
    </xf>
    <xf numFmtId="0" fontId="31" fillId="5" borderId="65" xfId="0" applyFont="1" applyFill="1" applyBorder="1" applyAlignment="1">
      <alignment horizontal="center" vertical="center"/>
    </xf>
    <xf numFmtId="0" fontId="13" fillId="14" borderId="61" xfId="0" applyFont="1" applyFill="1" applyBorder="1" applyAlignment="1">
      <alignment horizontal="center"/>
    </xf>
    <xf numFmtId="0" fontId="13" fillId="14" borderId="63" xfId="0" applyFont="1" applyFill="1" applyBorder="1" applyAlignment="1">
      <alignment horizontal="center"/>
    </xf>
    <xf numFmtId="0" fontId="13" fillId="14" borderId="62" xfId="0" applyFont="1" applyFill="1" applyBorder="1" applyAlignment="1">
      <alignment horizontal="center"/>
    </xf>
    <xf numFmtId="0" fontId="34" fillId="0" borderId="86" xfId="0" applyFont="1" applyBorder="1" applyAlignment="1">
      <alignment horizontal="center" vertical="center" wrapText="1"/>
    </xf>
    <xf numFmtId="0" fontId="13" fillId="24" borderId="66" xfId="0" applyFont="1" applyFill="1" applyBorder="1" applyAlignment="1">
      <alignment horizontal="center"/>
    </xf>
    <xf numFmtId="0" fontId="13" fillId="24" borderId="67" xfId="0" applyFont="1" applyFill="1" applyBorder="1" applyAlignment="1">
      <alignment horizontal="center"/>
    </xf>
    <xf numFmtId="0" fontId="13" fillId="24" borderId="68" xfId="0" applyFont="1" applyFill="1" applyBorder="1" applyAlignment="1">
      <alignment horizontal="center"/>
    </xf>
    <xf numFmtId="0" fontId="13" fillId="24" borderId="69" xfId="0" applyFont="1" applyFill="1" applyBorder="1" applyAlignment="1">
      <alignment horizontal="center"/>
    </xf>
    <xf numFmtId="0" fontId="13" fillId="24" borderId="70" xfId="0" applyFont="1" applyFill="1" applyBorder="1" applyAlignment="1">
      <alignment horizontal="center"/>
    </xf>
    <xf numFmtId="0" fontId="0" fillId="0" borderId="87" xfId="0" applyBorder="1" applyAlignment="1">
      <alignment horizontal="center" vertical="center" wrapText="1"/>
    </xf>
    <xf numFmtId="0" fontId="0" fillId="0" borderId="60" xfId="0" applyBorder="1" applyAlignment="1">
      <alignment horizontal="center" vertical="center" wrapText="1"/>
    </xf>
    <xf numFmtId="0" fontId="8" fillId="0" borderId="71" xfId="0" applyFont="1" applyBorder="1" applyAlignment="1">
      <alignment horizontal="center" vertical="center"/>
    </xf>
    <xf numFmtId="0" fontId="0" fillId="0" borderId="72" xfId="0" applyBorder="1" applyAlignment="1">
      <alignment horizontal="center" vertical="center"/>
    </xf>
    <xf numFmtId="0" fontId="8" fillId="0" borderId="73" xfId="0" applyFont="1" applyBorder="1" applyAlignment="1">
      <alignment horizontal="center" vertical="center"/>
    </xf>
    <xf numFmtId="0" fontId="8" fillId="0" borderId="72" xfId="0" applyFont="1" applyBorder="1" applyAlignment="1">
      <alignment horizontal="center" vertical="center"/>
    </xf>
    <xf numFmtId="0" fontId="8" fillId="0" borderId="74" xfId="0" applyFont="1" applyBorder="1" applyAlignment="1">
      <alignment horizontal="center" vertical="center"/>
    </xf>
    <xf numFmtId="0" fontId="0" fillId="0" borderId="75" xfId="0" applyBorder="1" applyAlignment="1">
      <alignment horizontal="center" vertical="center"/>
    </xf>
    <xf numFmtId="0" fontId="10" fillId="0" borderId="71" xfId="11" applyBorder="1" applyAlignment="1" applyProtection="1">
      <alignment horizontal="center"/>
    </xf>
    <xf numFmtId="0" fontId="44" fillId="0" borderId="72" xfId="0" applyFont="1" applyBorder="1" applyAlignment="1">
      <alignment horizontal="center"/>
    </xf>
    <xf numFmtId="10" fontId="13" fillId="0" borderId="71" xfId="16" applyNumberFormat="1" applyFont="1" applyBorder="1" applyAlignment="1">
      <alignment horizontal="center"/>
    </xf>
    <xf numFmtId="10" fontId="13" fillId="0" borderId="73" xfId="16" applyNumberFormat="1" applyFont="1" applyBorder="1" applyAlignment="1">
      <alignment horizontal="center"/>
    </xf>
    <xf numFmtId="10" fontId="13" fillId="0" borderId="72" xfId="16" applyNumberFormat="1" applyFont="1" applyBorder="1" applyAlignment="1">
      <alignment horizontal="center"/>
    </xf>
    <xf numFmtId="0" fontId="13" fillId="0" borderId="71" xfId="0" applyFont="1" applyBorder="1" applyAlignment="1">
      <alignment horizontal="center"/>
    </xf>
    <xf numFmtId="0" fontId="13" fillId="0" borderId="73" xfId="0" applyFont="1" applyBorder="1" applyAlignment="1">
      <alignment horizontal="center"/>
    </xf>
    <xf numFmtId="0" fontId="13" fillId="0" borderId="72" xfId="0" applyFont="1" applyBorder="1" applyAlignment="1">
      <alignment horizontal="center"/>
    </xf>
    <xf numFmtId="0" fontId="8" fillId="0" borderId="44" xfId="0" applyFont="1" applyBorder="1" applyAlignment="1">
      <alignment horizontal="center" vertical="center"/>
    </xf>
    <xf numFmtId="0" fontId="8" fillId="0" borderId="0" xfId="0" applyFont="1" applyAlignment="1">
      <alignment horizontal="center" vertical="center"/>
    </xf>
    <xf numFmtId="0" fontId="8" fillId="0" borderId="45" xfId="0" applyFont="1" applyBorder="1" applyAlignment="1">
      <alignment horizontal="center" vertical="center"/>
    </xf>
    <xf numFmtId="0" fontId="8" fillId="0" borderId="44" xfId="0" applyFont="1" applyBorder="1" applyAlignment="1">
      <alignment horizontal="center" vertical="center" wrapText="1"/>
    </xf>
    <xf numFmtId="0" fontId="0" fillId="0" borderId="0" xfId="0" applyAlignment="1">
      <alignment horizontal="center" vertical="center" wrapText="1"/>
    </xf>
    <xf numFmtId="0" fontId="0" fillId="0" borderId="45" xfId="0" applyBorder="1" applyAlignment="1">
      <alignment horizontal="center" vertical="center" wrapText="1"/>
    </xf>
    <xf numFmtId="0" fontId="0" fillId="0" borderId="44" xfId="0" applyBorder="1" applyAlignment="1">
      <alignment horizontal="center" vertical="center" wrapText="1"/>
    </xf>
    <xf numFmtId="0" fontId="10" fillId="0" borderId="204" xfId="11" applyBorder="1" applyAlignment="1" applyProtection="1">
      <alignment horizontal="center"/>
    </xf>
    <xf numFmtId="0" fontId="44" fillId="0" borderId="205" xfId="0" applyFont="1" applyBorder="1" applyAlignment="1">
      <alignment horizontal="center"/>
    </xf>
    <xf numFmtId="10" fontId="13" fillId="0" borderId="204" xfId="16" applyNumberFormat="1" applyFont="1" applyBorder="1" applyAlignment="1">
      <alignment horizontal="center"/>
    </xf>
    <xf numFmtId="10" fontId="13" fillId="0" borderId="150" xfId="16" applyNumberFormat="1" applyFont="1" applyBorder="1" applyAlignment="1">
      <alignment horizontal="center"/>
    </xf>
    <xf numFmtId="10" fontId="13" fillId="0" borderId="205" xfId="16" applyNumberFormat="1" applyFont="1" applyBorder="1" applyAlignment="1">
      <alignment horizontal="center"/>
    </xf>
    <xf numFmtId="0" fontId="13" fillId="0" borderId="204" xfId="0" applyFont="1" applyBorder="1" applyAlignment="1">
      <alignment horizontal="center"/>
    </xf>
    <xf numFmtId="0" fontId="13" fillId="0" borderId="150" xfId="0" applyFont="1" applyBorder="1" applyAlignment="1">
      <alignment horizontal="center"/>
    </xf>
    <xf numFmtId="0" fontId="13" fillId="0" borderId="205" xfId="0" applyFont="1" applyBorder="1" applyAlignment="1">
      <alignment horizontal="center"/>
    </xf>
    <xf numFmtId="0" fontId="44" fillId="0" borderId="202" xfId="0" applyFont="1" applyBorder="1" applyAlignment="1">
      <alignment horizontal="center"/>
    </xf>
    <xf numFmtId="0" fontId="44" fillId="0" borderId="203" xfId="0" applyFont="1" applyBorder="1" applyAlignment="1">
      <alignment horizontal="center"/>
    </xf>
    <xf numFmtId="10" fontId="13" fillId="0" borderId="35" xfId="16" applyNumberFormat="1" applyFont="1" applyBorder="1" applyAlignment="1">
      <alignment horizontal="center"/>
    </xf>
    <xf numFmtId="10" fontId="13" fillId="0" borderId="203" xfId="16" applyNumberFormat="1" applyFont="1" applyBorder="1" applyAlignment="1">
      <alignment horizontal="center"/>
    </xf>
    <xf numFmtId="0" fontId="31" fillId="5" borderId="59" xfId="0" applyFont="1" applyFill="1" applyBorder="1" applyAlignment="1">
      <alignment horizontal="center"/>
    </xf>
    <xf numFmtId="0" fontId="31" fillId="5" borderId="64" xfId="0" applyFont="1" applyFill="1" applyBorder="1" applyAlignment="1">
      <alignment horizontal="center"/>
    </xf>
    <xf numFmtId="0" fontId="31" fillId="5" borderId="65" xfId="0" applyFont="1" applyFill="1" applyBorder="1" applyAlignment="1">
      <alignment horizontal="center"/>
    </xf>
    <xf numFmtId="0" fontId="8" fillId="44" borderId="188" xfId="0" applyFont="1" applyFill="1" applyBorder="1" applyAlignment="1">
      <alignment horizontal="center" vertical="center" wrapText="1"/>
    </xf>
    <xf numFmtId="0" fontId="8" fillId="44" borderId="190" xfId="0" applyFont="1" applyFill="1" applyBorder="1" applyAlignment="1">
      <alignment horizontal="center" vertical="center" wrapText="1"/>
    </xf>
    <xf numFmtId="0" fontId="73" fillId="0" borderId="53" xfId="0" applyFont="1" applyBorder="1" applyAlignment="1">
      <alignment horizontal="center" vertical="center" wrapText="1"/>
    </xf>
    <xf numFmtId="0" fontId="73" fillId="0" borderId="189" xfId="0" applyFont="1" applyBorder="1" applyAlignment="1">
      <alignment horizontal="center" vertical="center" wrapText="1"/>
    </xf>
    <xf numFmtId="0" fontId="73" fillId="0" borderId="191" xfId="0" applyFont="1" applyBorder="1" applyAlignment="1">
      <alignment horizontal="center" vertical="center" wrapText="1"/>
    </xf>
    <xf numFmtId="0" fontId="73" fillId="0" borderId="192" xfId="0" applyFont="1" applyBorder="1" applyAlignment="1">
      <alignment horizontal="center" vertical="center" wrapText="1"/>
    </xf>
    <xf numFmtId="0" fontId="50" fillId="5" borderId="53" xfId="0" applyFont="1" applyFill="1" applyBorder="1" applyAlignment="1">
      <alignment horizontal="center"/>
    </xf>
    <xf numFmtId="0" fontId="68" fillId="0" borderId="102" xfId="0" applyFont="1" applyBorder="1" applyAlignment="1">
      <alignment horizontal="center" vertical="center" wrapText="1"/>
    </xf>
    <xf numFmtId="0" fontId="23" fillId="0" borderId="103" xfId="0" applyFont="1" applyBorder="1" applyAlignment="1">
      <alignment horizontal="center" vertical="center" wrapText="1"/>
    </xf>
    <xf numFmtId="0" fontId="23" fillId="0" borderId="104" xfId="0" applyFont="1" applyBorder="1" applyAlignment="1">
      <alignment horizontal="center" vertical="center" wrapText="1"/>
    </xf>
    <xf numFmtId="0" fontId="27" fillId="5" borderId="185" xfId="26" applyFont="1" applyFill="1" applyBorder="1" applyAlignment="1">
      <alignment horizontal="center" vertical="center"/>
    </xf>
    <xf numFmtId="0" fontId="27" fillId="5" borderId="186" xfId="26" applyFont="1" applyFill="1" applyBorder="1" applyAlignment="1">
      <alignment horizontal="center" vertical="center"/>
    </xf>
    <xf numFmtId="0" fontId="27" fillId="5" borderId="187" xfId="26" applyFont="1" applyFill="1" applyBorder="1" applyAlignment="1">
      <alignment horizontal="center" vertical="center"/>
    </xf>
    <xf numFmtId="0" fontId="8" fillId="45" borderId="188" xfId="0" applyFont="1" applyFill="1" applyBorder="1" applyAlignment="1">
      <alignment horizontal="center" vertical="center" wrapText="1"/>
    </xf>
    <xf numFmtId="0" fontId="8" fillId="39" borderId="188" xfId="0" applyFont="1" applyFill="1" applyBorder="1" applyAlignment="1">
      <alignment horizontal="center" vertical="center" wrapText="1"/>
    </xf>
    <xf numFmtId="2" fontId="0" fillId="0" borderId="0" xfId="26" applyNumberFormat="1" applyFont="1" applyAlignment="1">
      <alignment horizontal="center"/>
    </xf>
    <xf numFmtId="0" fontId="16" fillId="18" borderId="105" xfId="1" applyFill="1" applyBorder="1" applyAlignment="1">
      <alignment horizontal="center" vertical="center" readingOrder="1"/>
    </xf>
    <xf numFmtId="0" fontId="53" fillId="18" borderId="105" xfId="26" applyFont="1" applyFill="1" applyBorder="1" applyAlignment="1">
      <alignment horizontal="center"/>
    </xf>
    <xf numFmtId="0" fontId="0" fillId="0" borderId="0" xfId="26" applyFont="1" applyAlignment="1">
      <alignment horizontal="center"/>
    </xf>
    <xf numFmtId="0" fontId="27" fillId="5" borderId="128" xfId="26" applyFont="1" applyFill="1" applyBorder="1" applyAlignment="1">
      <alignment horizontal="center" vertical="center"/>
    </xf>
    <xf numFmtId="0" fontId="27" fillId="5" borderId="25" xfId="26" applyFont="1" applyFill="1" applyBorder="1" applyAlignment="1">
      <alignment horizontal="center" vertical="center"/>
    </xf>
    <xf numFmtId="0" fontId="27" fillId="5" borderId="26" xfId="26" applyFont="1" applyFill="1" applyBorder="1" applyAlignment="1">
      <alignment horizontal="center" vertical="center"/>
    </xf>
    <xf numFmtId="0" fontId="29" fillId="0" borderId="129" xfId="26" applyFont="1" applyBorder="1" applyAlignment="1">
      <alignment horizontal="center" vertical="center" wrapText="1"/>
    </xf>
    <xf numFmtId="0" fontId="29" fillId="0" borderId="130" xfId="26" applyFont="1" applyBorder="1" applyAlignment="1">
      <alignment horizontal="center" vertical="center" wrapText="1"/>
    </xf>
    <xf numFmtId="0" fontId="29" fillId="0" borderId="131" xfId="26" applyFont="1" applyBorder="1" applyAlignment="1">
      <alignment horizontal="center" vertical="center" wrapText="1"/>
    </xf>
    <xf numFmtId="0" fontId="8" fillId="39" borderId="179" xfId="0" applyFont="1" applyFill="1" applyBorder="1" applyAlignment="1">
      <alignment horizontal="center"/>
    </xf>
    <xf numFmtId="0" fontId="8" fillId="39" borderId="180" xfId="0" applyFont="1" applyFill="1" applyBorder="1" applyAlignment="1">
      <alignment horizontal="center"/>
    </xf>
    <xf numFmtId="0" fontId="8" fillId="39" borderId="147" xfId="0" applyFont="1" applyFill="1" applyBorder="1" applyAlignment="1">
      <alignment horizontal="center"/>
    </xf>
    <xf numFmtId="0" fontId="8" fillId="39" borderId="139" xfId="0" applyFont="1" applyFill="1" applyBorder="1" applyAlignment="1">
      <alignment horizontal="center"/>
    </xf>
    <xf numFmtId="0" fontId="65" fillId="0" borderId="111" xfId="29" applyFont="1" applyBorder="1" applyAlignment="1">
      <alignment horizontal="center" vertical="center"/>
    </xf>
    <xf numFmtId="0" fontId="65" fillId="0" borderId="113" xfId="29" applyFont="1" applyBorder="1" applyAlignment="1">
      <alignment horizontal="center" vertical="center"/>
    </xf>
    <xf numFmtId="0" fontId="55" fillId="36" borderId="0" xfId="0" applyFont="1" applyFill="1" applyAlignment="1">
      <alignment horizontal="left" vertical="center"/>
    </xf>
    <xf numFmtId="0" fontId="55" fillId="36" borderId="133" xfId="0" applyFont="1" applyFill="1" applyBorder="1" applyAlignment="1">
      <alignment horizontal="left" vertical="center"/>
    </xf>
    <xf numFmtId="0" fontId="56" fillId="0" borderId="111" xfId="0" applyFont="1" applyBorder="1" applyAlignment="1">
      <alignment horizontal="center" vertical="center"/>
    </xf>
    <xf numFmtId="0" fontId="56" fillId="0" borderId="114" xfId="0" applyFont="1" applyBorder="1" applyAlignment="1">
      <alignment horizontal="center" vertical="center"/>
    </xf>
    <xf numFmtId="0" fontId="56" fillId="0" borderId="113" xfId="0" applyFont="1" applyBorder="1" applyAlignment="1">
      <alignment horizontal="center" vertical="center"/>
    </xf>
    <xf numFmtId="0" fontId="13" fillId="0" borderId="120" xfId="0" applyFont="1" applyBorder="1" applyAlignment="1">
      <alignment horizontal="center" vertical="center" wrapText="1"/>
    </xf>
    <xf numFmtId="0" fontId="56" fillId="0" borderId="121" xfId="0" applyFont="1" applyBorder="1" applyAlignment="1">
      <alignment horizontal="center" vertical="center" wrapText="1"/>
    </xf>
    <xf numFmtId="0" fontId="56" fillId="0" borderId="118" xfId="0" applyFont="1" applyBorder="1" applyAlignment="1">
      <alignment horizontal="center" vertical="center" wrapText="1"/>
    </xf>
    <xf numFmtId="0" fontId="61" fillId="28" borderId="120" xfId="0" applyFont="1" applyFill="1" applyBorder="1" applyAlignment="1">
      <alignment horizontal="center"/>
    </xf>
    <xf numFmtId="0" fontId="61" fillId="28" borderId="0" xfId="0" applyFont="1" applyFill="1" applyAlignment="1">
      <alignment horizontal="center"/>
    </xf>
    <xf numFmtId="0" fontId="61" fillId="28" borderId="132" xfId="0" applyFont="1" applyFill="1" applyBorder="1" applyAlignment="1">
      <alignment horizontal="center"/>
    </xf>
    <xf numFmtId="0" fontId="61" fillId="28" borderId="116" xfId="0" applyFont="1" applyFill="1" applyBorder="1" applyAlignment="1">
      <alignment horizontal="center"/>
    </xf>
    <xf numFmtId="0" fontId="61" fillId="28" borderId="171" xfId="0" applyFont="1" applyFill="1" applyBorder="1" applyAlignment="1">
      <alignment horizontal="center"/>
    </xf>
    <xf numFmtId="0" fontId="54" fillId="12" borderId="179" xfId="0" applyFont="1" applyFill="1" applyBorder="1" applyAlignment="1">
      <alignment horizontal="center"/>
    </xf>
    <xf numFmtId="0" fontId="54" fillId="12" borderId="180" xfId="0" applyFont="1" applyFill="1" applyBorder="1" applyAlignment="1">
      <alignment horizontal="center"/>
    </xf>
    <xf numFmtId="0" fontId="54" fillId="12" borderId="147" xfId="0" applyFont="1" applyFill="1" applyBorder="1" applyAlignment="1">
      <alignment horizontal="center"/>
    </xf>
    <xf numFmtId="0" fontId="54" fillId="12" borderId="242" xfId="0" applyFont="1" applyFill="1" applyBorder="1" applyAlignment="1">
      <alignment horizontal="center"/>
    </xf>
    <xf numFmtId="0" fontId="54" fillId="12" borderId="36" xfId="0" applyFont="1" applyFill="1" applyBorder="1" applyAlignment="1">
      <alignment horizontal="center"/>
    </xf>
    <xf numFmtId="0" fontId="54" fillId="39" borderId="179" xfId="0" applyFont="1" applyFill="1" applyBorder="1" applyAlignment="1">
      <alignment horizontal="center"/>
    </xf>
    <xf numFmtId="0" fontId="54" fillId="39" borderId="180" xfId="0" applyFont="1" applyFill="1" applyBorder="1" applyAlignment="1">
      <alignment horizontal="center"/>
    </xf>
    <xf numFmtId="0" fontId="54" fillId="39" borderId="147" xfId="0" applyFont="1" applyFill="1" applyBorder="1" applyAlignment="1">
      <alignment horizontal="center"/>
    </xf>
    <xf numFmtId="0" fontId="54" fillId="39" borderId="139" xfId="0" applyFont="1" applyFill="1" applyBorder="1" applyAlignment="1">
      <alignment horizontal="center"/>
    </xf>
    <xf numFmtId="0" fontId="56" fillId="0" borderId="118" xfId="0" applyFont="1" applyBorder="1" applyAlignment="1">
      <alignment horizontal="center" vertical="center"/>
    </xf>
    <xf numFmtId="0" fontId="56" fillId="0" borderId="121" xfId="0" applyFont="1" applyBorder="1" applyAlignment="1">
      <alignment horizontal="center" vertical="center"/>
    </xf>
    <xf numFmtId="0" fontId="56" fillId="0" borderId="181" xfId="0" applyFont="1" applyBorder="1" applyAlignment="1">
      <alignment horizontal="center" vertical="center"/>
    </xf>
    <xf numFmtId="0" fontId="56" fillId="0" borderId="151" xfId="0" applyFont="1" applyBorder="1" applyAlignment="1">
      <alignment horizontal="center" vertical="center"/>
    </xf>
    <xf numFmtId="0" fontId="56" fillId="0" borderId="110" xfId="0" applyFont="1" applyBorder="1" applyAlignment="1">
      <alignment horizontal="center" vertical="center"/>
    </xf>
    <xf numFmtId="0" fontId="77" fillId="7" borderId="0" xfId="0" applyFont="1" applyFill="1" applyAlignment="1">
      <alignment horizontal="center"/>
    </xf>
    <xf numFmtId="0" fontId="43" fillId="0" borderId="0" xfId="0" applyFont="1" applyAlignment="1">
      <alignment horizontal="center"/>
    </xf>
    <xf numFmtId="0" fontId="9" fillId="0" borderId="0" xfId="0" applyFont="1" applyAlignment="1">
      <alignment horizontal="center"/>
    </xf>
    <xf numFmtId="0" fontId="39" fillId="0" borderId="0" xfId="0" applyFont="1" applyAlignment="1">
      <alignment horizontal="center"/>
    </xf>
    <xf numFmtId="0" fontId="13" fillId="0" borderId="3" xfId="0" applyFont="1" applyBorder="1" applyAlignment="1">
      <alignment horizontal="center"/>
    </xf>
    <xf numFmtId="0" fontId="13" fillId="0" borderId="2" xfId="0" applyFont="1" applyBorder="1" applyAlignment="1">
      <alignment horizontal="center"/>
    </xf>
    <xf numFmtId="0" fontId="13" fillId="0" borderId="29" xfId="0" applyFont="1" applyBorder="1" applyAlignment="1">
      <alignment horizontal="center"/>
    </xf>
    <xf numFmtId="0" fontId="13" fillId="0" borderId="5" xfId="0" applyFont="1" applyBorder="1" applyAlignment="1">
      <alignment horizontal="center"/>
    </xf>
    <xf numFmtId="0" fontId="13" fillId="0" borderId="30" xfId="0" applyFont="1" applyBorder="1" applyAlignment="1">
      <alignment horizontal="center"/>
    </xf>
    <xf numFmtId="0" fontId="35" fillId="0" borderId="0" xfId="0" applyFont="1" applyAlignment="1">
      <alignment horizontal="center"/>
    </xf>
    <xf numFmtId="0" fontId="23" fillId="0" borderId="0" xfId="0" applyFont="1" applyAlignment="1">
      <alignment horizontal="center"/>
    </xf>
    <xf numFmtId="0" fontId="35" fillId="19" borderId="0" xfId="0" applyFont="1" applyFill="1" applyAlignment="1">
      <alignment horizontal="center"/>
    </xf>
    <xf numFmtId="4" fontId="35" fillId="19" borderId="0" xfId="0" applyNumberFormat="1" applyFont="1" applyFill="1" applyAlignment="1">
      <alignment horizontal="center"/>
    </xf>
    <xf numFmtId="0" fontId="8" fillId="0" borderId="0" xfId="0" applyFont="1" applyAlignment="1"/>
    <xf numFmtId="0" fontId="8" fillId="0" borderId="235" xfId="0" applyFont="1" applyBorder="1" applyAlignment="1"/>
    <xf numFmtId="0" fontId="70" fillId="0" borderId="44" xfId="0" applyFont="1" applyBorder="1" applyAlignment="1"/>
    <xf numFmtId="0" fontId="70" fillId="0" borderId="0" xfId="0" applyFont="1" applyAlignment="1"/>
    <xf numFmtId="0" fontId="70" fillId="0" borderId="235" xfId="0" applyFont="1" applyBorder="1" applyAlignment="1"/>
    <xf numFmtId="0" fontId="0" fillId="0" borderId="10" xfId="0" applyBorder="1" applyAlignment="1"/>
  </cellXfs>
  <cellStyles count="35">
    <cellStyle name="blp_title_header_row_left" xfId="1" xr:uid="{00000000-0005-0000-0000-000000000000}"/>
    <cellStyle name="Comma" xfId="34" builtinId="3"/>
    <cellStyle name="fa_column_header_bottom_left 2" xfId="2" xr:uid="{00000000-0005-0000-0000-000001000000}"/>
    <cellStyle name="fa_column_header_top 2" xfId="3" xr:uid="{00000000-0005-0000-0000-000002000000}"/>
    <cellStyle name="fa_column_header_top_left 2" xfId="4" xr:uid="{00000000-0005-0000-0000-000003000000}"/>
    <cellStyle name="fa_data_bold_0_grouped" xfId="5" xr:uid="{00000000-0005-0000-0000-000004000000}"/>
    <cellStyle name="fa_data_standard_1_grouped" xfId="6" xr:uid="{00000000-0005-0000-0000-000005000000}"/>
    <cellStyle name="fa_data_standard_2_grouped" xfId="7" xr:uid="{00000000-0005-0000-0000-000006000000}"/>
    <cellStyle name="fa_footer_italic" xfId="8" xr:uid="{00000000-0005-0000-0000-000007000000}"/>
    <cellStyle name="fa_row_header_bold 2" xfId="9" xr:uid="{00000000-0005-0000-0000-000008000000}"/>
    <cellStyle name="fa_row_header_standard 2" xfId="10" xr:uid="{00000000-0005-0000-0000-000009000000}"/>
    <cellStyle name="Hyperlink" xfId="11" builtinId="8"/>
    <cellStyle name="Moneda 2" xfId="12" xr:uid="{00000000-0005-0000-0000-00000B000000}"/>
    <cellStyle name="Moneda 2 2" xfId="13" xr:uid="{00000000-0005-0000-0000-00000C000000}"/>
    <cellStyle name="Normal" xfId="0" builtinId="0"/>
    <cellStyle name="Normal 2" xfId="14" xr:uid="{00000000-0005-0000-0000-00000E000000}"/>
    <cellStyle name="Normal 2 2" xfId="15" xr:uid="{00000000-0005-0000-0000-00000F000000}"/>
    <cellStyle name="Normal 2 3" xfId="20" xr:uid="{00000000-0005-0000-0000-000010000000}"/>
    <cellStyle name="Normal 2 3 2" xfId="27" xr:uid="{6A4611F8-31D7-4EA6-B27B-70EB4E34E8FD}"/>
    <cellStyle name="Normal 2 4" xfId="21" xr:uid="{DBC68614-B0BC-4348-8A0D-C96562B201CF}"/>
    <cellStyle name="Normal 3" xfId="24" xr:uid="{371B90F0-6B8E-40BF-8358-D28B574437C9}"/>
    <cellStyle name="Normal 3 2" xfId="26" xr:uid="{41BD78A2-6B23-4ADD-839D-9D86F14E11A2}"/>
    <cellStyle name="Normal 3 3" xfId="29" xr:uid="{4CBFF9A4-05AD-4A91-8AF0-FA0B5B39E2EC}"/>
    <cellStyle name="Normal 5" xfId="30" xr:uid="{E3BE1569-E214-4855-8BF5-B868B88B5743}"/>
    <cellStyle name="Normal 9" xfId="33" xr:uid="{CACD4D4E-2C7F-4816-9692-26D0FDD559DC}"/>
    <cellStyle name="Percent" xfId="16" builtinId="5"/>
    <cellStyle name="Porcentaje 2" xfId="17" xr:uid="{00000000-0005-0000-0000-000012000000}"/>
    <cellStyle name="Porcentaje 2 2" xfId="18" xr:uid="{00000000-0005-0000-0000-000013000000}"/>
    <cellStyle name="Porcentaje 2 2 2" xfId="25" xr:uid="{924DB8B0-6B9C-4A78-9CB6-7EC8F42C7C6B}"/>
    <cellStyle name="Porcentaje 2 3" xfId="23" xr:uid="{1FF2580F-E450-433A-8AB5-6E1CABCA8FC9}"/>
    <cellStyle name="Porcentaje 2 4" xfId="28" xr:uid="{3D812F63-E4F6-4F6D-A613-EF79E76ACE35}"/>
    <cellStyle name="Porcentaje 3" xfId="19" xr:uid="{00000000-0005-0000-0000-000014000000}"/>
    <cellStyle name="Porcentaje 3 2" xfId="22" xr:uid="{59E732CE-B697-4AF7-8CEE-0C42EB60E78B}"/>
    <cellStyle name="Porcentaje 4 2" xfId="32" xr:uid="{C6A0E8B8-33DC-4334-89A4-99FF669E5EA8}"/>
    <cellStyle name="Porcentaje 5" xfId="31" xr:uid="{F07CEC0B-CE59-4BBC-A0C7-9B77A84167BF}"/>
  </cellStyles>
  <dxfs count="44">
    <dxf>
      <fill>
        <patternFill>
          <bgColor rgb="FF00B050"/>
        </patternFill>
      </fill>
    </dxf>
    <dxf>
      <fill>
        <patternFill>
          <bgColor rgb="FFFF0000"/>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ill>
        <patternFill patternType="solid">
          <bgColor rgb="FF00B050"/>
        </patternFill>
      </fill>
    </dxf>
    <dxf>
      <fill>
        <patternFill patternType="solid">
          <bgColor rgb="FFFF0000"/>
        </patternFill>
      </fill>
    </dxf>
    <dxf>
      <fill>
        <patternFill patternType="solid">
          <bgColor rgb="FF00B050"/>
        </patternFill>
      </fill>
    </dxf>
    <dxf>
      <fill>
        <patternFill patternType="solid">
          <bgColor rgb="FFFF0000"/>
        </patternFill>
      </fill>
    </dxf>
    <dxf>
      <font>
        <color theme="0" tint="-0.499984740745262"/>
      </font>
      <fill>
        <patternFill>
          <bgColor theme="0" tint="-0.499984740745262"/>
        </patternFill>
      </fill>
    </dxf>
    <dxf>
      <font>
        <color theme="0" tint="-0.499984740745262"/>
      </font>
      <fill>
        <patternFill>
          <bgColor theme="0" tint="-0.499984740745262"/>
        </patternFill>
      </fill>
    </dxf>
  </dxfs>
  <tableStyles count="1" defaultTableStyle="TableStyleMedium9" defaultPivotStyle="PivotStyleLight16">
    <tableStyle name="Invisible" pivot="0" table="0" count="0" xr9:uid="{7B8256E5-5961-45BC-8E74-75040304E975}"/>
  </tableStyles>
  <colors>
    <mruColors>
      <color rgb="FF1F497D"/>
      <color rgb="FFC5D9F1"/>
      <color rgb="FF1B7087"/>
      <color rgb="FF3174C5"/>
      <color rgb="FF63CB97"/>
      <color rgb="FFFF3399"/>
      <color rgb="FFE838D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06/relationships/rdRichValueStructure" Target="richData/rdrichvaluestructure.xml"/><Relationship Id="rId26" Type="http://schemas.openxmlformats.org/officeDocument/2006/relationships/customXml" Target="../customXml/item2.xml"/><Relationship Id="rId3" Type="http://schemas.openxmlformats.org/officeDocument/2006/relationships/worksheet" Target="worksheets/sheet3.xml"/><Relationship Id="rId21" Type="http://schemas.microsoft.com/office/2017/06/relationships/rdSupportingPropertyBag" Target="richData/rdsupportingpropertybag.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microsoft.com/office/2017/06/relationships/rdRichValue" Target="richData/rdrichvalue.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eetMetadata" Target="metadata.xml"/><Relationship Id="rId20" Type="http://schemas.microsoft.com/office/2017/06/relationships/rdSupportingPropertyBagStructure" Target="richData/rdsupportingpropertybag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sharedStrings" Target="sharedStrings.xml"/><Relationship Id="rId23" Type="http://schemas.microsoft.com/office/2017/10/relationships/person" Target="persons/person.xml"/><Relationship Id="rId10" Type="http://schemas.openxmlformats.org/officeDocument/2006/relationships/worksheet" Target="worksheets/sheet10.xml"/><Relationship Id="rId19" Type="http://schemas.microsoft.com/office/2017/06/relationships/richStyles" Target="richData/rich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 Id="rId22" Type="http://schemas.microsoft.com/office/2017/06/relationships/rdRichValueTypes" Target="richData/rdRichValueTypes.xml"/><Relationship Id="rId27"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672-4E68-9509-04CBFF4F4F8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672-4E68-9509-04CBFF4F4F8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672-4E68-9509-04CBFF4F4F8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672-4E68-9509-04CBFF4F4F8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672-4E68-9509-04CBFF4F4F8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672-4E68-9509-04CBFF4F4F8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[2]Segments!$C$18:$C$23</c:f>
              <c:strCache>
                <c:ptCount val="6"/>
                <c:pt idx="0">
                  <c:v>Zegma branded products</c:v>
                </c:pt>
                <c:pt idx="1">
                  <c:v>Thom Browne</c:v>
                </c:pt>
                <c:pt idx="2">
                  <c:v>Tom Ford Fashion</c:v>
                </c:pt>
                <c:pt idx="3">
                  <c:v>Strategic Alliances</c:v>
                </c:pt>
                <c:pt idx="4">
                  <c:v>Other</c:v>
                </c:pt>
                <c:pt idx="5">
                  <c:v>Textile</c:v>
                </c:pt>
              </c:strCache>
            </c:strRef>
          </c:cat>
          <c:val>
            <c:numRef>
              <c:f>[2]Segments!$D$18:$D$23</c:f>
              <c:numCache>
                <c:formatCode>General</c:formatCode>
                <c:ptCount val="6"/>
                <c:pt idx="0">
                  <c:v>1199770</c:v>
                </c:pt>
                <c:pt idx="1">
                  <c:v>409200</c:v>
                </c:pt>
                <c:pt idx="2">
                  <c:v>254700</c:v>
                </c:pt>
                <c:pt idx="4">
                  <c:v>5180</c:v>
                </c:pt>
                <c:pt idx="5">
                  <c:v>163270</c:v>
                </c:pt>
              </c:numCache>
            </c:numRef>
          </c:val>
          <c:extLst>
            <c:ext xmlns:c16="http://schemas.microsoft.com/office/drawing/2014/chart" uri="{C3380CC4-5D6E-409C-BE32-E72D297353CC}">
              <c16:uniqueId val="{0000000C-7672-4E68-9509-04CBFF4F4F8C}"/>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C11-4E81-A95C-963E44CFAC5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C11-4E81-A95C-963E44CFAC5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C11-4E81-A95C-963E44CFAC5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C11-4E81-A95C-963E44CFAC5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C11-4E81-A95C-963E44CFAC5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C11-4E81-A95C-963E44CFAC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[2]Segments!$C$5:$C$10</c:f>
              <c:strCache>
                <c:ptCount val="6"/>
                <c:pt idx="0">
                  <c:v>EMEA(excuding Italy and UK)</c:v>
                </c:pt>
                <c:pt idx="1">
                  <c:v>Italy</c:v>
                </c:pt>
                <c:pt idx="2">
                  <c:v>Japan</c:v>
                </c:pt>
                <c:pt idx="3">
                  <c:v>Greater china region</c:v>
                </c:pt>
                <c:pt idx="4">
                  <c:v>United States</c:v>
                </c:pt>
                <c:pt idx="5">
                  <c:v>other</c:v>
                </c:pt>
              </c:strCache>
            </c:strRef>
          </c:cat>
          <c:val>
            <c:numRef>
              <c:f>[2]Segments!$D$5:$D$10</c:f>
              <c:numCache>
                <c:formatCode>General</c:formatCode>
                <c:ptCount val="6"/>
                <c:pt idx="0">
                  <c:v>257300</c:v>
                </c:pt>
                <c:pt idx="1">
                  <c:v>304700</c:v>
                </c:pt>
                <c:pt idx="2">
                  <c:v>91910</c:v>
                </c:pt>
                <c:pt idx="3">
                  <c:v>644000</c:v>
                </c:pt>
                <c:pt idx="4">
                  <c:v>415800</c:v>
                </c:pt>
                <c:pt idx="5">
                  <c:v>346290</c:v>
                </c:pt>
              </c:numCache>
            </c:numRef>
          </c:val>
          <c:extLst>
            <c:ext xmlns:c16="http://schemas.microsoft.com/office/drawing/2014/chart" uri="{C3380CC4-5D6E-409C-BE32-E72D297353CC}">
              <c16:uniqueId val="{0000000C-EC11-4E81-A95C-963E44CFAC5B}"/>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9.8359264578280786E-2"/>
          <c:y val="0.63131687654418922"/>
          <c:w val="0.80328147084343848"/>
          <c:h val="0.339480773011509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Peers!$C$8</c:f>
              <c:strCache>
                <c:ptCount val="1"/>
                <c:pt idx="0">
                  <c:v>Ermenegildo Zegna NV (XNYS:ZGN)</c:v>
                </c:pt>
              </c:strCache>
            </c:strRef>
          </c:tx>
          <c:spPr>
            <a:ln w="25400" cap="rnd">
              <a:noFill/>
              <a:round/>
            </a:ln>
            <a:effectLst/>
          </c:spPr>
          <c:marker>
            <c:symbol val="circle"/>
            <c:size val="5"/>
            <c:spPr>
              <a:solidFill>
                <a:schemeClr val="accent1"/>
              </a:solidFill>
              <a:ln w="9525">
                <a:solidFill>
                  <a:schemeClr val="accent1"/>
                </a:solidFill>
              </a:ln>
              <a:effectLst/>
            </c:spPr>
          </c:marker>
          <c:xVal>
            <c:numRef>
              <c:f>Peers!$C$21</c:f>
              <c:numCache>
                <c:formatCode>0.0</c:formatCode>
                <c:ptCount val="1"/>
                <c:pt idx="0">
                  <c:v>0.50330293159609119</c:v>
                </c:pt>
              </c:numCache>
            </c:numRef>
          </c:xVal>
          <c:yVal>
            <c:numRef>
              <c:f>Peers!$C$37</c:f>
              <c:numCache>
                <c:formatCode>0.0</c:formatCode>
                <c:ptCount val="1"/>
                <c:pt idx="0">
                  <c:v>2.065911358957655</c:v>
                </c:pt>
              </c:numCache>
            </c:numRef>
          </c:yVal>
          <c:smooth val="0"/>
          <c:extLst>
            <c:ext xmlns:c16="http://schemas.microsoft.com/office/drawing/2014/chart" uri="{C3380CC4-5D6E-409C-BE32-E72D297353CC}">
              <c16:uniqueId val="{00000000-69D6-448D-B306-A4318B41D20F}"/>
            </c:ext>
          </c:extLst>
        </c:ser>
        <c:ser>
          <c:idx val="1"/>
          <c:order val="1"/>
          <c:tx>
            <c:strRef>
              <c:f>Peers!$D$8</c:f>
              <c:strCache>
                <c:ptCount val="1"/>
                <c:pt idx="0">
                  <c:v>Brunello Cucinelli SpA (XMIL:BC)</c:v>
                </c:pt>
              </c:strCache>
            </c:strRef>
          </c:tx>
          <c:spPr>
            <a:ln w="25400" cap="rnd">
              <a:noFill/>
              <a:round/>
            </a:ln>
            <a:effectLst/>
          </c:spPr>
          <c:marker>
            <c:symbol val="circle"/>
            <c:size val="5"/>
            <c:spPr>
              <a:solidFill>
                <a:schemeClr val="accent2"/>
              </a:solidFill>
              <a:ln w="9525">
                <a:solidFill>
                  <a:schemeClr val="accent2"/>
                </a:solidFill>
              </a:ln>
              <a:effectLst/>
            </c:spPr>
          </c:marker>
          <c:xVal>
            <c:numRef>
              <c:f>Peers!$D$21</c:f>
              <c:numCache>
                <c:formatCode>0.00</c:formatCode>
                <c:ptCount val="1"/>
                <c:pt idx="0">
                  <c:v>2.1214218500479691</c:v>
                </c:pt>
              </c:numCache>
            </c:numRef>
          </c:xVal>
          <c:yVal>
            <c:numRef>
              <c:f>Peers!$D$37</c:f>
              <c:numCache>
                <c:formatCode>0.0</c:formatCode>
                <c:ptCount val="1"/>
                <c:pt idx="0">
                  <c:v>21.631000585438738</c:v>
                </c:pt>
              </c:numCache>
            </c:numRef>
          </c:yVal>
          <c:smooth val="0"/>
          <c:extLst>
            <c:ext xmlns:c16="http://schemas.microsoft.com/office/drawing/2014/chart" uri="{C3380CC4-5D6E-409C-BE32-E72D297353CC}">
              <c16:uniqueId val="{00000001-69D6-448D-B306-A4318B41D20F}"/>
            </c:ext>
          </c:extLst>
        </c:ser>
        <c:ser>
          <c:idx val="2"/>
          <c:order val="2"/>
          <c:tx>
            <c:strRef>
              <c:f>Peers!$E$8</c:f>
              <c:strCache>
                <c:ptCount val="1"/>
                <c:pt idx="0">
                  <c:v>Moncler SpA (XMIL:MONC)</c:v>
                </c:pt>
              </c:strCache>
            </c:strRef>
          </c:tx>
          <c:spPr>
            <a:ln w="25400" cap="rnd">
              <a:noFill/>
              <a:round/>
            </a:ln>
            <a:effectLst/>
          </c:spPr>
          <c:marker>
            <c:symbol val="circle"/>
            <c:size val="5"/>
            <c:spPr>
              <a:solidFill>
                <a:schemeClr val="accent3"/>
              </a:solidFill>
              <a:ln w="9525">
                <a:solidFill>
                  <a:schemeClr val="accent3"/>
                </a:solidFill>
              </a:ln>
              <a:effectLst/>
            </c:spPr>
          </c:marker>
          <c:xVal>
            <c:strRef>
              <c:f>Peers!$E$21</c:f>
              <c:strCache>
                <c:ptCount val="1"/>
                <c:pt idx="0">
                  <c:v>-</c:v>
                </c:pt>
              </c:strCache>
            </c:strRef>
          </c:xVal>
          <c:yVal>
            <c:numRef>
              <c:f>Peers!$E$37</c:f>
              <c:numCache>
                <c:formatCode>0.0</c:formatCode>
                <c:ptCount val="1"/>
                <c:pt idx="0">
                  <c:v>13.328197613761837</c:v>
                </c:pt>
              </c:numCache>
            </c:numRef>
          </c:yVal>
          <c:smooth val="0"/>
          <c:extLst>
            <c:ext xmlns:c16="http://schemas.microsoft.com/office/drawing/2014/chart" uri="{C3380CC4-5D6E-409C-BE32-E72D297353CC}">
              <c16:uniqueId val="{00000002-69D6-448D-B306-A4318B41D20F}"/>
            </c:ext>
          </c:extLst>
        </c:ser>
        <c:ser>
          <c:idx val="3"/>
          <c:order val="3"/>
          <c:tx>
            <c:strRef>
              <c:f>Peers!$F$8</c:f>
              <c:strCache>
                <c:ptCount val="1"/>
                <c:pt idx="0">
                  <c:v>Tod's SpA (OTCM:TODGF)</c:v>
                </c:pt>
              </c:strCache>
            </c:strRef>
          </c:tx>
          <c:spPr>
            <a:ln w="25400" cap="rnd">
              <a:noFill/>
              <a:round/>
            </a:ln>
            <a:effectLst/>
          </c:spPr>
          <c:marker>
            <c:symbol val="circle"/>
            <c:size val="5"/>
            <c:spPr>
              <a:solidFill>
                <a:schemeClr val="accent4"/>
              </a:solidFill>
              <a:ln w="9525">
                <a:solidFill>
                  <a:schemeClr val="accent4"/>
                </a:solidFill>
              </a:ln>
              <a:effectLst/>
            </c:spPr>
          </c:marker>
          <c:xVal>
            <c:numRef>
              <c:f>Peers!$F$21</c:f>
              <c:numCache>
                <c:formatCode>0.00</c:formatCode>
                <c:ptCount val="1"/>
                <c:pt idx="0">
                  <c:v>4.4558659029322891</c:v>
                </c:pt>
              </c:numCache>
            </c:numRef>
          </c:xVal>
          <c:yVal>
            <c:numRef>
              <c:f>Peers!$F$37</c:f>
              <c:numCache>
                <c:formatCode>0.0</c:formatCode>
                <c:ptCount val="1"/>
                <c:pt idx="0">
                  <c:v>12.721364179679373</c:v>
                </c:pt>
              </c:numCache>
            </c:numRef>
          </c:yVal>
          <c:smooth val="0"/>
          <c:extLst>
            <c:ext xmlns:c16="http://schemas.microsoft.com/office/drawing/2014/chart" uri="{C3380CC4-5D6E-409C-BE32-E72D297353CC}">
              <c16:uniqueId val="{00000003-69D6-448D-B306-A4318B41D20F}"/>
            </c:ext>
          </c:extLst>
        </c:ser>
        <c:ser>
          <c:idx val="4"/>
          <c:order val="4"/>
          <c:tx>
            <c:strRef>
              <c:f>Peers!$G$8</c:f>
              <c:strCache>
                <c:ptCount val="1"/>
                <c:pt idx="0">
                  <c:v>Prada SpA (OTCM:PRDSF)</c:v>
                </c:pt>
              </c:strCache>
            </c:strRef>
          </c:tx>
          <c:spPr>
            <a:ln w="25400" cap="rnd">
              <a:noFill/>
              <a:round/>
            </a:ln>
            <a:effectLst/>
          </c:spPr>
          <c:marker>
            <c:symbol val="circle"/>
            <c:size val="5"/>
            <c:spPr>
              <a:solidFill>
                <a:schemeClr val="accent5"/>
              </a:solidFill>
              <a:ln w="9525">
                <a:solidFill>
                  <a:schemeClr val="accent5"/>
                </a:solidFill>
              </a:ln>
              <a:effectLst/>
            </c:spPr>
          </c:marker>
          <c:xVal>
            <c:numRef>
              <c:f>Peers!$G$21</c:f>
              <c:numCache>
                <c:formatCode>0.00</c:formatCode>
                <c:ptCount val="1"/>
                <c:pt idx="0">
                  <c:v>1.7049335983594858</c:v>
                </c:pt>
              </c:numCache>
            </c:numRef>
          </c:xVal>
          <c:yVal>
            <c:numRef>
              <c:f>Peers!$G$37</c:f>
              <c:numCache>
                <c:formatCode>0.0</c:formatCode>
                <c:ptCount val="1"/>
                <c:pt idx="0">
                  <c:v>90.78989656132245</c:v>
                </c:pt>
              </c:numCache>
            </c:numRef>
          </c:yVal>
          <c:smooth val="0"/>
          <c:extLst>
            <c:ext xmlns:c16="http://schemas.microsoft.com/office/drawing/2014/chart" uri="{C3380CC4-5D6E-409C-BE32-E72D297353CC}">
              <c16:uniqueId val="{00000004-69D6-448D-B306-A4318B41D20F}"/>
            </c:ext>
          </c:extLst>
        </c:ser>
        <c:ser>
          <c:idx val="5"/>
          <c:order val="5"/>
          <c:tx>
            <c:strRef>
              <c:f>Peers!$H$8</c:f>
              <c:strCache>
                <c:ptCount val="1"/>
                <c:pt idx="0">
                  <c:v>Hugo Boss AG (XFRA:BOSS)</c:v>
                </c:pt>
              </c:strCache>
            </c:strRef>
          </c:tx>
          <c:spPr>
            <a:ln w="25400" cap="rnd">
              <a:noFill/>
              <a:round/>
            </a:ln>
            <a:effectLst/>
          </c:spPr>
          <c:marker>
            <c:symbol val="circle"/>
            <c:size val="5"/>
            <c:spPr>
              <a:solidFill>
                <a:schemeClr val="accent6"/>
              </a:solidFill>
              <a:ln w="9525">
                <a:solidFill>
                  <a:schemeClr val="accent6"/>
                </a:solidFill>
              </a:ln>
              <a:effectLst/>
            </c:spPr>
          </c:marker>
          <c:xVal>
            <c:numRef>
              <c:f>Peers!$H$21</c:f>
              <c:numCache>
                <c:formatCode>0.00</c:formatCode>
                <c:ptCount val="1"/>
                <c:pt idx="0">
                  <c:v>1.5318456346388594</c:v>
                </c:pt>
              </c:numCache>
            </c:numRef>
          </c:xVal>
          <c:yVal>
            <c:numRef>
              <c:f>Peers!$H$37</c:f>
              <c:numCache>
                <c:formatCode>0.0</c:formatCode>
                <c:ptCount val="1"/>
                <c:pt idx="0">
                  <c:v>5.0546426817936281</c:v>
                </c:pt>
              </c:numCache>
            </c:numRef>
          </c:yVal>
          <c:smooth val="0"/>
          <c:extLst>
            <c:ext xmlns:c16="http://schemas.microsoft.com/office/drawing/2014/chart" uri="{C3380CC4-5D6E-409C-BE32-E72D297353CC}">
              <c16:uniqueId val="{00000005-69D6-448D-B306-A4318B41D20F}"/>
            </c:ext>
          </c:extLst>
        </c:ser>
        <c:dLbls>
          <c:showLegendKey val="0"/>
          <c:showVal val="0"/>
          <c:showCatName val="0"/>
          <c:showSerName val="0"/>
          <c:showPercent val="0"/>
          <c:showBubbleSize val="0"/>
        </c:dLbls>
        <c:axId val="1571673951"/>
        <c:axId val="1289766175"/>
      </c:scatterChart>
      <c:valAx>
        <c:axId val="1571673951"/>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sz="1100" b="0" i="0" baseline="0">
                    <a:effectLst/>
                  </a:rPr>
                  <a:t> </a:t>
                </a:r>
                <a:r>
                  <a:rPr lang="en-US" sz="1200" b="0" i="0" baseline="0">
                    <a:effectLst/>
                  </a:rPr>
                  <a:t>NET DEBT /EBITDA</a:t>
                </a:r>
                <a:endParaRPr lang="en-US" sz="1200">
                  <a:effectLst/>
                </a:endParaRPr>
              </a:p>
            </c:rich>
          </c:tx>
          <c:layout>
            <c:manualLayout>
              <c:xMode val="edge"/>
              <c:yMode val="edge"/>
              <c:x val="0.27899032096554843"/>
              <c:y val="0.87705040037424031"/>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766175"/>
        <c:crosses val="autoZero"/>
        <c:crossBetween val="midCat"/>
      </c:valAx>
      <c:valAx>
        <c:axId val="12897661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0" i="0" baseline="0">
                    <a:effectLst/>
                  </a:rPr>
                  <a:t>EV/ EBITDA</a:t>
                </a:r>
                <a:endParaRPr lang="en-US" sz="1200">
                  <a:effectLst/>
                </a:endParaRPr>
              </a:p>
            </c:rich>
          </c:tx>
          <c:layout>
            <c:manualLayout>
              <c:xMode val="edge"/>
              <c:yMode val="edge"/>
              <c:x val="3.903843505466108E-4"/>
              <c:y val="0.32867517282330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673951"/>
        <c:crosses val="autoZero"/>
        <c:crossBetween val="midCat"/>
      </c:valAx>
      <c:spPr>
        <a:noFill/>
        <a:ln>
          <a:noFill/>
        </a:ln>
        <a:effectLst/>
      </c:spPr>
    </c:plotArea>
    <c:legend>
      <c:legendPos val="r"/>
      <c:layout>
        <c:manualLayout>
          <c:xMode val="edge"/>
          <c:yMode val="edge"/>
          <c:x val="0.79514918527433731"/>
          <c:y val="0.20740538534966782"/>
          <c:w val="0.20485076537264754"/>
          <c:h val="0.441009790888999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802946717757032"/>
          <c:y val="2.4865326922638195E-2"/>
          <c:w val="0.49083244745561727"/>
          <c:h val="0.82049946672598273"/>
        </c:manualLayout>
      </c:layout>
      <c:scatterChart>
        <c:scatterStyle val="lineMarker"/>
        <c:varyColors val="0"/>
        <c:ser>
          <c:idx val="0"/>
          <c:order val="0"/>
          <c:tx>
            <c:strRef>
              <c:f>Peers!$C$8</c:f>
              <c:strCache>
                <c:ptCount val="1"/>
                <c:pt idx="0">
                  <c:v>Ermenegildo Zegna NV (XNYS:ZGN)</c:v>
                </c:pt>
              </c:strCache>
            </c:strRef>
          </c:tx>
          <c:spPr>
            <a:ln w="25400" cap="rnd">
              <a:noFill/>
              <a:round/>
            </a:ln>
            <a:effectLst/>
          </c:spPr>
          <c:marker>
            <c:symbol val="circle"/>
            <c:size val="5"/>
            <c:spPr>
              <a:solidFill>
                <a:schemeClr val="accent1"/>
              </a:solidFill>
              <a:ln w="9525">
                <a:solidFill>
                  <a:schemeClr val="accent1"/>
                </a:solidFill>
              </a:ln>
              <a:effectLst/>
            </c:spPr>
          </c:marker>
          <c:xVal>
            <c:numRef>
              <c:f>Peers!$C$44</c:f>
              <c:numCache>
                <c:formatCode>0%</c:formatCode>
                <c:ptCount val="1"/>
                <c:pt idx="0">
                  <c:v>-0.27177033492822955</c:v>
                </c:pt>
              </c:numCache>
            </c:numRef>
          </c:xVal>
          <c:yVal>
            <c:numRef>
              <c:f>Peers!$C$49</c:f>
              <c:numCache>
                <c:formatCode>0%</c:formatCode>
                <c:ptCount val="1"/>
                <c:pt idx="0">
                  <c:v>2.6790123456790123</c:v>
                </c:pt>
              </c:numCache>
            </c:numRef>
          </c:yVal>
          <c:smooth val="0"/>
          <c:extLst>
            <c:ext xmlns:c16="http://schemas.microsoft.com/office/drawing/2014/chart" uri="{C3380CC4-5D6E-409C-BE32-E72D297353CC}">
              <c16:uniqueId val="{00000000-77D7-4101-9267-7A05BE9DB58B}"/>
            </c:ext>
          </c:extLst>
        </c:ser>
        <c:ser>
          <c:idx val="1"/>
          <c:order val="1"/>
          <c:tx>
            <c:strRef>
              <c:f>Peers!$D$8</c:f>
              <c:strCache>
                <c:ptCount val="1"/>
                <c:pt idx="0">
                  <c:v>Brunello Cucinelli SpA (XMIL:BC)</c:v>
                </c:pt>
              </c:strCache>
            </c:strRef>
          </c:tx>
          <c:spPr>
            <a:ln w="25400" cap="rnd">
              <a:noFill/>
              <a:round/>
            </a:ln>
            <a:effectLst/>
          </c:spPr>
          <c:marker>
            <c:symbol val="circle"/>
            <c:size val="5"/>
            <c:spPr>
              <a:solidFill>
                <a:schemeClr val="accent2"/>
              </a:solidFill>
              <a:ln w="9525">
                <a:solidFill>
                  <a:schemeClr val="accent2"/>
                </a:solidFill>
              </a:ln>
              <a:effectLst/>
            </c:spPr>
          </c:marker>
          <c:xVal>
            <c:numRef>
              <c:f>Peers!$D$44</c:f>
              <c:numCache>
                <c:formatCode>0%</c:formatCode>
                <c:ptCount val="1"/>
                <c:pt idx="0">
                  <c:v>0.62388591800356497</c:v>
                </c:pt>
              </c:numCache>
            </c:numRef>
          </c:xVal>
          <c:yVal>
            <c:numRef>
              <c:f>Peers!$D$49</c:f>
              <c:numCache>
                <c:formatCode>0.00%</c:formatCode>
                <c:ptCount val="1"/>
                <c:pt idx="0">
                  <c:v>4.1807526164332671</c:v>
                </c:pt>
              </c:numCache>
            </c:numRef>
          </c:yVal>
          <c:smooth val="0"/>
          <c:extLst>
            <c:ext xmlns:c16="http://schemas.microsoft.com/office/drawing/2014/chart" uri="{C3380CC4-5D6E-409C-BE32-E72D297353CC}">
              <c16:uniqueId val="{00000001-77D7-4101-9267-7A05BE9DB58B}"/>
            </c:ext>
          </c:extLst>
        </c:ser>
        <c:ser>
          <c:idx val="2"/>
          <c:order val="2"/>
          <c:tx>
            <c:strRef>
              <c:f>Peers!$E$8</c:f>
              <c:strCache>
                <c:ptCount val="1"/>
                <c:pt idx="0">
                  <c:v>Moncler SpA (XMIL:MONC)</c:v>
                </c:pt>
              </c:strCache>
            </c:strRef>
          </c:tx>
          <c:spPr>
            <a:ln w="25400" cap="rnd">
              <a:noFill/>
              <a:round/>
            </a:ln>
            <a:effectLst/>
          </c:spPr>
          <c:marker>
            <c:symbol val="circle"/>
            <c:size val="5"/>
            <c:spPr>
              <a:solidFill>
                <a:schemeClr val="accent3"/>
              </a:solidFill>
              <a:ln w="9525">
                <a:solidFill>
                  <a:schemeClr val="accent3"/>
                </a:solidFill>
              </a:ln>
              <a:effectLst/>
            </c:spPr>
          </c:marker>
          <c:xVal>
            <c:numRef>
              <c:f>Peers!$E$44</c:f>
              <c:numCache>
                <c:formatCode>0%</c:formatCode>
                <c:ptCount val="1"/>
                <c:pt idx="0">
                  <c:v>-0.21954236239950542</c:v>
                </c:pt>
              </c:numCache>
            </c:numRef>
          </c:xVal>
          <c:yVal>
            <c:numRef>
              <c:f>Peers!$E$49</c:f>
              <c:numCache>
                <c:formatCode>0.00%</c:formatCode>
                <c:ptCount val="1"/>
                <c:pt idx="0">
                  <c:v>2.000212038461199</c:v>
                </c:pt>
              </c:numCache>
            </c:numRef>
          </c:yVal>
          <c:smooth val="0"/>
          <c:extLst>
            <c:ext xmlns:c16="http://schemas.microsoft.com/office/drawing/2014/chart" uri="{C3380CC4-5D6E-409C-BE32-E72D297353CC}">
              <c16:uniqueId val="{00000002-77D7-4101-9267-7A05BE9DB58B}"/>
            </c:ext>
          </c:extLst>
        </c:ser>
        <c:ser>
          <c:idx val="3"/>
          <c:order val="3"/>
          <c:tx>
            <c:strRef>
              <c:f>Peers!$F$8</c:f>
              <c:strCache>
                <c:ptCount val="1"/>
                <c:pt idx="0">
                  <c:v>Tod's SpA (OTCM:TODGF)</c:v>
                </c:pt>
              </c:strCache>
            </c:strRef>
          </c:tx>
          <c:spPr>
            <a:ln w="25400" cap="rnd">
              <a:noFill/>
              <a:round/>
            </a:ln>
            <a:effectLst/>
          </c:spPr>
          <c:marker>
            <c:symbol val="circle"/>
            <c:size val="5"/>
            <c:spPr>
              <a:solidFill>
                <a:schemeClr val="accent4"/>
              </a:solidFill>
              <a:ln w="9525">
                <a:solidFill>
                  <a:schemeClr val="accent4"/>
                </a:solidFill>
              </a:ln>
              <a:effectLst/>
            </c:spPr>
          </c:marker>
          <c:xVal>
            <c:numRef>
              <c:f>Peers!$F$44</c:f>
              <c:numCache>
                <c:formatCode>0%</c:formatCode>
                <c:ptCount val="1"/>
                <c:pt idx="0">
                  <c:v>-0.37758307158207971</c:v>
                </c:pt>
              </c:numCache>
            </c:numRef>
          </c:xVal>
          <c:yVal>
            <c:numRef>
              <c:f>Peers!$F$49</c:f>
              <c:numCache>
                <c:formatCode>0.00%</c:formatCode>
                <c:ptCount val="1"/>
                <c:pt idx="0">
                  <c:v>4.0065747699961616</c:v>
                </c:pt>
              </c:numCache>
            </c:numRef>
          </c:yVal>
          <c:smooth val="0"/>
          <c:extLst>
            <c:ext xmlns:c16="http://schemas.microsoft.com/office/drawing/2014/chart" uri="{C3380CC4-5D6E-409C-BE32-E72D297353CC}">
              <c16:uniqueId val="{00000003-77D7-4101-9267-7A05BE9DB58B}"/>
            </c:ext>
          </c:extLst>
        </c:ser>
        <c:ser>
          <c:idx val="5"/>
          <c:order val="4"/>
          <c:tx>
            <c:strRef>
              <c:f>Peers!$G$8</c:f>
              <c:strCache>
                <c:ptCount val="1"/>
                <c:pt idx="0">
                  <c:v>Prada SpA (OTCM:PRDSF)</c:v>
                </c:pt>
              </c:strCache>
            </c:strRef>
          </c:tx>
          <c:spPr>
            <a:ln w="25400" cap="rnd">
              <a:noFill/>
              <a:round/>
            </a:ln>
            <a:effectLst/>
          </c:spPr>
          <c:marker>
            <c:symbol val="circle"/>
            <c:size val="5"/>
            <c:spPr>
              <a:solidFill>
                <a:schemeClr val="accent6"/>
              </a:solidFill>
              <a:ln w="9525">
                <a:solidFill>
                  <a:schemeClr val="accent6"/>
                </a:solidFill>
              </a:ln>
              <a:effectLst/>
            </c:spPr>
          </c:marker>
          <c:xVal>
            <c:numRef>
              <c:f>Peers!$G$44</c:f>
              <c:numCache>
                <c:formatCode>0%</c:formatCode>
                <c:ptCount val="1"/>
                <c:pt idx="0">
                  <c:v>0.13750954927425529</c:v>
                </c:pt>
              </c:numCache>
            </c:numRef>
          </c:xVal>
          <c:yVal>
            <c:numRef>
              <c:f>Peers!$G$49</c:f>
              <c:numCache>
                <c:formatCode>0.00%</c:formatCode>
                <c:ptCount val="1"/>
                <c:pt idx="0">
                  <c:v>6.3757464085575748</c:v>
                </c:pt>
              </c:numCache>
            </c:numRef>
          </c:yVal>
          <c:smooth val="0"/>
          <c:extLst>
            <c:ext xmlns:c16="http://schemas.microsoft.com/office/drawing/2014/chart" uri="{C3380CC4-5D6E-409C-BE32-E72D297353CC}">
              <c16:uniqueId val="{00000004-77D7-4101-9267-7A05BE9DB58B}"/>
            </c:ext>
          </c:extLst>
        </c:ser>
        <c:ser>
          <c:idx val="6"/>
          <c:order val="5"/>
          <c:tx>
            <c:strRef>
              <c:f>Peers!$H$8</c:f>
              <c:strCache>
                <c:ptCount val="1"/>
                <c:pt idx="0">
                  <c:v>Hugo Boss AG (XFRA:BOSS)</c:v>
                </c:pt>
              </c:strCache>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xVal>
            <c:numRef>
              <c:f>Peers!$H$44</c:f>
              <c:numCache>
                <c:formatCode>0%</c:formatCode>
                <c:ptCount val="1"/>
                <c:pt idx="0">
                  <c:v>-0.17561349693251527</c:v>
                </c:pt>
              </c:numCache>
            </c:numRef>
          </c:xVal>
          <c:yVal>
            <c:numRef>
              <c:f>Peers!$H$49</c:f>
              <c:numCache>
                <c:formatCode>0.00%</c:formatCode>
                <c:ptCount val="1"/>
                <c:pt idx="0">
                  <c:v>0.48264742124514831</c:v>
                </c:pt>
              </c:numCache>
            </c:numRef>
          </c:yVal>
          <c:smooth val="0"/>
          <c:extLst>
            <c:ext xmlns:c16="http://schemas.microsoft.com/office/drawing/2014/chart" uri="{C3380CC4-5D6E-409C-BE32-E72D297353CC}">
              <c16:uniqueId val="{00000005-77D7-4101-9267-7A05BE9DB58B}"/>
            </c:ext>
          </c:extLst>
        </c:ser>
        <c:dLbls>
          <c:showLegendKey val="0"/>
          <c:showVal val="0"/>
          <c:showCatName val="0"/>
          <c:showSerName val="0"/>
          <c:showPercent val="0"/>
          <c:showBubbleSize val="0"/>
        </c:dLbls>
        <c:axId val="581212960"/>
        <c:axId val="581217120"/>
      </c:scatterChart>
      <c:valAx>
        <c:axId val="58121296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0" i="0" u="none" strike="noStrike" baseline="0">
                    <a:effectLst/>
                  </a:rPr>
                  <a:t>3 YEAR STOCK PERFORMANCE</a:t>
                </a:r>
                <a:endParaRPr lang="en-US" sz="1200"/>
              </a:p>
            </c:rich>
          </c:tx>
          <c:layout>
            <c:manualLayout>
              <c:xMode val="edge"/>
              <c:yMode val="edge"/>
              <c:x val="0.24749537255061102"/>
              <c:y val="0.9208239807152025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217120"/>
        <c:crosses val="autoZero"/>
        <c:crossBetween val="midCat"/>
      </c:valAx>
      <c:valAx>
        <c:axId val="5812171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0" i="0" u="none" strike="noStrike" baseline="0">
                    <a:effectLst/>
                  </a:rPr>
                  <a:t>OPERATING CASH FLOW 3Y PERFORMANCE </a:t>
                </a:r>
                <a:endParaRPr lang="en-US" sz="1200"/>
              </a:p>
            </c:rich>
          </c:tx>
          <c:layout>
            <c:manualLayout>
              <c:xMode val="edge"/>
              <c:yMode val="edge"/>
              <c:x val="3.9522524081838629E-2"/>
              <c:y val="0.1858295277689095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212960"/>
        <c:crosses val="autoZero"/>
        <c:crossBetween val="midCat"/>
      </c:valAx>
      <c:spPr>
        <a:noFill/>
        <a:ln>
          <a:solidFill>
            <a:schemeClr val="bg1"/>
          </a:solidFill>
        </a:ln>
        <a:effectLst/>
      </c:spPr>
    </c:plotArea>
    <c:legend>
      <c:legendPos val="r"/>
      <c:layout>
        <c:manualLayout>
          <c:xMode val="edge"/>
          <c:yMode val="edge"/>
          <c:x val="0.66338608609289218"/>
          <c:y val="0.17241199883672528"/>
          <c:w val="0.17018842544974519"/>
          <c:h val="0.432002951054622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a:t>Total GHG Scope 1 Emissions (Tonnes)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ESG!$N$55</c:f>
              <c:strCache>
                <c:ptCount val="1"/>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ESG!$M$56:$M$64</c:f>
              <c:numCache>
                <c:formatCode>General</c:formatCode>
                <c:ptCount val="9"/>
              </c:numCache>
            </c:numRef>
          </c:cat>
          <c:val>
            <c:numRef>
              <c:f>ESG!$N$56:$N$64</c:f>
              <c:numCache>
                <c:formatCode>0.00</c:formatCode>
                <c:ptCount val="9"/>
              </c:numCache>
            </c:numRef>
          </c:val>
          <c:smooth val="0"/>
          <c:extLst>
            <c:ext xmlns:c16="http://schemas.microsoft.com/office/drawing/2014/chart" uri="{C3380CC4-5D6E-409C-BE32-E72D297353CC}">
              <c16:uniqueId val="{00000000-D00D-4823-9007-DC439E2C23DA}"/>
            </c:ext>
          </c:extLst>
        </c:ser>
        <c:ser>
          <c:idx val="1"/>
          <c:order val="1"/>
          <c:tx>
            <c:strRef>
              <c:f>ESG!$O$55</c:f>
              <c:strCache>
                <c:ptCount val="1"/>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ESG!$M$56:$M$64</c:f>
              <c:numCache>
                <c:formatCode>General</c:formatCode>
                <c:ptCount val="9"/>
              </c:numCache>
            </c:numRef>
          </c:cat>
          <c:val>
            <c:numRef>
              <c:f>ESG!$O$56:$O$64</c:f>
              <c:numCache>
                <c:formatCode>0.00</c:formatCode>
                <c:ptCount val="9"/>
              </c:numCache>
            </c:numRef>
          </c:val>
          <c:smooth val="0"/>
          <c:extLst>
            <c:ext xmlns:c16="http://schemas.microsoft.com/office/drawing/2014/chart" uri="{C3380CC4-5D6E-409C-BE32-E72D297353CC}">
              <c16:uniqueId val="{00000001-D00D-4823-9007-DC439E2C23DA}"/>
            </c:ext>
          </c:extLst>
        </c:ser>
        <c:ser>
          <c:idx val="3"/>
          <c:order val="3"/>
          <c:tx>
            <c:strRef>
              <c:f>ESG!$Q$55</c:f>
              <c:strCache>
                <c:ptCount val="1"/>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ESG!$M$56:$M$64</c:f>
              <c:numCache>
                <c:formatCode>General</c:formatCode>
                <c:ptCount val="9"/>
              </c:numCache>
            </c:numRef>
          </c:cat>
          <c:val>
            <c:numRef>
              <c:f>ESG!$Q$56:$Q$64</c:f>
              <c:numCache>
                <c:formatCode>0.00</c:formatCode>
                <c:ptCount val="9"/>
              </c:numCache>
            </c:numRef>
          </c:val>
          <c:smooth val="0"/>
          <c:extLst>
            <c:ext xmlns:c16="http://schemas.microsoft.com/office/drawing/2014/chart" uri="{C3380CC4-5D6E-409C-BE32-E72D297353CC}">
              <c16:uniqueId val="{00000003-D00D-4823-9007-DC439E2C23DA}"/>
            </c:ext>
          </c:extLst>
        </c:ser>
        <c:ser>
          <c:idx val="4"/>
          <c:order val="4"/>
          <c:tx>
            <c:strRef>
              <c:f>ESG!$R$55</c:f>
              <c:strCache>
                <c:ptCount val="1"/>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ESG!$M$56:$M$64</c:f>
              <c:numCache>
                <c:formatCode>General</c:formatCode>
                <c:ptCount val="9"/>
              </c:numCache>
            </c:numRef>
          </c:cat>
          <c:val>
            <c:numRef>
              <c:f>ESG!$R$56:$R$64</c:f>
              <c:numCache>
                <c:formatCode>0.00</c:formatCode>
                <c:ptCount val="9"/>
              </c:numCache>
            </c:numRef>
          </c:val>
          <c:smooth val="0"/>
          <c:extLst>
            <c:ext xmlns:c16="http://schemas.microsoft.com/office/drawing/2014/chart" uri="{C3380CC4-5D6E-409C-BE32-E72D297353CC}">
              <c16:uniqueId val="{00000004-D00D-4823-9007-DC439E2C23DA}"/>
            </c:ext>
          </c:extLst>
        </c:ser>
        <c:ser>
          <c:idx val="5"/>
          <c:order val="5"/>
          <c:tx>
            <c:strRef>
              <c:f>ESG!$S$55</c:f>
              <c:strCache>
                <c:ptCount val="1"/>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ESG!$M$56:$M$64</c:f>
              <c:numCache>
                <c:formatCode>General</c:formatCode>
                <c:ptCount val="9"/>
              </c:numCache>
            </c:numRef>
          </c:cat>
          <c:val>
            <c:numRef>
              <c:f>ESG!$S$56:$S$64</c:f>
              <c:numCache>
                <c:formatCode>0.00</c:formatCode>
                <c:ptCount val="9"/>
              </c:numCache>
            </c:numRef>
          </c:val>
          <c:smooth val="0"/>
          <c:extLst>
            <c:ext xmlns:c16="http://schemas.microsoft.com/office/drawing/2014/chart" uri="{C3380CC4-5D6E-409C-BE32-E72D297353CC}">
              <c16:uniqueId val="{00000005-D00D-4823-9007-DC439E2C23DA}"/>
            </c:ext>
          </c:extLst>
        </c:ser>
        <c:dLbls>
          <c:showLegendKey val="0"/>
          <c:showVal val="0"/>
          <c:showCatName val="0"/>
          <c:showSerName val="0"/>
          <c:showPercent val="0"/>
          <c:showBubbleSize val="0"/>
        </c:dLbls>
        <c:marker val="1"/>
        <c:smooth val="0"/>
        <c:axId val="73385855"/>
        <c:axId val="73386335"/>
        <c:extLst>
          <c:ext xmlns:c15="http://schemas.microsoft.com/office/drawing/2012/chart" uri="{02D57815-91ED-43cb-92C2-25804820EDAC}">
            <c15:filteredLineSeries>
              <c15:ser>
                <c:idx val="2"/>
                <c:order val="2"/>
                <c:tx>
                  <c:strRef>
                    <c:extLst>
                      <c:ext uri="{02D57815-91ED-43cb-92C2-25804820EDAC}">
                        <c15:formulaRef>
                          <c15:sqref>ESG!$P$55</c15:sqref>
                        </c15:formulaRef>
                      </c:ext>
                    </c:extLst>
                    <c:strCache>
                      <c:ptCount val="1"/>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extLst>
                      <c:ext uri="{02D57815-91ED-43cb-92C2-25804820EDAC}">
                        <c15:formulaRef>
                          <c15:sqref>ESG!$M$56:$M$64</c15:sqref>
                        </c15:formulaRef>
                      </c:ext>
                    </c:extLst>
                    <c:numCache>
                      <c:formatCode>General</c:formatCode>
                      <c:ptCount val="9"/>
                    </c:numCache>
                  </c:numRef>
                </c:cat>
                <c:val>
                  <c:numRef>
                    <c:extLst>
                      <c:ext uri="{02D57815-91ED-43cb-92C2-25804820EDAC}">
                        <c15:formulaRef>
                          <c15:sqref>ESG!$P$56:$P$64</c15:sqref>
                        </c15:formulaRef>
                      </c:ext>
                    </c:extLst>
                    <c:numCache>
                      <c:formatCode>0.00</c:formatCode>
                      <c:ptCount val="9"/>
                    </c:numCache>
                  </c:numRef>
                </c:val>
                <c:smooth val="0"/>
                <c:extLst>
                  <c:ext xmlns:c16="http://schemas.microsoft.com/office/drawing/2014/chart" uri="{C3380CC4-5D6E-409C-BE32-E72D297353CC}">
                    <c16:uniqueId val="{00000002-D00D-4823-9007-DC439E2C23DA}"/>
                  </c:ext>
                </c:extLst>
              </c15:ser>
            </c15:filteredLineSeries>
          </c:ext>
        </c:extLst>
      </c:lineChart>
      <c:catAx>
        <c:axId val="73385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86335"/>
        <c:crosses val="autoZero"/>
        <c:auto val="1"/>
        <c:lblAlgn val="ctr"/>
        <c:lblOffset val="100"/>
        <c:noMultiLvlLbl val="0"/>
      </c:catAx>
      <c:valAx>
        <c:axId val="733863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858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a:t>Total Water Consumption (Cubic Meters)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ESG!$N$67</c:f>
              <c:strCache>
                <c:ptCount val="1"/>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ESG!$M$68:$M$76</c:f>
              <c:numCache>
                <c:formatCode>General</c:formatCode>
                <c:ptCount val="9"/>
              </c:numCache>
            </c:numRef>
          </c:cat>
          <c:val>
            <c:numRef>
              <c:f>ESG!$N$68:$N$76</c:f>
              <c:numCache>
                <c:formatCode>0.00</c:formatCode>
                <c:ptCount val="9"/>
              </c:numCache>
            </c:numRef>
          </c:val>
          <c:smooth val="0"/>
          <c:extLst>
            <c:ext xmlns:c16="http://schemas.microsoft.com/office/drawing/2014/chart" uri="{C3380CC4-5D6E-409C-BE32-E72D297353CC}">
              <c16:uniqueId val="{00000000-5789-4750-89D4-9EEBF96780C0}"/>
            </c:ext>
          </c:extLst>
        </c:ser>
        <c:ser>
          <c:idx val="3"/>
          <c:order val="3"/>
          <c:tx>
            <c:strRef>
              <c:f>ESG!$Q$67</c:f>
              <c:strCache>
                <c:ptCount val="1"/>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ESG!$M$68:$M$76</c:f>
              <c:numCache>
                <c:formatCode>General</c:formatCode>
                <c:ptCount val="9"/>
              </c:numCache>
            </c:numRef>
          </c:cat>
          <c:val>
            <c:numRef>
              <c:f>ESG!$Q$68:$Q$76</c:f>
              <c:numCache>
                <c:formatCode>0.00</c:formatCode>
                <c:ptCount val="9"/>
              </c:numCache>
            </c:numRef>
          </c:val>
          <c:smooth val="0"/>
          <c:extLst>
            <c:ext xmlns:c16="http://schemas.microsoft.com/office/drawing/2014/chart" uri="{C3380CC4-5D6E-409C-BE32-E72D297353CC}">
              <c16:uniqueId val="{00000003-5789-4750-89D4-9EEBF96780C0}"/>
            </c:ext>
          </c:extLst>
        </c:ser>
        <c:ser>
          <c:idx val="4"/>
          <c:order val="4"/>
          <c:tx>
            <c:strRef>
              <c:f>ESG!$R$67</c:f>
              <c:strCache>
                <c:ptCount val="1"/>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ESG!$M$68:$M$76</c:f>
              <c:numCache>
                <c:formatCode>General</c:formatCode>
                <c:ptCount val="9"/>
              </c:numCache>
            </c:numRef>
          </c:cat>
          <c:val>
            <c:numRef>
              <c:f>ESG!$R$68:$R$76</c:f>
              <c:numCache>
                <c:formatCode>0.00</c:formatCode>
                <c:ptCount val="9"/>
              </c:numCache>
            </c:numRef>
          </c:val>
          <c:smooth val="0"/>
          <c:extLst>
            <c:ext xmlns:c16="http://schemas.microsoft.com/office/drawing/2014/chart" uri="{C3380CC4-5D6E-409C-BE32-E72D297353CC}">
              <c16:uniqueId val="{00000004-5789-4750-89D4-9EEBF96780C0}"/>
            </c:ext>
          </c:extLst>
        </c:ser>
        <c:dLbls>
          <c:showLegendKey val="0"/>
          <c:showVal val="0"/>
          <c:showCatName val="0"/>
          <c:showSerName val="0"/>
          <c:showPercent val="0"/>
          <c:showBubbleSize val="0"/>
        </c:dLbls>
        <c:marker val="1"/>
        <c:smooth val="0"/>
        <c:axId val="1301543471"/>
        <c:axId val="45963695"/>
        <c:extLst>
          <c:ext xmlns:c15="http://schemas.microsoft.com/office/drawing/2012/chart" uri="{02D57815-91ED-43cb-92C2-25804820EDAC}">
            <c15:filteredLineSeries>
              <c15:ser>
                <c:idx val="1"/>
                <c:order val="1"/>
                <c:tx>
                  <c:strRef>
                    <c:extLst>
                      <c:ext uri="{02D57815-91ED-43cb-92C2-25804820EDAC}">
                        <c15:formulaRef>
                          <c15:sqref>ESG!$O$67</c15:sqref>
                        </c15:formulaRef>
                      </c:ext>
                    </c:extLst>
                    <c:strCache>
                      <c:ptCount val="1"/>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extLst>
                      <c:ext uri="{02D57815-91ED-43cb-92C2-25804820EDAC}">
                        <c15:formulaRef>
                          <c15:sqref>ESG!$M$68:$M$76</c15:sqref>
                        </c15:formulaRef>
                      </c:ext>
                    </c:extLst>
                    <c:numCache>
                      <c:formatCode>General</c:formatCode>
                      <c:ptCount val="9"/>
                    </c:numCache>
                  </c:numRef>
                </c:cat>
                <c:val>
                  <c:numRef>
                    <c:extLst>
                      <c:ext uri="{02D57815-91ED-43cb-92C2-25804820EDAC}">
                        <c15:formulaRef>
                          <c15:sqref>ESG!$O$68:$O$76</c15:sqref>
                        </c15:formulaRef>
                      </c:ext>
                    </c:extLst>
                    <c:numCache>
                      <c:formatCode>0.00</c:formatCode>
                      <c:ptCount val="9"/>
                    </c:numCache>
                  </c:numRef>
                </c:val>
                <c:smooth val="0"/>
                <c:extLst>
                  <c:ext xmlns:c16="http://schemas.microsoft.com/office/drawing/2014/chart" uri="{C3380CC4-5D6E-409C-BE32-E72D297353CC}">
                    <c16:uniqueId val="{00000001-5789-4750-89D4-9EEBF96780C0}"/>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ESG!$P$67</c15:sqref>
                        </c15:formulaRef>
                      </c:ext>
                    </c:extLst>
                    <c:strCache>
                      <c:ptCount val="1"/>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extLst xmlns:c15="http://schemas.microsoft.com/office/drawing/2012/chart">
                      <c:ext xmlns:c15="http://schemas.microsoft.com/office/drawing/2012/chart" uri="{02D57815-91ED-43cb-92C2-25804820EDAC}">
                        <c15:formulaRef>
                          <c15:sqref>ESG!$M$68:$M$76</c15:sqref>
                        </c15:formulaRef>
                      </c:ext>
                    </c:extLst>
                    <c:numCache>
                      <c:formatCode>General</c:formatCode>
                      <c:ptCount val="9"/>
                    </c:numCache>
                  </c:numRef>
                </c:cat>
                <c:val>
                  <c:numRef>
                    <c:extLst xmlns:c15="http://schemas.microsoft.com/office/drawing/2012/chart">
                      <c:ext xmlns:c15="http://schemas.microsoft.com/office/drawing/2012/chart" uri="{02D57815-91ED-43cb-92C2-25804820EDAC}">
                        <c15:formulaRef>
                          <c15:sqref>ESG!$P$68:$P$76</c15:sqref>
                        </c15:formulaRef>
                      </c:ext>
                    </c:extLst>
                    <c:numCache>
                      <c:formatCode>0.00</c:formatCode>
                      <c:ptCount val="9"/>
                    </c:numCache>
                  </c:numRef>
                </c:val>
                <c:smooth val="0"/>
                <c:extLst xmlns:c15="http://schemas.microsoft.com/office/drawing/2012/chart">
                  <c:ext xmlns:c16="http://schemas.microsoft.com/office/drawing/2014/chart" uri="{C3380CC4-5D6E-409C-BE32-E72D297353CC}">
                    <c16:uniqueId val="{00000002-5789-4750-89D4-9EEBF96780C0}"/>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ESG!$S$67</c15:sqref>
                        </c15:formulaRef>
                      </c:ext>
                    </c:extLst>
                    <c:strCache>
                      <c:ptCount val="1"/>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extLst xmlns:c15="http://schemas.microsoft.com/office/drawing/2012/chart">
                      <c:ext xmlns:c15="http://schemas.microsoft.com/office/drawing/2012/chart" uri="{02D57815-91ED-43cb-92C2-25804820EDAC}">
                        <c15:formulaRef>
                          <c15:sqref>ESG!$M$68:$M$76</c15:sqref>
                        </c15:formulaRef>
                      </c:ext>
                    </c:extLst>
                    <c:numCache>
                      <c:formatCode>General</c:formatCode>
                      <c:ptCount val="9"/>
                    </c:numCache>
                  </c:numRef>
                </c:cat>
                <c:val>
                  <c:numRef>
                    <c:extLst xmlns:c15="http://schemas.microsoft.com/office/drawing/2012/chart">
                      <c:ext xmlns:c15="http://schemas.microsoft.com/office/drawing/2012/chart" uri="{02D57815-91ED-43cb-92C2-25804820EDAC}">
                        <c15:formulaRef>
                          <c15:sqref>ESG!$S$68:$S$76</c15:sqref>
                        </c15:formulaRef>
                      </c:ext>
                    </c:extLst>
                    <c:numCache>
                      <c:formatCode>0.00</c:formatCode>
                      <c:ptCount val="9"/>
                    </c:numCache>
                  </c:numRef>
                </c:val>
                <c:smooth val="0"/>
                <c:extLst xmlns:c15="http://schemas.microsoft.com/office/drawing/2012/chart">
                  <c:ext xmlns:c16="http://schemas.microsoft.com/office/drawing/2014/chart" uri="{C3380CC4-5D6E-409C-BE32-E72D297353CC}">
                    <c16:uniqueId val="{00000005-5789-4750-89D4-9EEBF96780C0}"/>
                  </c:ext>
                </c:extLst>
              </c15:ser>
            </c15:filteredLineSeries>
          </c:ext>
        </c:extLst>
      </c:lineChart>
      <c:catAx>
        <c:axId val="1301543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63695"/>
        <c:crosses val="autoZero"/>
        <c:auto val="1"/>
        <c:lblAlgn val="ctr"/>
        <c:lblOffset val="100"/>
        <c:noMultiLvlLbl val="0"/>
      </c:catAx>
      <c:valAx>
        <c:axId val="4596369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5434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a:t>Total Energy</a:t>
            </a:r>
            <a:r>
              <a:rPr lang="pt-PT" baseline="0"/>
              <a:t> Consumption (Gigajoules)</a:t>
            </a:r>
            <a:endParaRPr lang="pt-PT"/>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lineChart>
        <c:grouping val="standard"/>
        <c:varyColors val="0"/>
        <c:ser>
          <c:idx val="0"/>
          <c:order val="0"/>
          <c:tx>
            <c:strRef>
              <c:f>ESG!$N$79</c:f>
              <c:strCache>
                <c:ptCount val="1"/>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ESG!$M$80:$M$88</c:f>
              <c:numCache>
                <c:formatCode>General</c:formatCode>
                <c:ptCount val="9"/>
              </c:numCache>
            </c:numRef>
          </c:cat>
          <c:val>
            <c:numRef>
              <c:f>ESG!$N$80:$N$88</c:f>
              <c:numCache>
                <c:formatCode>0.00</c:formatCode>
                <c:ptCount val="9"/>
              </c:numCache>
            </c:numRef>
          </c:val>
          <c:smooth val="0"/>
          <c:extLst>
            <c:ext xmlns:c16="http://schemas.microsoft.com/office/drawing/2014/chart" uri="{C3380CC4-5D6E-409C-BE32-E72D297353CC}">
              <c16:uniqueId val="{00000000-917B-4C45-979C-FFDB55C82DDB}"/>
            </c:ext>
          </c:extLst>
        </c:ser>
        <c:ser>
          <c:idx val="1"/>
          <c:order val="1"/>
          <c:tx>
            <c:strRef>
              <c:f>ESG!$O$79</c:f>
              <c:strCache>
                <c:ptCount val="1"/>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ESG!$M$80:$M$88</c:f>
              <c:numCache>
                <c:formatCode>General</c:formatCode>
                <c:ptCount val="9"/>
              </c:numCache>
            </c:numRef>
          </c:cat>
          <c:val>
            <c:numRef>
              <c:f>ESG!$O$80:$O$88</c:f>
              <c:numCache>
                <c:formatCode>0.00</c:formatCode>
                <c:ptCount val="9"/>
              </c:numCache>
            </c:numRef>
          </c:val>
          <c:smooth val="0"/>
          <c:extLst>
            <c:ext xmlns:c16="http://schemas.microsoft.com/office/drawing/2014/chart" uri="{C3380CC4-5D6E-409C-BE32-E72D297353CC}">
              <c16:uniqueId val="{00000001-917B-4C45-979C-FFDB55C82DDB}"/>
            </c:ext>
          </c:extLst>
        </c:ser>
        <c:ser>
          <c:idx val="2"/>
          <c:order val="2"/>
          <c:tx>
            <c:strRef>
              <c:f>ESG!$P$79</c:f>
              <c:strCache>
                <c:ptCount val="1"/>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ESG!$M$80:$M$88</c:f>
              <c:numCache>
                <c:formatCode>General</c:formatCode>
                <c:ptCount val="9"/>
              </c:numCache>
            </c:numRef>
          </c:cat>
          <c:val>
            <c:numRef>
              <c:f>ESG!$P$80:$P$88</c:f>
              <c:numCache>
                <c:formatCode>0.00</c:formatCode>
                <c:ptCount val="9"/>
              </c:numCache>
            </c:numRef>
          </c:val>
          <c:smooth val="0"/>
          <c:extLst>
            <c:ext xmlns:c16="http://schemas.microsoft.com/office/drawing/2014/chart" uri="{C3380CC4-5D6E-409C-BE32-E72D297353CC}">
              <c16:uniqueId val="{00000002-917B-4C45-979C-FFDB55C82DDB}"/>
            </c:ext>
          </c:extLst>
        </c:ser>
        <c:ser>
          <c:idx val="3"/>
          <c:order val="3"/>
          <c:tx>
            <c:strRef>
              <c:f>ESG!$Q$79</c:f>
              <c:strCache>
                <c:ptCount val="1"/>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ESG!$M$80:$M$88</c:f>
              <c:numCache>
                <c:formatCode>General</c:formatCode>
                <c:ptCount val="9"/>
              </c:numCache>
            </c:numRef>
          </c:cat>
          <c:val>
            <c:numRef>
              <c:f>ESG!$Q$80:$Q$88</c:f>
              <c:numCache>
                <c:formatCode>0.00</c:formatCode>
                <c:ptCount val="9"/>
              </c:numCache>
            </c:numRef>
          </c:val>
          <c:smooth val="0"/>
          <c:extLst>
            <c:ext xmlns:c16="http://schemas.microsoft.com/office/drawing/2014/chart" uri="{C3380CC4-5D6E-409C-BE32-E72D297353CC}">
              <c16:uniqueId val="{00000003-917B-4C45-979C-FFDB55C82DDB}"/>
            </c:ext>
          </c:extLst>
        </c:ser>
        <c:ser>
          <c:idx val="4"/>
          <c:order val="4"/>
          <c:tx>
            <c:strRef>
              <c:f>ESG!$R$79</c:f>
              <c:strCache>
                <c:ptCount val="1"/>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ESG!$M$80:$M$88</c:f>
              <c:numCache>
                <c:formatCode>General</c:formatCode>
                <c:ptCount val="9"/>
              </c:numCache>
            </c:numRef>
          </c:cat>
          <c:val>
            <c:numRef>
              <c:f>ESG!$R$80:$R$88</c:f>
              <c:numCache>
                <c:formatCode>0.00</c:formatCode>
                <c:ptCount val="9"/>
              </c:numCache>
            </c:numRef>
          </c:val>
          <c:smooth val="0"/>
          <c:extLst>
            <c:ext xmlns:c16="http://schemas.microsoft.com/office/drawing/2014/chart" uri="{C3380CC4-5D6E-409C-BE32-E72D297353CC}">
              <c16:uniqueId val="{00000004-917B-4C45-979C-FFDB55C82DDB}"/>
            </c:ext>
          </c:extLst>
        </c:ser>
        <c:ser>
          <c:idx val="5"/>
          <c:order val="5"/>
          <c:tx>
            <c:strRef>
              <c:f>ESG!$S$79</c:f>
              <c:strCache>
                <c:ptCount val="1"/>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ESG!$M$80:$M$88</c:f>
              <c:numCache>
                <c:formatCode>General</c:formatCode>
                <c:ptCount val="9"/>
              </c:numCache>
            </c:numRef>
          </c:cat>
          <c:val>
            <c:numRef>
              <c:f>ESG!$S$80:$S$88</c:f>
              <c:numCache>
                <c:formatCode>0.00</c:formatCode>
                <c:ptCount val="9"/>
              </c:numCache>
            </c:numRef>
          </c:val>
          <c:smooth val="0"/>
          <c:extLst>
            <c:ext xmlns:c16="http://schemas.microsoft.com/office/drawing/2014/chart" uri="{C3380CC4-5D6E-409C-BE32-E72D297353CC}">
              <c16:uniqueId val="{00000005-917B-4C45-979C-FFDB55C82DDB}"/>
            </c:ext>
          </c:extLst>
        </c:ser>
        <c:dLbls>
          <c:showLegendKey val="0"/>
          <c:showVal val="0"/>
          <c:showCatName val="0"/>
          <c:showSerName val="0"/>
          <c:showPercent val="0"/>
          <c:showBubbleSize val="0"/>
        </c:dLbls>
        <c:marker val="1"/>
        <c:smooth val="0"/>
        <c:axId val="365935231"/>
        <c:axId val="365961631"/>
      </c:lineChart>
      <c:catAx>
        <c:axId val="365935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961631"/>
        <c:crosses val="autoZero"/>
        <c:auto val="1"/>
        <c:lblAlgn val="ctr"/>
        <c:lblOffset val="100"/>
        <c:noMultiLvlLbl val="0"/>
      </c:catAx>
      <c:valAx>
        <c:axId val="3659616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9352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a:t>Total Waste Production (Tonnes)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ESG!$N$91</c:f>
              <c:strCache>
                <c:ptCount val="1"/>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ESG!$M$92:$M$100</c:f>
              <c:numCache>
                <c:formatCode>General</c:formatCode>
                <c:ptCount val="9"/>
              </c:numCache>
            </c:numRef>
          </c:cat>
          <c:val>
            <c:numRef>
              <c:f>ESG!$N$92:$N$100</c:f>
              <c:numCache>
                <c:formatCode>0.00</c:formatCode>
                <c:ptCount val="9"/>
              </c:numCache>
            </c:numRef>
          </c:val>
          <c:smooth val="0"/>
          <c:extLst>
            <c:ext xmlns:c16="http://schemas.microsoft.com/office/drawing/2014/chart" uri="{C3380CC4-5D6E-409C-BE32-E72D297353CC}">
              <c16:uniqueId val="{00000000-FF9A-4ECA-A844-2C82FDFD8493}"/>
            </c:ext>
          </c:extLst>
        </c:ser>
        <c:ser>
          <c:idx val="1"/>
          <c:order val="1"/>
          <c:tx>
            <c:strRef>
              <c:f>ESG!$O$91</c:f>
              <c:strCache>
                <c:ptCount val="1"/>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ESG!$M$92:$M$100</c:f>
              <c:numCache>
                <c:formatCode>General</c:formatCode>
                <c:ptCount val="9"/>
              </c:numCache>
            </c:numRef>
          </c:cat>
          <c:val>
            <c:numRef>
              <c:f>ESG!$O$92:$O$100</c:f>
              <c:numCache>
                <c:formatCode>0.00</c:formatCode>
                <c:ptCount val="9"/>
              </c:numCache>
            </c:numRef>
          </c:val>
          <c:smooth val="0"/>
          <c:extLst>
            <c:ext xmlns:c16="http://schemas.microsoft.com/office/drawing/2014/chart" uri="{C3380CC4-5D6E-409C-BE32-E72D297353CC}">
              <c16:uniqueId val="{00000001-FF9A-4ECA-A844-2C82FDFD8493}"/>
            </c:ext>
          </c:extLst>
        </c:ser>
        <c:ser>
          <c:idx val="2"/>
          <c:order val="2"/>
          <c:tx>
            <c:strRef>
              <c:f>ESG!$P$91</c:f>
              <c:strCache>
                <c:ptCount val="1"/>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ESG!$M$92:$M$100</c:f>
              <c:numCache>
                <c:formatCode>General</c:formatCode>
                <c:ptCount val="9"/>
              </c:numCache>
            </c:numRef>
          </c:cat>
          <c:val>
            <c:numRef>
              <c:f>ESG!$P$92:$P$100</c:f>
              <c:numCache>
                <c:formatCode>0.00</c:formatCode>
                <c:ptCount val="9"/>
              </c:numCache>
            </c:numRef>
          </c:val>
          <c:smooth val="0"/>
          <c:extLst>
            <c:ext xmlns:c16="http://schemas.microsoft.com/office/drawing/2014/chart" uri="{C3380CC4-5D6E-409C-BE32-E72D297353CC}">
              <c16:uniqueId val="{00000002-FF9A-4ECA-A844-2C82FDFD8493}"/>
            </c:ext>
          </c:extLst>
        </c:ser>
        <c:ser>
          <c:idx val="3"/>
          <c:order val="3"/>
          <c:tx>
            <c:strRef>
              <c:f>ESG!$Q$91</c:f>
              <c:strCache>
                <c:ptCount val="1"/>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ESG!$M$92:$M$100</c:f>
              <c:numCache>
                <c:formatCode>General</c:formatCode>
                <c:ptCount val="9"/>
              </c:numCache>
            </c:numRef>
          </c:cat>
          <c:val>
            <c:numRef>
              <c:f>ESG!$Q$92:$Q$100</c:f>
              <c:numCache>
                <c:formatCode>0.00</c:formatCode>
                <c:ptCount val="9"/>
              </c:numCache>
            </c:numRef>
          </c:val>
          <c:smooth val="0"/>
          <c:extLst>
            <c:ext xmlns:c16="http://schemas.microsoft.com/office/drawing/2014/chart" uri="{C3380CC4-5D6E-409C-BE32-E72D297353CC}">
              <c16:uniqueId val="{00000003-FF9A-4ECA-A844-2C82FDFD8493}"/>
            </c:ext>
          </c:extLst>
        </c:ser>
        <c:ser>
          <c:idx val="4"/>
          <c:order val="4"/>
          <c:tx>
            <c:strRef>
              <c:f>ESG!$R$91</c:f>
              <c:strCache>
                <c:ptCount val="1"/>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ESG!$M$92:$M$100</c:f>
              <c:numCache>
                <c:formatCode>General</c:formatCode>
                <c:ptCount val="9"/>
              </c:numCache>
            </c:numRef>
          </c:cat>
          <c:val>
            <c:numRef>
              <c:f>ESG!$R$92:$R$100</c:f>
              <c:numCache>
                <c:formatCode>0.00</c:formatCode>
                <c:ptCount val="9"/>
              </c:numCache>
            </c:numRef>
          </c:val>
          <c:smooth val="0"/>
          <c:extLst>
            <c:ext xmlns:c16="http://schemas.microsoft.com/office/drawing/2014/chart" uri="{C3380CC4-5D6E-409C-BE32-E72D297353CC}">
              <c16:uniqueId val="{00000004-FF9A-4ECA-A844-2C82FDFD8493}"/>
            </c:ext>
          </c:extLst>
        </c:ser>
        <c:dLbls>
          <c:showLegendKey val="0"/>
          <c:showVal val="0"/>
          <c:showCatName val="0"/>
          <c:showSerName val="0"/>
          <c:showPercent val="0"/>
          <c:showBubbleSize val="0"/>
        </c:dLbls>
        <c:marker val="1"/>
        <c:smooth val="0"/>
        <c:axId val="365962591"/>
        <c:axId val="365934271"/>
        <c:extLst>
          <c:ext xmlns:c15="http://schemas.microsoft.com/office/drawing/2012/chart" uri="{02D57815-91ED-43cb-92C2-25804820EDAC}">
            <c15:filteredLineSeries>
              <c15:ser>
                <c:idx val="5"/>
                <c:order val="5"/>
                <c:tx>
                  <c:strRef>
                    <c:extLst>
                      <c:ext uri="{02D57815-91ED-43cb-92C2-25804820EDAC}">
                        <c15:formulaRef>
                          <c15:sqref>ESG!$S$91</c15:sqref>
                        </c15:formulaRef>
                      </c:ext>
                    </c:extLst>
                    <c:strCache>
                      <c:ptCount val="1"/>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extLst>
                      <c:ext uri="{02D57815-91ED-43cb-92C2-25804820EDAC}">
                        <c15:formulaRef>
                          <c15:sqref>ESG!$M$92:$M$100</c15:sqref>
                        </c15:formulaRef>
                      </c:ext>
                    </c:extLst>
                    <c:numCache>
                      <c:formatCode>General</c:formatCode>
                      <c:ptCount val="9"/>
                    </c:numCache>
                  </c:numRef>
                </c:cat>
                <c:val>
                  <c:numRef>
                    <c:extLst>
                      <c:ext uri="{02D57815-91ED-43cb-92C2-25804820EDAC}">
                        <c15:formulaRef>
                          <c15:sqref>ESG!$S$92:$S$100</c15:sqref>
                        </c15:formulaRef>
                      </c:ext>
                    </c:extLst>
                    <c:numCache>
                      <c:formatCode>0.00</c:formatCode>
                      <c:ptCount val="9"/>
                    </c:numCache>
                  </c:numRef>
                </c:val>
                <c:smooth val="0"/>
                <c:extLst>
                  <c:ext xmlns:c16="http://schemas.microsoft.com/office/drawing/2014/chart" uri="{C3380CC4-5D6E-409C-BE32-E72D297353CC}">
                    <c16:uniqueId val="{00000005-FF9A-4ECA-A844-2C82FDFD8493}"/>
                  </c:ext>
                </c:extLst>
              </c15:ser>
            </c15:filteredLineSeries>
          </c:ext>
        </c:extLst>
      </c:lineChart>
      <c:catAx>
        <c:axId val="365962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934271"/>
        <c:crosses val="autoZero"/>
        <c:auto val="1"/>
        <c:lblAlgn val="ctr"/>
        <c:lblOffset val="100"/>
        <c:noMultiLvlLbl val="0"/>
      </c:catAx>
      <c:valAx>
        <c:axId val="3659342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9625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7" Type="http://schemas.openxmlformats.org/officeDocument/2006/relationships/image" Target="../media/image11.png"/><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13</xdr:col>
      <xdr:colOff>0</xdr:colOff>
      <xdr:row>15</xdr:row>
      <xdr:rowOff>0</xdr:rowOff>
    </xdr:from>
    <xdr:to>
      <xdr:col>13</xdr:col>
      <xdr:colOff>304800</xdr:colOff>
      <xdr:row>18</xdr:row>
      <xdr:rowOff>97023</xdr:rowOff>
    </xdr:to>
    <xdr:sp macro="" textlink="">
      <xdr:nvSpPr>
        <xdr:cNvPr id="2096" name="AutoShape 48" descr="Resultado de imagen para heidelbergcement">
          <a:extLst>
            <a:ext uri="{FF2B5EF4-FFF2-40B4-BE49-F238E27FC236}">
              <a16:creationId xmlns:a16="http://schemas.microsoft.com/office/drawing/2014/main" id="{EBAF9DAF-18D3-4875-8FFF-AEB741FF11AC}"/>
            </a:ext>
          </a:extLst>
        </xdr:cNvPr>
        <xdr:cNvSpPr>
          <a:spLocks noChangeAspect="1" noChangeArrowheads="1"/>
        </xdr:cNvSpPr>
      </xdr:nvSpPr>
      <xdr:spPr bwMode="auto">
        <a:xfrm>
          <a:off x="15001875" y="80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15</xdr:row>
      <xdr:rowOff>0</xdr:rowOff>
    </xdr:from>
    <xdr:to>
      <xdr:col>13</xdr:col>
      <xdr:colOff>304800</xdr:colOff>
      <xdr:row>18</xdr:row>
      <xdr:rowOff>97023</xdr:rowOff>
    </xdr:to>
    <xdr:sp macro="" textlink="">
      <xdr:nvSpPr>
        <xdr:cNvPr id="2097" name="AutoShape 49" descr="Resultado de imagen para heidelbergcement">
          <a:extLst>
            <a:ext uri="{FF2B5EF4-FFF2-40B4-BE49-F238E27FC236}">
              <a16:creationId xmlns:a16="http://schemas.microsoft.com/office/drawing/2014/main" id="{1AED6D21-AC79-48CB-9928-5DBD43CA26F1}"/>
            </a:ext>
          </a:extLst>
        </xdr:cNvPr>
        <xdr:cNvSpPr>
          <a:spLocks noChangeAspect="1" noChangeArrowheads="1"/>
        </xdr:cNvSpPr>
      </xdr:nvSpPr>
      <xdr:spPr bwMode="auto">
        <a:xfrm>
          <a:off x="15001875" y="80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15</xdr:row>
      <xdr:rowOff>0</xdr:rowOff>
    </xdr:from>
    <xdr:to>
      <xdr:col>13</xdr:col>
      <xdr:colOff>304800</xdr:colOff>
      <xdr:row>18</xdr:row>
      <xdr:rowOff>97023</xdr:rowOff>
    </xdr:to>
    <xdr:sp macro="" textlink="">
      <xdr:nvSpPr>
        <xdr:cNvPr id="9" name="AutoShape 48" descr="Resultado de imagen para heidelbergcement">
          <a:extLst>
            <a:ext uri="{FF2B5EF4-FFF2-40B4-BE49-F238E27FC236}">
              <a16:creationId xmlns:a16="http://schemas.microsoft.com/office/drawing/2014/main" id="{7A971572-AE46-4C4C-8556-A1DC5E24C990}"/>
            </a:ext>
          </a:extLst>
        </xdr:cNvPr>
        <xdr:cNvSpPr>
          <a:spLocks noChangeAspect="1" noChangeArrowheads="1"/>
        </xdr:cNvSpPr>
      </xdr:nvSpPr>
      <xdr:spPr bwMode="auto">
        <a:xfrm>
          <a:off x="18110200" y="1358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2</xdr:row>
      <xdr:rowOff>0</xdr:rowOff>
    </xdr:from>
    <xdr:to>
      <xdr:col>13</xdr:col>
      <xdr:colOff>304800</xdr:colOff>
      <xdr:row>2</xdr:row>
      <xdr:rowOff>304800</xdr:rowOff>
    </xdr:to>
    <xdr:sp macro="" textlink="">
      <xdr:nvSpPr>
        <xdr:cNvPr id="11" name="AutoShape 51" descr="Resultado de imagen para heidelbergcement">
          <a:extLst>
            <a:ext uri="{FF2B5EF4-FFF2-40B4-BE49-F238E27FC236}">
              <a16:creationId xmlns:a16="http://schemas.microsoft.com/office/drawing/2014/main" id="{9C93AAA3-5F34-E84C-A119-511471E42284}"/>
            </a:ext>
          </a:extLst>
        </xdr:cNvPr>
        <xdr:cNvSpPr>
          <a:spLocks noChangeAspect="1" noChangeArrowheads="1"/>
        </xdr:cNvSpPr>
      </xdr:nvSpPr>
      <xdr:spPr bwMode="auto">
        <a:xfrm>
          <a:off x="18110200" y="31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2</xdr:row>
      <xdr:rowOff>0</xdr:rowOff>
    </xdr:from>
    <xdr:to>
      <xdr:col>13</xdr:col>
      <xdr:colOff>304800</xdr:colOff>
      <xdr:row>2</xdr:row>
      <xdr:rowOff>304800</xdr:rowOff>
    </xdr:to>
    <xdr:sp macro="" textlink="">
      <xdr:nvSpPr>
        <xdr:cNvPr id="12" name="AutoShape 52" descr="Resultado de imagen para heidelbergcement">
          <a:extLst>
            <a:ext uri="{FF2B5EF4-FFF2-40B4-BE49-F238E27FC236}">
              <a16:creationId xmlns:a16="http://schemas.microsoft.com/office/drawing/2014/main" id="{D38869C9-D998-A047-96C8-5B849EBEA94D}"/>
            </a:ext>
          </a:extLst>
        </xdr:cNvPr>
        <xdr:cNvSpPr>
          <a:spLocks noChangeAspect="1" noChangeArrowheads="1"/>
        </xdr:cNvSpPr>
      </xdr:nvSpPr>
      <xdr:spPr bwMode="auto">
        <a:xfrm>
          <a:off x="18110200" y="31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152400</xdr:colOff>
      <xdr:row>5</xdr:row>
      <xdr:rowOff>95250</xdr:rowOff>
    </xdr:from>
    <xdr:to>
      <xdr:col>3</xdr:col>
      <xdr:colOff>28575</xdr:colOff>
      <xdr:row>11</xdr:row>
      <xdr:rowOff>38100</xdr:rowOff>
    </xdr:to>
    <xdr:pic>
      <xdr:nvPicPr>
        <xdr:cNvPr id="3" name="Imagem 2">
          <a:extLst>
            <a:ext uri="{FF2B5EF4-FFF2-40B4-BE49-F238E27FC236}">
              <a16:creationId xmlns:a16="http://schemas.microsoft.com/office/drawing/2014/main" id="{19C07276-B2CA-B210-5E79-B94C0EA13172}"/>
            </a:ext>
            <a:ext uri="{147F2762-F138-4A5C-976F-8EAC2B608ADB}">
              <a16:predDERef xmlns:a16="http://schemas.microsoft.com/office/drawing/2014/main" pred="{1B060674-5C0D-87AE-7F8B-489ABB0DCD79}"/>
            </a:ext>
          </a:extLst>
        </xdr:cNvPr>
        <xdr:cNvPicPr>
          <a:picLocks noChangeAspect="1"/>
        </xdr:cNvPicPr>
      </xdr:nvPicPr>
      <xdr:blipFill>
        <a:blip xmlns:r="http://schemas.openxmlformats.org/officeDocument/2006/relationships" r:embed="rId1"/>
        <a:stretch>
          <a:fillRect/>
        </a:stretch>
      </xdr:blipFill>
      <xdr:spPr>
        <a:xfrm>
          <a:off x="152400" y="1247775"/>
          <a:ext cx="3009900" cy="1762125"/>
        </a:xfrm>
        <a:prstGeom prst="rect">
          <a:avLst/>
        </a:prstGeom>
      </xdr:spPr>
    </xdr:pic>
    <xdr:clientData/>
  </xdr:twoCellAnchor>
  <xdr:twoCellAnchor editAs="oneCell">
    <xdr:from>
      <xdr:col>6</xdr:col>
      <xdr:colOff>147875</xdr:colOff>
      <xdr:row>83</xdr:row>
      <xdr:rowOff>69589</xdr:rowOff>
    </xdr:from>
    <xdr:to>
      <xdr:col>12</xdr:col>
      <xdr:colOff>2064900</xdr:colOff>
      <xdr:row>105</xdr:row>
      <xdr:rowOff>134379</xdr:rowOff>
    </xdr:to>
    <xdr:pic>
      <xdr:nvPicPr>
        <xdr:cNvPr id="4" name="Picture 3">
          <a:extLst>
            <a:ext uri="{FF2B5EF4-FFF2-40B4-BE49-F238E27FC236}">
              <a16:creationId xmlns:a16="http://schemas.microsoft.com/office/drawing/2014/main" id="{3A4C6904-F4AC-181C-D3F3-2AA9428E99A4}"/>
            </a:ext>
          </a:extLst>
        </xdr:cNvPr>
        <xdr:cNvPicPr>
          <a:picLocks noChangeAspect="1"/>
        </xdr:cNvPicPr>
      </xdr:nvPicPr>
      <xdr:blipFill>
        <a:blip xmlns:r="http://schemas.openxmlformats.org/officeDocument/2006/relationships" r:embed="rId2"/>
        <a:stretch>
          <a:fillRect/>
        </a:stretch>
      </xdr:blipFill>
      <xdr:spPr>
        <a:xfrm>
          <a:off x="8289793" y="16066370"/>
          <a:ext cx="8966221" cy="32658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19050</xdr:colOff>
      <xdr:row>26</xdr:row>
      <xdr:rowOff>104775</xdr:rowOff>
    </xdr:from>
    <xdr:to>
      <xdr:col>11</xdr:col>
      <xdr:colOff>666750</xdr:colOff>
      <xdr:row>32</xdr:row>
      <xdr:rowOff>695325</xdr:rowOff>
    </xdr:to>
    <xdr:graphicFrame macro="">
      <xdr:nvGraphicFramePr>
        <xdr:cNvPr id="20" name="Chart 1">
          <a:extLst>
            <a:ext uri="{FF2B5EF4-FFF2-40B4-BE49-F238E27FC236}">
              <a16:creationId xmlns:a16="http://schemas.microsoft.com/office/drawing/2014/main" id="{7F5E9A08-07D6-4F95-A404-E0E9797D0EE1}"/>
            </a:ext>
            <a:ext uri="{147F2762-F138-4A5C-976F-8EAC2B608ADB}">
              <a16:predDERef xmlns:a16="http://schemas.microsoft.com/office/drawing/2014/main" pred="{2D8AEC4D-5853-421C-8616-2A1885050A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829734</xdr:colOff>
      <xdr:row>26</xdr:row>
      <xdr:rowOff>130529</xdr:rowOff>
    </xdr:from>
    <xdr:to>
      <xdr:col>15</xdr:col>
      <xdr:colOff>493889</xdr:colOff>
      <xdr:row>32</xdr:row>
      <xdr:rowOff>576204</xdr:rowOff>
    </xdr:to>
    <xdr:graphicFrame macro="">
      <xdr:nvGraphicFramePr>
        <xdr:cNvPr id="21" name="Chart 2">
          <a:extLst>
            <a:ext uri="{FF2B5EF4-FFF2-40B4-BE49-F238E27FC236}">
              <a16:creationId xmlns:a16="http://schemas.microsoft.com/office/drawing/2014/main" id="{3A5CD1F5-9D99-498D-8628-EEA43C6140A7}"/>
            </a:ext>
            <a:ext uri="{147F2762-F138-4A5C-976F-8EAC2B608ADB}">
              <a16:predDERef xmlns:a16="http://schemas.microsoft.com/office/drawing/2014/main" pred="{7F5E9A08-07D6-4F95-A404-E0E9797D0E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704850</xdr:colOff>
      <xdr:row>26</xdr:row>
      <xdr:rowOff>28575</xdr:rowOff>
    </xdr:from>
    <xdr:to>
      <xdr:col>11</xdr:col>
      <xdr:colOff>714375</xdr:colOff>
      <xdr:row>33</xdr:row>
      <xdr:rowOff>28575</xdr:rowOff>
    </xdr:to>
    <xdr:cxnSp macro="">
      <xdr:nvCxnSpPr>
        <xdr:cNvPr id="4" name="Straight Connector 3">
          <a:extLst>
            <a:ext uri="{FF2B5EF4-FFF2-40B4-BE49-F238E27FC236}">
              <a16:creationId xmlns:a16="http://schemas.microsoft.com/office/drawing/2014/main" id="{C33E0BEF-2136-447C-8E28-18B0F3EAE1E5}"/>
            </a:ext>
            <a:ext uri="{147F2762-F138-4A5C-976F-8EAC2B608ADB}">
              <a16:predDERef xmlns:a16="http://schemas.microsoft.com/office/drawing/2014/main" pred="{3A5CD1F5-9D99-498D-8628-EEA43C6140A7}"/>
            </a:ext>
          </a:extLst>
        </xdr:cNvPr>
        <xdr:cNvCxnSpPr>
          <a:cxnSpLocks/>
        </xdr:cNvCxnSpPr>
      </xdr:nvCxnSpPr>
      <xdr:spPr bwMode="auto">
        <a:xfrm>
          <a:off x="12325350" y="4295775"/>
          <a:ext cx="9525" cy="2876550"/>
        </a:xfrm>
        <a:prstGeom prst="line">
          <a:avLst/>
        </a:prstGeom>
        <a:ln w="12700">
          <a:solidFill>
            <a:srgbClr val="1F497D"/>
          </a:solidFill>
          <a:headEnd type="non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34</xdr:col>
      <xdr:colOff>628650</xdr:colOff>
      <xdr:row>56</xdr:row>
      <xdr:rowOff>85725</xdr:rowOff>
    </xdr:from>
    <xdr:to>
      <xdr:col>36</xdr:col>
      <xdr:colOff>57150</xdr:colOff>
      <xdr:row>62</xdr:row>
      <xdr:rowOff>76200</xdr:rowOff>
    </xdr:to>
    <xdr:sp macro="" textlink="">
      <xdr:nvSpPr>
        <xdr:cNvPr id="5" name="Rectangle 4">
          <a:extLst>
            <a:ext uri="{FF2B5EF4-FFF2-40B4-BE49-F238E27FC236}">
              <a16:creationId xmlns:a16="http://schemas.microsoft.com/office/drawing/2014/main" id="{5EAB86DE-9A76-45C6-9369-C70082C9689F}"/>
            </a:ext>
            <a:ext uri="{147F2762-F138-4A5C-976F-8EAC2B608ADB}">
              <a16:predDERef xmlns:a16="http://schemas.microsoft.com/office/drawing/2014/main" pred="{C33E0BEF-2136-447C-8E28-18B0F3EAE1E5}"/>
            </a:ext>
          </a:extLst>
        </xdr:cNvPr>
        <xdr:cNvSpPr/>
      </xdr:nvSpPr>
      <xdr:spPr bwMode="auto">
        <a:xfrm>
          <a:off x="30165675" y="11144250"/>
          <a:ext cx="952500" cy="962025"/>
        </a:xfrm>
        <a:prstGeom prst="rect">
          <a:avLst/>
        </a:prstGeom>
        <a:solidFill>
          <a:srgbClr val="FFFFFF"/>
        </a:solidFill>
        <a:ln w="9525" cap="flat" cmpd="sng" algn="ctr">
          <a:noFill/>
          <a:prstDash val="solid"/>
          <a:round/>
          <a:headEnd type="none" w="med" len="med"/>
          <a:tailEnd type="none" w="med" len="med"/>
        </a:ln>
        <a:effectLst/>
      </xdr:spPr>
      <xdr:txBody>
        <a:bodyPr wrap="square" lIns="18288" tIns="0" rIns="0" bIns="0" rtlCol="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a:endParaRPr lang="en-US"/>
        </a:p>
      </xdr:txBody>
    </xdr:sp>
    <xdr:clientData/>
  </xdr:twoCellAnchor>
  <xdr:twoCellAnchor editAs="oneCell">
    <xdr:from>
      <xdr:col>9</xdr:col>
      <xdr:colOff>88116</xdr:colOff>
      <xdr:row>35</xdr:row>
      <xdr:rowOff>15522</xdr:rowOff>
    </xdr:from>
    <xdr:to>
      <xdr:col>16</xdr:col>
      <xdr:colOff>1457076</xdr:colOff>
      <xdr:row>58</xdr:row>
      <xdr:rowOff>66675</xdr:rowOff>
    </xdr:to>
    <xdr:pic>
      <xdr:nvPicPr>
        <xdr:cNvPr id="6" name="Picture 5">
          <a:extLst>
            <a:ext uri="{FF2B5EF4-FFF2-40B4-BE49-F238E27FC236}">
              <a16:creationId xmlns:a16="http://schemas.microsoft.com/office/drawing/2014/main" id="{44051409-8FF3-4178-9FDF-0353EC6F9322}"/>
            </a:ext>
            <a:ext uri="{147F2762-F138-4A5C-976F-8EAC2B608ADB}">
              <a16:predDERef xmlns:a16="http://schemas.microsoft.com/office/drawing/2014/main" pred="{5EAB86DE-9A76-45C6-9369-C70082C9689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965894" y="7635522"/>
          <a:ext cx="6490588" cy="4029663"/>
        </a:xfrm>
        <a:prstGeom prst="rect">
          <a:avLst/>
        </a:prstGeom>
      </xdr:spPr>
    </xdr:pic>
    <xdr:clientData/>
  </xdr:twoCellAnchor>
  <xdr:twoCellAnchor editAs="oneCell">
    <xdr:from>
      <xdr:col>16</xdr:col>
      <xdr:colOff>459922</xdr:colOff>
      <xdr:row>2</xdr:row>
      <xdr:rowOff>184150</xdr:rowOff>
    </xdr:from>
    <xdr:to>
      <xdr:col>19</xdr:col>
      <xdr:colOff>240740</xdr:colOff>
      <xdr:row>24</xdr:row>
      <xdr:rowOff>116114</xdr:rowOff>
    </xdr:to>
    <xdr:pic>
      <xdr:nvPicPr>
        <xdr:cNvPr id="10" name="Picture 6">
          <a:extLst>
            <a:ext uri="{FF2B5EF4-FFF2-40B4-BE49-F238E27FC236}">
              <a16:creationId xmlns:a16="http://schemas.microsoft.com/office/drawing/2014/main" id="{8F779F00-F0D6-479B-BC53-45E2993E03A9}"/>
            </a:ext>
            <a:ext uri="{147F2762-F138-4A5C-976F-8EAC2B608ADB}">
              <a16:predDERef xmlns:a16="http://schemas.microsoft.com/office/drawing/2014/main" pred="{44051409-8FF3-4178-9FDF-0353EC6F9322}"/>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6235136" y="537936"/>
          <a:ext cx="3019318" cy="3442607"/>
        </a:xfrm>
        <a:prstGeom prst="rect">
          <a:avLst/>
        </a:prstGeom>
      </xdr:spPr>
    </xdr:pic>
    <xdr:clientData/>
  </xdr:twoCellAnchor>
  <xdr:twoCellAnchor editAs="oneCell">
    <xdr:from>
      <xdr:col>20</xdr:col>
      <xdr:colOff>433162</xdr:colOff>
      <xdr:row>4</xdr:row>
      <xdr:rowOff>140610</xdr:rowOff>
    </xdr:from>
    <xdr:to>
      <xdr:col>24</xdr:col>
      <xdr:colOff>236312</xdr:colOff>
      <xdr:row>28</xdr:row>
      <xdr:rowOff>47097</xdr:rowOff>
    </xdr:to>
    <xdr:pic>
      <xdr:nvPicPr>
        <xdr:cNvPr id="17" name="Picture 7">
          <a:extLst>
            <a:ext uri="{FF2B5EF4-FFF2-40B4-BE49-F238E27FC236}">
              <a16:creationId xmlns:a16="http://schemas.microsoft.com/office/drawing/2014/main" id="{B306BC61-F9E3-49E7-89F5-5FD7F57E150A}"/>
            </a:ext>
            <a:ext uri="{147F2762-F138-4A5C-976F-8EAC2B608ADB}">
              <a16:predDERef xmlns:a16="http://schemas.microsoft.com/office/drawing/2014/main" pred="{8F779F00-F0D6-479B-BC53-45E2993E03A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0245162" y="884467"/>
          <a:ext cx="3002643" cy="4351487"/>
        </a:xfrm>
        <a:prstGeom prst="rect">
          <a:avLst/>
        </a:prstGeom>
      </xdr:spPr>
    </xdr:pic>
    <xdr:clientData/>
  </xdr:twoCellAnchor>
  <xdr:twoCellAnchor editAs="oneCell">
    <xdr:from>
      <xdr:col>16</xdr:col>
      <xdr:colOff>940823</xdr:colOff>
      <xdr:row>25</xdr:row>
      <xdr:rowOff>78323</xdr:rowOff>
    </xdr:from>
    <xdr:to>
      <xdr:col>18</xdr:col>
      <xdr:colOff>392231</xdr:colOff>
      <xdr:row>32</xdr:row>
      <xdr:rowOff>398134</xdr:rowOff>
    </xdr:to>
    <xdr:pic>
      <xdr:nvPicPr>
        <xdr:cNvPr id="16" name="Picture 8">
          <a:extLst>
            <a:ext uri="{FF2B5EF4-FFF2-40B4-BE49-F238E27FC236}">
              <a16:creationId xmlns:a16="http://schemas.microsoft.com/office/drawing/2014/main" id="{9A9D1166-9DF0-493C-9F99-1C4D9A1EF4F1}"/>
            </a:ext>
            <a:ext uri="{147F2762-F138-4A5C-976F-8EAC2B608ADB}">
              <a16:predDERef xmlns:a16="http://schemas.microsoft.com/office/drawing/2014/main" pred="{B306BC61-F9E3-49E7-89F5-5FD7F57E150A}"/>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6716037" y="4106037"/>
          <a:ext cx="1885273" cy="274188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7</xdr:col>
      <xdr:colOff>0</xdr:colOff>
      <xdr:row>21</xdr:row>
      <xdr:rowOff>0</xdr:rowOff>
    </xdr:from>
    <xdr:ext cx="304800" cy="308437"/>
    <xdr:sp macro="" textlink="">
      <xdr:nvSpPr>
        <xdr:cNvPr id="2" name="AutoShape 231" descr="Resultado de imagen para beer consumption trend">
          <a:extLst>
            <a:ext uri="{FF2B5EF4-FFF2-40B4-BE49-F238E27FC236}">
              <a16:creationId xmlns:a16="http://schemas.microsoft.com/office/drawing/2014/main" id="{4C4486A1-C486-49CE-9B08-E97D62BFC733}"/>
            </a:ext>
          </a:extLst>
        </xdr:cNvPr>
        <xdr:cNvSpPr>
          <a:spLocks noChangeAspect="1" noChangeArrowheads="1"/>
        </xdr:cNvSpPr>
      </xdr:nvSpPr>
      <xdr:spPr bwMode="auto">
        <a:xfrm>
          <a:off x="13058775" y="83343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13</xdr:row>
      <xdr:rowOff>0</xdr:rowOff>
    </xdr:from>
    <xdr:ext cx="304800" cy="308437"/>
    <xdr:sp macro="" textlink="">
      <xdr:nvSpPr>
        <xdr:cNvPr id="3" name="AutoShape 232" descr="Resultado de imagen para beer consumption trend">
          <a:extLst>
            <a:ext uri="{FF2B5EF4-FFF2-40B4-BE49-F238E27FC236}">
              <a16:creationId xmlns:a16="http://schemas.microsoft.com/office/drawing/2014/main" id="{0553629A-8B6F-4F29-8CA0-15B8E6105089}"/>
            </a:ext>
            <a:ext uri="{147F2762-F138-4A5C-976F-8EAC2B608ADB}">
              <a16:predDERef xmlns:a16="http://schemas.microsoft.com/office/drawing/2014/main" pred="{4C4486A1-C486-49CE-9B08-E97D62BFC733}"/>
            </a:ext>
          </a:extLst>
        </xdr:cNvPr>
        <xdr:cNvSpPr>
          <a:spLocks noChangeAspect="1" noChangeArrowheads="1"/>
        </xdr:cNvSpPr>
      </xdr:nvSpPr>
      <xdr:spPr bwMode="auto">
        <a:xfrm>
          <a:off x="13058775" y="69246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35</xdr:row>
      <xdr:rowOff>0</xdr:rowOff>
    </xdr:from>
    <xdr:ext cx="304800" cy="306171"/>
    <xdr:sp macro="" textlink="">
      <xdr:nvSpPr>
        <xdr:cNvPr id="4" name="AutoShape 233" descr="Resultado de imagen para beer consumption trend">
          <a:extLst>
            <a:ext uri="{FF2B5EF4-FFF2-40B4-BE49-F238E27FC236}">
              <a16:creationId xmlns:a16="http://schemas.microsoft.com/office/drawing/2014/main" id="{6FB72E69-2C27-4F25-9356-99075EF9027D}"/>
            </a:ext>
            <a:ext uri="{147F2762-F138-4A5C-976F-8EAC2B608ADB}">
              <a16:predDERef xmlns:a16="http://schemas.microsoft.com/office/drawing/2014/main" pred="{0553629A-8B6F-4F29-8CA0-15B8E6105089}"/>
            </a:ext>
          </a:extLst>
        </xdr:cNvPr>
        <xdr:cNvSpPr>
          <a:spLocks noChangeAspect="1" noChangeArrowheads="1"/>
        </xdr:cNvSpPr>
      </xdr:nvSpPr>
      <xdr:spPr bwMode="auto">
        <a:xfrm>
          <a:off x="10915650" y="10848975"/>
          <a:ext cx="304800" cy="3061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21</xdr:row>
      <xdr:rowOff>0</xdr:rowOff>
    </xdr:from>
    <xdr:ext cx="304800" cy="305262"/>
    <xdr:sp macro="" textlink="">
      <xdr:nvSpPr>
        <xdr:cNvPr id="5" name="AutoShape 231" descr="Resultado de imagen para beer consumption trend">
          <a:extLst>
            <a:ext uri="{FF2B5EF4-FFF2-40B4-BE49-F238E27FC236}">
              <a16:creationId xmlns:a16="http://schemas.microsoft.com/office/drawing/2014/main" id="{02EC5120-342E-4183-BC8F-E31A4349E446}"/>
            </a:ext>
            <a:ext uri="{147F2762-F138-4A5C-976F-8EAC2B608ADB}">
              <a16:predDERef xmlns:a16="http://schemas.microsoft.com/office/drawing/2014/main" pred="{6FB72E69-2C27-4F25-9356-99075EF9027D}"/>
            </a:ext>
          </a:extLst>
        </xdr:cNvPr>
        <xdr:cNvSpPr>
          <a:spLocks noChangeAspect="1" noChangeArrowheads="1"/>
        </xdr:cNvSpPr>
      </xdr:nvSpPr>
      <xdr:spPr bwMode="auto">
        <a:xfrm>
          <a:off x="13058775" y="833437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13</xdr:row>
      <xdr:rowOff>0</xdr:rowOff>
    </xdr:from>
    <xdr:ext cx="304800" cy="309071"/>
    <xdr:sp macro="" textlink="">
      <xdr:nvSpPr>
        <xdr:cNvPr id="6" name="AutoShape 232" descr="Resultado de imagen para beer consumption trend">
          <a:extLst>
            <a:ext uri="{FF2B5EF4-FFF2-40B4-BE49-F238E27FC236}">
              <a16:creationId xmlns:a16="http://schemas.microsoft.com/office/drawing/2014/main" id="{4E1F1677-56ED-4689-83B4-98D51ACC8219}"/>
            </a:ext>
            <a:ext uri="{147F2762-F138-4A5C-976F-8EAC2B608ADB}">
              <a16:predDERef xmlns:a16="http://schemas.microsoft.com/office/drawing/2014/main" pred="{02EC5120-342E-4183-BC8F-E31A4349E446}"/>
            </a:ext>
          </a:extLst>
        </xdr:cNvPr>
        <xdr:cNvSpPr>
          <a:spLocks noChangeAspect="1" noChangeArrowheads="1"/>
        </xdr:cNvSpPr>
      </xdr:nvSpPr>
      <xdr:spPr bwMode="auto">
        <a:xfrm>
          <a:off x="13058775" y="692467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35</xdr:row>
      <xdr:rowOff>0</xdr:rowOff>
    </xdr:from>
    <xdr:ext cx="304800" cy="301207"/>
    <xdr:sp macro="" textlink="">
      <xdr:nvSpPr>
        <xdr:cNvPr id="7" name="AutoShape 233" descr="Resultado de imagen para beer consumption trend">
          <a:extLst>
            <a:ext uri="{FF2B5EF4-FFF2-40B4-BE49-F238E27FC236}">
              <a16:creationId xmlns:a16="http://schemas.microsoft.com/office/drawing/2014/main" id="{5E0F970A-B6B7-4141-942F-62CBA21BCDAB}"/>
            </a:ext>
            <a:ext uri="{147F2762-F138-4A5C-976F-8EAC2B608ADB}">
              <a16:predDERef xmlns:a16="http://schemas.microsoft.com/office/drawing/2014/main" pred="{4E1F1677-56ED-4689-83B4-98D51ACC8219}"/>
            </a:ext>
          </a:extLst>
        </xdr:cNvPr>
        <xdr:cNvSpPr>
          <a:spLocks noChangeAspect="1" noChangeArrowheads="1"/>
        </xdr:cNvSpPr>
      </xdr:nvSpPr>
      <xdr:spPr bwMode="auto">
        <a:xfrm>
          <a:off x="10915650" y="10848975"/>
          <a:ext cx="304800" cy="3012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xdr:from>
      <xdr:col>10</xdr:col>
      <xdr:colOff>528777</xdr:colOff>
      <xdr:row>17</xdr:row>
      <xdr:rowOff>56029</xdr:rowOff>
    </xdr:from>
    <xdr:to>
      <xdr:col>18</xdr:col>
      <xdr:colOff>702468</xdr:colOff>
      <xdr:row>33</xdr:row>
      <xdr:rowOff>114301</xdr:rowOff>
    </xdr:to>
    <xdr:graphicFrame macro="">
      <xdr:nvGraphicFramePr>
        <xdr:cNvPr id="12" name="Chart 1">
          <a:extLst>
            <a:ext uri="{FF2B5EF4-FFF2-40B4-BE49-F238E27FC236}">
              <a16:creationId xmlns:a16="http://schemas.microsoft.com/office/drawing/2014/main" id="{533FE47D-66A6-4755-8ECF-70917F32CC75}"/>
            </a:ext>
            <a:ext uri="{147F2762-F138-4A5C-976F-8EAC2B608ADB}">
              <a16:predDERef xmlns:a16="http://schemas.microsoft.com/office/drawing/2014/main" pred="{5E0F970A-B6B7-4141-942F-62CBA21BCD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107156</xdr:colOff>
      <xdr:row>33</xdr:row>
      <xdr:rowOff>142875</xdr:rowOff>
    </xdr:from>
    <xdr:to>
      <xdr:col>20</xdr:col>
      <xdr:colOff>273843</xdr:colOff>
      <xdr:row>50</xdr:row>
      <xdr:rowOff>142875</xdr:rowOff>
    </xdr:to>
    <xdr:graphicFrame macro="">
      <xdr:nvGraphicFramePr>
        <xdr:cNvPr id="13" name="Chart 2">
          <a:extLst>
            <a:ext uri="{FF2B5EF4-FFF2-40B4-BE49-F238E27FC236}">
              <a16:creationId xmlns:a16="http://schemas.microsoft.com/office/drawing/2014/main" id="{81A5425E-A978-4FB2-8A04-77BB6E54B1C2}"/>
            </a:ext>
            <a:ext uri="{147F2762-F138-4A5C-976F-8EAC2B608ADB}">
              <a16:predDERef xmlns:a16="http://schemas.microsoft.com/office/drawing/2014/main" pred="{533FE47D-66A6-4755-8ECF-70917F32CC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0</xdr:row>
      <xdr:rowOff>76200</xdr:rowOff>
    </xdr:from>
    <xdr:to>
      <xdr:col>2</xdr:col>
      <xdr:colOff>0</xdr:colOff>
      <xdr:row>2</xdr:row>
      <xdr:rowOff>28575</xdr:rowOff>
    </xdr:to>
    <xdr:pic>
      <xdr:nvPicPr>
        <xdr:cNvPr id="10" name="Picture 3">
          <a:extLst>
            <a:ext uri="{FF2B5EF4-FFF2-40B4-BE49-F238E27FC236}">
              <a16:creationId xmlns:a16="http://schemas.microsoft.com/office/drawing/2014/main" id="{B5CE1E09-BA7C-42E7-8340-BFC0DCEF2CA5}"/>
            </a:ext>
            <a:ext uri="{147F2762-F138-4A5C-976F-8EAC2B608ADB}">
              <a16:predDERef xmlns:a16="http://schemas.microsoft.com/office/drawing/2014/main" pred="{81A5425E-A978-4FB2-8A04-77BB6E54B1C2}"/>
            </a:ext>
          </a:extLst>
        </xdr:cNvPr>
        <xdr:cNvPicPr>
          <a:picLocks noChangeAspect="1"/>
        </xdr:cNvPicPr>
      </xdr:nvPicPr>
      <xdr:blipFill>
        <a:blip xmlns:r="http://schemas.openxmlformats.org/officeDocument/2006/relationships" r:embed="rId3"/>
        <a:stretch>
          <a:fillRect/>
        </a:stretch>
      </xdr:blipFill>
      <xdr:spPr>
        <a:xfrm>
          <a:off x="28575" y="76200"/>
          <a:ext cx="2114550" cy="1181100"/>
        </a:xfrm>
        <a:prstGeom prst="rect">
          <a:avLst/>
        </a:prstGeom>
      </xdr:spPr>
    </xdr:pic>
    <xdr:clientData/>
  </xdr:twoCellAnchor>
  <xdr:twoCellAnchor editAs="oneCell">
    <xdr:from>
      <xdr:col>1</xdr:col>
      <xdr:colOff>257175</xdr:colOff>
      <xdr:row>5</xdr:row>
      <xdr:rowOff>57150</xdr:rowOff>
    </xdr:from>
    <xdr:to>
      <xdr:col>1</xdr:col>
      <xdr:colOff>1838325</xdr:colOff>
      <xdr:row>5</xdr:row>
      <xdr:rowOff>981075</xdr:rowOff>
    </xdr:to>
    <xdr:pic>
      <xdr:nvPicPr>
        <xdr:cNvPr id="15" name="Picture 8">
          <a:extLst>
            <a:ext uri="{FF2B5EF4-FFF2-40B4-BE49-F238E27FC236}">
              <a16:creationId xmlns:a16="http://schemas.microsoft.com/office/drawing/2014/main" id="{D2A34458-892B-40E5-AFA5-241E512B7D17}"/>
            </a:ext>
            <a:ext uri="{147F2762-F138-4A5C-976F-8EAC2B608ADB}">
              <a16:predDERef xmlns:a16="http://schemas.microsoft.com/office/drawing/2014/main" pred="{6304E136-31F9-463E-B121-41F999E0DF0E}"/>
            </a:ext>
          </a:extLst>
        </xdr:cNvPr>
        <xdr:cNvPicPr>
          <a:picLocks noChangeAspect="1"/>
        </xdr:cNvPicPr>
      </xdr:nvPicPr>
      <xdr:blipFill>
        <a:blip xmlns:r="http://schemas.openxmlformats.org/officeDocument/2006/relationships" r:embed="rId4"/>
        <a:stretch>
          <a:fillRect/>
        </a:stretch>
      </xdr:blipFill>
      <xdr:spPr>
        <a:xfrm>
          <a:off x="285750" y="4381500"/>
          <a:ext cx="1581150" cy="923925"/>
        </a:xfrm>
        <a:prstGeom prst="rect">
          <a:avLst/>
        </a:prstGeom>
      </xdr:spPr>
    </xdr:pic>
    <xdr:clientData/>
  </xdr:twoCellAnchor>
  <xdr:twoCellAnchor editAs="oneCell">
    <xdr:from>
      <xdr:col>1</xdr:col>
      <xdr:colOff>200025</xdr:colOff>
      <xdr:row>2</xdr:row>
      <xdr:rowOff>38100</xdr:rowOff>
    </xdr:from>
    <xdr:to>
      <xdr:col>1</xdr:col>
      <xdr:colOff>1905000</xdr:colOff>
      <xdr:row>2</xdr:row>
      <xdr:rowOff>990600</xdr:rowOff>
    </xdr:to>
    <xdr:pic>
      <xdr:nvPicPr>
        <xdr:cNvPr id="11" name="Picture 10">
          <a:extLst>
            <a:ext uri="{FF2B5EF4-FFF2-40B4-BE49-F238E27FC236}">
              <a16:creationId xmlns:a16="http://schemas.microsoft.com/office/drawing/2014/main" id="{F35C6166-A3B6-A20E-CF19-008C434E1240}"/>
            </a:ext>
            <a:ext uri="{147F2762-F138-4A5C-976F-8EAC2B608ADB}">
              <a16:predDERef xmlns:a16="http://schemas.microsoft.com/office/drawing/2014/main" pred="{D2A34458-892B-40E5-AFA5-241E512B7D17}"/>
            </a:ext>
          </a:extLst>
        </xdr:cNvPr>
        <xdr:cNvPicPr>
          <a:picLocks noChangeAspect="1"/>
        </xdr:cNvPicPr>
      </xdr:nvPicPr>
      <xdr:blipFill>
        <a:blip xmlns:r="http://schemas.openxmlformats.org/officeDocument/2006/relationships" r:embed="rId5"/>
        <a:stretch>
          <a:fillRect/>
        </a:stretch>
      </xdr:blipFill>
      <xdr:spPr>
        <a:xfrm>
          <a:off x="228600" y="1266825"/>
          <a:ext cx="1704975" cy="952500"/>
        </a:xfrm>
        <a:prstGeom prst="rect">
          <a:avLst/>
        </a:prstGeom>
      </xdr:spPr>
    </xdr:pic>
    <xdr:clientData/>
  </xdr:twoCellAnchor>
  <xdr:twoCellAnchor editAs="oneCell">
    <xdr:from>
      <xdr:col>1</xdr:col>
      <xdr:colOff>142875</xdr:colOff>
      <xdr:row>3</xdr:row>
      <xdr:rowOff>104775</xdr:rowOff>
    </xdr:from>
    <xdr:to>
      <xdr:col>1</xdr:col>
      <xdr:colOff>1962150</xdr:colOff>
      <xdr:row>3</xdr:row>
      <xdr:rowOff>942975</xdr:rowOff>
    </xdr:to>
    <xdr:pic>
      <xdr:nvPicPr>
        <xdr:cNvPr id="16" name="Picture 15">
          <a:extLst>
            <a:ext uri="{FF2B5EF4-FFF2-40B4-BE49-F238E27FC236}">
              <a16:creationId xmlns:a16="http://schemas.microsoft.com/office/drawing/2014/main" id="{369E77BE-6467-BD13-484E-7F573465359F}"/>
            </a:ext>
            <a:ext uri="{147F2762-F138-4A5C-976F-8EAC2B608ADB}">
              <a16:predDERef xmlns:a16="http://schemas.microsoft.com/office/drawing/2014/main" pred="{F35C6166-A3B6-A20E-CF19-008C434E1240}"/>
            </a:ext>
          </a:extLst>
        </xdr:cNvPr>
        <xdr:cNvPicPr>
          <a:picLocks noChangeAspect="1"/>
        </xdr:cNvPicPr>
      </xdr:nvPicPr>
      <xdr:blipFill>
        <a:blip xmlns:r="http://schemas.openxmlformats.org/officeDocument/2006/relationships" r:embed="rId6"/>
        <a:stretch>
          <a:fillRect/>
        </a:stretch>
      </xdr:blipFill>
      <xdr:spPr>
        <a:xfrm>
          <a:off x="171450" y="2352675"/>
          <a:ext cx="1819275" cy="838200"/>
        </a:xfrm>
        <a:prstGeom prst="rect">
          <a:avLst/>
        </a:prstGeom>
      </xdr:spPr>
    </xdr:pic>
    <xdr:clientData/>
  </xdr:twoCellAnchor>
  <xdr:twoCellAnchor editAs="oneCell">
    <xdr:from>
      <xdr:col>1</xdr:col>
      <xdr:colOff>190500</xdr:colOff>
      <xdr:row>4</xdr:row>
      <xdr:rowOff>19050</xdr:rowOff>
    </xdr:from>
    <xdr:to>
      <xdr:col>1</xdr:col>
      <xdr:colOff>1933575</xdr:colOff>
      <xdr:row>4</xdr:row>
      <xdr:rowOff>1019175</xdr:rowOff>
    </xdr:to>
    <xdr:pic>
      <xdr:nvPicPr>
        <xdr:cNvPr id="17" name="Picture 16">
          <a:extLst>
            <a:ext uri="{FF2B5EF4-FFF2-40B4-BE49-F238E27FC236}">
              <a16:creationId xmlns:a16="http://schemas.microsoft.com/office/drawing/2014/main" id="{39B5BA9C-80F8-4829-66B8-B5D7396CA548}"/>
            </a:ext>
            <a:ext uri="{147F2762-F138-4A5C-976F-8EAC2B608ADB}">
              <a16:predDERef xmlns:a16="http://schemas.microsoft.com/office/drawing/2014/main" pred="{369E77BE-6467-BD13-484E-7F573465359F}"/>
            </a:ext>
          </a:extLst>
        </xdr:cNvPr>
        <xdr:cNvPicPr>
          <a:picLocks noChangeAspect="1"/>
        </xdr:cNvPicPr>
      </xdr:nvPicPr>
      <xdr:blipFill>
        <a:blip xmlns:r="http://schemas.openxmlformats.org/officeDocument/2006/relationships" r:embed="rId7"/>
        <a:stretch>
          <a:fillRect/>
        </a:stretch>
      </xdr:blipFill>
      <xdr:spPr>
        <a:xfrm>
          <a:off x="219075" y="3305175"/>
          <a:ext cx="1743075" cy="10001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18</xdr:col>
      <xdr:colOff>262618</xdr:colOff>
      <xdr:row>1</xdr:row>
      <xdr:rowOff>112145</xdr:rowOff>
    </xdr:from>
    <xdr:to>
      <xdr:col>22</xdr:col>
      <xdr:colOff>953521</xdr:colOff>
      <xdr:row>7</xdr:row>
      <xdr:rowOff>204220</xdr:rowOff>
    </xdr:to>
    <xdr:graphicFrame macro="">
      <xdr:nvGraphicFramePr>
        <xdr:cNvPr id="5" name="Gráfico 8">
          <a:extLst>
            <a:ext uri="{FF2B5EF4-FFF2-40B4-BE49-F238E27FC236}">
              <a16:creationId xmlns:a16="http://schemas.microsoft.com/office/drawing/2014/main" id="{834A8E00-B31D-EC7A-4166-66F40E6412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281667</xdr:colOff>
      <xdr:row>8</xdr:row>
      <xdr:rowOff>95703</xdr:rowOff>
    </xdr:from>
    <xdr:to>
      <xdr:col>22</xdr:col>
      <xdr:colOff>967127</xdr:colOff>
      <xdr:row>13</xdr:row>
      <xdr:rowOff>87766</xdr:rowOff>
    </xdr:to>
    <xdr:graphicFrame macro="">
      <xdr:nvGraphicFramePr>
        <xdr:cNvPr id="4" name="Gráfico 9">
          <a:extLst>
            <a:ext uri="{FF2B5EF4-FFF2-40B4-BE49-F238E27FC236}">
              <a16:creationId xmlns:a16="http://schemas.microsoft.com/office/drawing/2014/main" id="{CF12CB32-795F-7528-355F-ABE1EF8A57CA}"/>
            </a:ext>
            <a:ext uri="{147F2762-F138-4A5C-976F-8EAC2B608ADB}">
              <a16:predDERef xmlns:a16="http://schemas.microsoft.com/office/drawing/2014/main" pred="{834A8E00-B31D-EC7A-4166-66F40E6412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294254</xdr:colOff>
      <xdr:row>14</xdr:row>
      <xdr:rowOff>50688</xdr:rowOff>
    </xdr:from>
    <xdr:to>
      <xdr:col>22</xdr:col>
      <xdr:colOff>979714</xdr:colOff>
      <xdr:row>20</xdr:row>
      <xdr:rowOff>134825</xdr:rowOff>
    </xdr:to>
    <xdr:graphicFrame macro="">
      <xdr:nvGraphicFramePr>
        <xdr:cNvPr id="3" name="Gráfico 10">
          <a:extLst>
            <a:ext uri="{FF2B5EF4-FFF2-40B4-BE49-F238E27FC236}">
              <a16:creationId xmlns:a16="http://schemas.microsoft.com/office/drawing/2014/main" id="{E53AAB4F-BCF1-AFDB-6C67-D6DB06F29436}"/>
            </a:ext>
            <a:ext uri="{147F2762-F138-4A5C-976F-8EAC2B608ADB}">
              <a16:predDERef xmlns:a16="http://schemas.microsoft.com/office/drawing/2014/main" pred="{CF12CB32-795F-7528-355F-ABE1EF8A57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283368</xdr:colOff>
      <xdr:row>21</xdr:row>
      <xdr:rowOff>141743</xdr:rowOff>
    </xdr:from>
    <xdr:to>
      <xdr:col>22</xdr:col>
      <xdr:colOff>968828</xdr:colOff>
      <xdr:row>29</xdr:row>
      <xdr:rowOff>29030</xdr:rowOff>
    </xdr:to>
    <xdr:graphicFrame macro="">
      <xdr:nvGraphicFramePr>
        <xdr:cNvPr id="2" name="Gráfico 11">
          <a:extLst>
            <a:ext uri="{FF2B5EF4-FFF2-40B4-BE49-F238E27FC236}">
              <a16:creationId xmlns:a16="http://schemas.microsoft.com/office/drawing/2014/main" id="{278A061F-1821-F77F-C4FB-83DCDAE4858D}"/>
            </a:ext>
            <a:ext uri="{147F2762-F138-4A5C-976F-8EAC2B608ADB}">
              <a16:predDERef xmlns:a16="http://schemas.microsoft.com/office/drawing/2014/main" pred="{E53AAB4F-BCF1-AFDB-6C67-D6DB06F294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gabri\Desktop\ISEG\Lisbon%20Investment%20Society\Head%20ER\Assumptions%20sheet-%20Dami&#227;o.xlsx" TargetMode="External"/><Relationship Id="rId1" Type="http://schemas.openxmlformats.org/officeDocument/2006/relationships/externalLinkPath" Target="file:///C:\Users\gabri\Desktop\ISEG\Lisbon%20Investment%20Society\Head%20ER\Assumptions%20sheet-%20Dami&#227;o.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rmenegildo%20Zegna%20Group%20(ZGN)%2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
      <sheetName val="Segments"/>
      <sheetName val="Acuerdo"/>
      <sheetName val="Peers"/>
      <sheetName val="ESG"/>
      <sheetName val="DCF"/>
      <sheetName val="Assum."/>
      <sheetName val="Fin. Data"/>
      <sheetName val="Fin. Data (Common Size)"/>
      <sheetName val="Inputs"/>
      <sheetName val="Sector Impa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
      <sheetName val="Segments"/>
    </sheetNames>
    <sheetDataSet>
      <sheetData sheetId="0">
        <row r="20">
          <cell r="J20">
            <v>2023</v>
          </cell>
        </row>
      </sheetData>
      <sheetData sheetId="1">
        <row r="5">
          <cell r="C5" t="str">
            <v>EMEA(excuding Italy and UK)</v>
          </cell>
          <cell r="D5">
            <v>257300</v>
          </cell>
        </row>
        <row r="6">
          <cell r="C6" t="str">
            <v>Italy</v>
          </cell>
          <cell r="D6">
            <v>304700</v>
          </cell>
        </row>
        <row r="7">
          <cell r="C7" t="str">
            <v>Japan</v>
          </cell>
          <cell r="D7">
            <v>91910</v>
          </cell>
        </row>
        <row r="8">
          <cell r="C8" t="str">
            <v>Greater china region</v>
          </cell>
          <cell r="D8">
            <v>644000</v>
          </cell>
        </row>
        <row r="9">
          <cell r="C9" t="str">
            <v>United States</v>
          </cell>
          <cell r="D9">
            <v>415800</v>
          </cell>
        </row>
        <row r="10">
          <cell r="C10" t="str">
            <v>other</v>
          </cell>
          <cell r="D10">
            <v>346290</v>
          </cell>
        </row>
        <row r="18">
          <cell r="C18" t="str">
            <v>Zegma branded products</v>
          </cell>
          <cell r="D18">
            <v>1199770</v>
          </cell>
        </row>
        <row r="19">
          <cell r="C19" t="str">
            <v>Thom Browne</v>
          </cell>
          <cell r="D19">
            <v>409200</v>
          </cell>
        </row>
        <row r="20">
          <cell r="C20" t="str">
            <v>Tom Ford Fashion</v>
          </cell>
          <cell r="D20">
            <v>254700</v>
          </cell>
        </row>
        <row r="21">
          <cell r="C21" t="str">
            <v>Strategic Alliances</v>
          </cell>
          <cell r="D21"/>
        </row>
        <row r="22">
          <cell r="C22" t="str">
            <v>Other</v>
          </cell>
          <cell r="D22">
            <v>5180</v>
          </cell>
        </row>
        <row r="23">
          <cell r="C23" t="str">
            <v>Textile</v>
          </cell>
          <cell r="D23">
            <v>163270</v>
          </cell>
        </row>
      </sheetData>
    </sheetDataSet>
  </externalBook>
</externalLink>
</file>

<file path=xl/persons/person.xml><?xml version="1.0" encoding="utf-8"?>
<personList xmlns="http://schemas.microsoft.com/office/spreadsheetml/2018/threadedcomments" xmlns:x="http://schemas.openxmlformats.org/spreadsheetml/2006/main">
  <person displayName="DAVID FILIPE DE SOUSA TITA" id="{6D2C5BD9-1C3E-4972-9F97-1CA81A3CC14E}" userId="S::david.tita@aln.iseg.ulisboa.pt::2b554b1a-dfdf-4fc2-8414-05963e9f059c"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18">
  <rv s="0">
    <v>https://www.bing.com/financeapi/forcetrigger?t=c4jnur&amp;q=XNYS%3aZGN&amp;form=skydnc</v>
    <v>Learn more on Bing</v>
  </rv>
  <rv s="1">
    <v>en</v>
    <v>c4jnur</v>
    <v>268435456</v>
    <v>1</v>
    <v>Powered by Refinitiv</v>
    <v>0</v>
    <v>Ermenegildo Zegna NV (XNYS:ZGN)</v>
    <v>2</v>
    <v>3</v>
    <v>Finance</v>
    <v>4</v>
    <v>9.99</v>
    <v>6.05</v>
    <v>0.83409999999999995</v>
    <v>-0.06</v>
    <v>-6.3160000000000004E-3</v>
    <v>USD</v>
    <v>Ermenegildo Zegna NV is an Italy-based manufacturer of high-end menswear and accessories. The Company focuses on producing different kinds of apparel, including outerwear such as jackets, suits, blazers, shirts, pants and jeans, as well as shoes, sportswear and accessories. The Company is active worldwide.</v>
    <v>7185</v>
    <v>New York Stock Exchange</v>
    <v>XNYS</v>
    <v>XNYS</v>
    <v>via Savona 56A, MILANO, MILANO IT</v>
    <v>9.49</v>
    <v>Textiles &amp; Apparel</v>
    <v>Stock</v>
    <v>45922.958333356248</v>
    <v>0</v>
    <v>9.2750000000000004</v>
    <v>2398603936</v>
    <v>Ermenegildo Zegna NV</v>
    <v>Ermenegildo Zegna NV</v>
    <v>9.42</v>
    <v>21.433499999999999</v>
    <v>9.5</v>
    <v>9.44</v>
    <v>254089400</v>
    <v>ZGN</v>
    <v>Ermenegildo Zegna NV (XNYS:ZGN)</v>
    <v>1</v>
    <v>838524</v>
  </rv>
  <rv s="2">
    <v>1</v>
  </rv>
  <rv s="0">
    <v>https://www.bing.com/financeapi/forcetrigger?t=aje6a2&amp;q=XMIL%3aBC&amp;form=skydnc</v>
    <v>Learn more on Bing</v>
  </rv>
  <rv s="1">
    <v>en-US</v>
    <v>aje6a2</v>
    <v>268435456</v>
    <v>1</v>
    <v>Powered by Refinitiv</v>
    <v>0</v>
    <v>Brunello Cucinelli SpA (XMIL:BC)</v>
    <v>2</v>
    <v>5</v>
    <v>Finance</v>
    <v>6</v>
    <v>133.4</v>
    <v>80.900000000000006</v>
    <v>1.0178</v>
    <v>3.15</v>
    <v>3.0494E-2</v>
    <v>EUR</v>
    <v>Brunello Cucinelli SpA is an Italy-based company engaged in the fashion industry. The Company designs, manufactures and sells clothing for woman and men, cashmere products and accessories collections. Its product portfolio includes knitwear, coats and jackets, leather clothing items, suits, dresses, shirts, blouses, trousers, accessories and other leather goods. The Company markets its products through direct retail channel; wholesale monobrand channel, consisting of franchised monobrand retail stores, and wholesale multibrand channel, which includes department and independent multibrand stores. The Company is active globally</v>
    <v>3283</v>
    <v>Borsa Italiana</v>
    <v>XMIL</v>
    <v>XMIL</v>
    <v>Viale Parco dell'Industria, 5, Solomeo, CORCIANO, PERUGIA, 06073 IT</v>
    <v>106.55</v>
    <v>Textiles &amp; Apparel</v>
    <v>Stock</v>
    <v>45923.525902777779</v>
    <v>3</v>
    <v>103.15</v>
    <v>7024400000</v>
    <v>Brunello Cucinelli SpA</v>
    <v>Brunello Cucinelli SpA</v>
    <v>103.5</v>
    <v>60.582799999999999</v>
    <v>103.3</v>
    <v>106.45</v>
    <v>68000000</v>
    <v>BC</v>
    <v>Brunello Cucinelli SpA (XMIL:BC)</v>
    <v>98126</v>
    <v>193940</v>
  </rv>
  <rv s="2">
    <v>4</v>
  </rv>
  <rv s="0">
    <v>https://www.bing.com/financeapi/forcetrigger?t=ajfy27&amp;q=XMIL%3aMONC&amp;form=skydnc</v>
    <v>Learn more on Bing</v>
  </rv>
  <rv s="3">
    <v>en-US</v>
    <v>ajfy27</v>
    <v>268435456</v>
    <v>1</v>
    <v>Powered by Refinitiv</v>
    <v>7</v>
    <v>Moncler SpA (XMIL:MONC)</v>
    <v>2</v>
    <v>8</v>
    <v>Finance</v>
    <v>6</v>
    <v>70.48</v>
    <v>45.46</v>
    <v>1.0474000000000001</v>
    <v>1.68</v>
    <v>3.3267000000000005E-2</v>
    <v>EUR</v>
    <v>Moncler SpA is an Italy-based company engaged in fashion industry. The Company designs, produces and distributes clothing and accessories through Moncler brand. Moncler SpA manufactures collections for women, men and children. The Company offers mainly sportswear, outerwear, knitwear and skiwear, including jackets, shoes, sweaters, trousers, bags, shirts, tops, gloves, hats and sunglasses, among others. Moncler SpA trades its products through approximately 122 stores, as well as through the wholesale distribution channel. Moncler SpA operates in approximately 66 countries, including Austria, France, Germany, Switzerland, Turkey, China, Hong Kong, Japan, Taiwan and the United States, among others.</v>
    <v>8175</v>
    <v>Borsa Italiana</v>
    <v>XMIL</v>
    <v>XMIL</v>
    <v>Via Venezia, 1, TREBASELEGHE, PADOVA, 35010 IT</v>
    <v>52.26</v>
    <v>Textiles &amp; Apparel</v>
    <v>Stock</v>
    <v>45923.526030092595</v>
    <v>6</v>
    <v>50.18</v>
    <v>13877700000</v>
    <v>Moncler SpA</v>
    <v>Moncler SpA</v>
    <v>50.3</v>
    <v>22.072800000000001</v>
    <v>50.5</v>
    <v>52.18</v>
    <v>274805900</v>
    <v>MONC</v>
    <v>Moncler SpA (XMIL:MONC)</v>
    <v>542825</v>
    <v>1073640</v>
    <v>2004</v>
  </rv>
  <rv s="2">
    <v>7</v>
  </rv>
  <rv s="0">
    <v>https://www.bing.com/financeapi/forcetrigger?t=a2yonm&amp;q=OTCM%3aTODGF&amp;form=skydnc</v>
    <v>Learn more on Bing</v>
  </rv>
  <rv s="4">
    <v>en-US</v>
    <v>a2yonm</v>
    <v>268435456</v>
    <v>1</v>
    <v>Powered by Refinitiv</v>
    <v>9</v>
    <v>Tod's SpA (OTCM:TODGF)</v>
    <v>2</v>
    <v>10</v>
    <v>Finance</v>
    <v>11</v>
    <v>43.65</v>
    <v>36.664000000000001</v>
    <v>0.83450000000000002</v>
    <v>0</v>
    <v>0</v>
    <v>USD</v>
    <v>Tod's SpA is an Italy-based holding company. The Company, through its subsidiaries, is primarily engaged in creation, production and distribution of shoes, leather goods and accessories, apparel. The Company operates in the luxury sector under brands, such as TOD'S, ROGER VIVIER, HOGAN and FAY. The Company produces shoes and leather goods in its plants, with partial outsourcing to specialized workshops. The Company offers its products to customers through a network of specialized stores. The Company relies on approximately three channels: directly operated stores (DOS), franchised retail outlets, as well as a series of selected, independent multiband stores. The TOD'S brand offers shoes and luxury leather goods. ROGER VIVIER brand offers shoes, handbags, small leather goods, jewellery, as well as sunglasses. HOGAN brand offers shoe collections for women, men, children, as well as crafts various leather goods items. FAY brand offers a product range of casual wear for men and women.</v>
    <v>5076</v>
    <v>OTC Markets</v>
    <v>OTCM</v>
    <v>OTCM</v>
    <v>Via Filippo Della Valle, 1, SANT ELPIDIO A MARE, FERMO, 63811 IT</v>
    <v>37.65</v>
    <v>Textiles &amp; Apparel</v>
    <v>Stock</v>
    <v>45268.817591921092</v>
    <v>9</v>
    <v>37.65</v>
    <v>1127166000</v>
    <v>Tod's SpA</v>
    <v>Tod's SpA</v>
    <v>37.65</v>
    <v>36.69</v>
    <v>37.65</v>
    <v>33093540</v>
    <v>TODGF</v>
    <v>Tod's SpA (OTCM:TODGF)</v>
    <v>8400</v>
    <v>7240</v>
  </rv>
  <rv s="2">
    <v>10</v>
  </rv>
  <rv s="0">
    <v>https://www.bing.com/financeapi/forcetrigger?t=a2spa2&amp;q=OTCM%3aPRDSF&amp;form=skydnc</v>
    <v>Learn more on Bing</v>
  </rv>
  <rv s="1">
    <v>en-US</v>
    <v>a2spa2</v>
    <v>268435456</v>
    <v>1</v>
    <v>Powered by Refinitiv</v>
    <v>0</v>
    <v>Prada SpA (OTCM:PRDSF)</v>
    <v>2</v>
    <v>12</v>
    <v>Finance</v>
    <v>11</v>
    <v>9.32</v>
    <v>5</v>
    <v>0.60199999999999998</v>
    <v>-0.02</v>
    <v>-3.4480000000000001E-3</v>
    <v>USD</v>
    <v>Prada SpA is an Italy-based company engaged in fashion industry. The Company is a parent of the Prada Group. The Company, along with its subsidiaries, is engaged in the design, production and distribution of leather goods, handbags, clothing, eyewear, fragrances, footwear and accessories. Prada SpA manufactures jackets, trousers, skirts, dresses, sweaters, blouses, as well as perfumes and watches, among others. The Company trades its products through several brands, such as Prada, Miu Miu, The Church and The Car Shoe. Prada SpA operates in approximately 70 countries through directly operated stores, franchise operated stores, a network of selected multi-brand stores and department stores. Prada Spa operates through a numerous subsidiaries, including Artisans Shoes Srl, Angelo Marchesi Srl, Prada Far East BV, Tannerie Megisserie Hervy SAS and Prada SA, among others.</v>
    <v>15306</v>
    <v>OTC Markets</v>
    <v>OTCM</v>
    <v>OTCM</v>
    <v>via Antonio Fogazzaro, 28, MILANO, MILANO, 20135 IT</v>
    <v>5.8520000000000003</v>
    <v>Textiles &amp; Apparel</v>
    <v>Stock</v>
    <v>45920.006944444445</v>
    <v>12</v>
    <v>5.78</v>
    <v>120264700000</v>
    <v>Prada SpA</v>
    <v>Prada SpA</v>
    <v>5.8520000000000003</v>
    <v>14.9161</v>
    <v>5.8</v>
    <v>5.78</v>
    <v>2558824000</v>
    <v>PRDSF</v>
    <v>Prada SpA (OTCM:PRDSF)</v>
    <v>2299</v>
    <v>1820530</v>
  </rv>
  <rv s="2">
    <v>13</v>
  </rv>
  <rv s="0">
    <v>https://www.bing.com/financeapi/forcetrigger?t=af5q3m&amp;q=XFRA%3aBOSS&amp;form=skydnc</v>
    <v>Learn more on Bing</v>
  </rv>
  <rv s="3">
    <v>en-US</v>
    <v>af5q3m</v>
    <v>268435456</v>
    <v>1</v>
    <v>Powered by Refinitiv</v>
    <v>7</v>
    <v>Hugo Boss AG (XFRA:BOSS)</v>
    <v>2</v>
    <v>8</v>
    <v>Finance</v>
    <v>11</v>
    <v>81.400000000000006</v>
    <v>19.2</v>
    <v>1.0395000000000001</v>
    <v>-0.04</v>
    <v>-9.6390000000000006E-4</v>
    <v>EUR</v>
    <v>Hugo Boss AG is a Germany-based developer and marketer of men's and women's clothing and accessories for the international fashion market. Its product portfolio comprises apparel, eveningwear and sportswear, as well as shoes and leather accessories, licensed fragrances, eyewear, watches, children’s fashion, home textiles and writing instruments. The Company's brand portfolio comprises BOSS, BOSS Orange, Camel, Green, Black, Blue and HUGO and others: BOSS comprises business wear, leisurewear and evening apparel, as well as watches, eyewear and fragrances; BOSS Orange and BOSS Camel focuses on womenswear; BOSS Green comprises sportswear and BOSS Black focuses on modern tailoring, BOSS Blue focuses on denimwear, HUGO provides apparel for both business and leisure, as well as shoes, accessories and licensed fragrances.</v>
    <v>18262</v>
    <v>Deutsche Boerse AG</v>
    <v>XFRA</v>
    <v>XFRA</v>
    <v>Holy-Allee 3, METZINGEN, BADEN-WUERTTEMBERG, 72555 DE</v>
    <v>41.46</v>
    <v>Textiles &amp; Apparel</v>
    <v>Stock</v>
    <v>45923.525694444441</v>
    <v>15</v>
    <v>41.46</v>
    <v>2923712000</v>
    <v>Hugo Boss AG</v>
    <v>Hugo Boss AG</v>
    <v>41.46</v>
    <v>13.037699999999999</v>
    <v>41.5</v>
    <v>41.46</v>
    <v>70400000</v>
    <v>BOSS</v>
    <v>Hugo Boss AG (XFRA:BOSS)</v>
    <v>100</v>
    <v>251440</v>
    <v>1948</v>
  </rv>
  <rv s="2">
    <v>16</v>
  </rv>
</rvData>
</file>

<file path=xl/richData/rdrichvaluestructure.xml><?xml version="1.0" encoding="utf-8"?>
<rvStructures xmlns="http://schemas.microsoft.com/office/spreadsheetml/2017/richdata" count="5">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s>
  <s t="_linkedentity">
    <k n="%cvi" t="r"/>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Volume average"/>
  </s>
</rvStructures>
</file>

<file path=xl/richData/rdsupportingpropertybag.xml><?xml version="1.0" encoding="utf-8"?>
<supportingPropertyBags xmlns="http://schemas.microsoft.com/office/spreadsheetml/2017/richdata2">
  <spbArrays count="3">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_Flags</v>
      <v t="s">UniqueName</v>
      <v t="s">_DisplayString</v>
      <v t="s">LearnMoreOnLink</v>
      <v t="s">ExchangeID</v>
      <v t="s">%ProviderInfo</v>
    </a>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_Flags</v>
      <v t="s">UniqueName</v>
      <v t="s">_DisplayString</v>
      <v t="s">LearnMoreOnLink</v>
      <v t="s">ExchangeID</v>
      <v t="s">%ProviderInfo</v>
    </a>
  </spbArrays>
  <spbData count="13">
    <spb s="0">
      <v>0</v>
      <v>Name</v>
      <v>LearnMoreOnLink</v>
    </spb>
    <spb s="1">
      <v>0</v>
      <v>0</v>
      <v>0</v>
    </spb>
    <spb s="2">
      <v>1</v>
      <v>1</v>
      <v>1</v>
      <v>1</v>
    </spb>
    <spb s="3">
      <v>1</v>
      <v>2</v>
      <v>2</v>
      <v>1</v>
      <v>3</v>
      <v>1</v>
      <v>1</v>
      <v>1</v>
      <v>4</v>
      <v>4</v>
      <v>5</v>
      <v>6</v>
      <v>1</v>
      <v>1</v>
      <v>1</v>
      <v>4</v>
      <v>7</v>
      <v>8</v>
      <v>4</v>
    </spb>
    <spb s="4">
      <v>Delayed 15 minutes</v>
      <v>from previous close</v>
      <v>from previous close</v>
      <v>Source: Nasdaq</v>
      <v>GMT</v>
    </spb>
    <spb s="3">
      <v>9</v>
      <v>2</v>
      <v>2</v>
      <v>9</v>
      <v>3</v>
      <v>9</v>
      <v>9</v>
      <v>9</v>
      <v>4</v>
      <v>4</v>
      <v>5</v>
      <v>10</v>
      <v>9</v>
      <v>9</v>
      <v>9</v>
      <v>4</v>
      <v>7</v>
      <v>8</v>
      <v>4</v>
    </spb>
    <spb s="4">
      <v>Delayed 15 minutes</v>
      <v>from previous close</v>
      <v>from previous close</v>
      <v>Borsa Italia</v>
      <v>GMT</v>
    </spb>
    <spb s="0">
      <v>1</v>
      <v>Name</v>
      <v>LearnMoreOnLink</v>
    </spb>
    <spb s="5">
      <v>9</v>
      <v>2</v>
      <v>2</v>
      <v>9</v>
      <v>3</v>
      <v>9</v>
      <v>9</v>
      <v>9</v>
      <v>4</v>
      <v>4</v>
      <v>5</v>
      <v>10</v>
      <v>9</v>
      <v>9</v>
      <v>9</v>
      <v>4</v>
      <v>7</v>
      <v>11</v>
      <v>8</v>
      <v>4</v>
    </spb>
    <spb s="0">
      <v>2</v>
      <v>Name</v>
      <v>LearnMoreOnLink</v>
    </spb>
    <spb s="6">
      <v>1</v>
      <v>2</v>
      <v>1</v>
      <v>3</v>
      <v>1</v>
      <v>1</v>
      <v>1</v>
      <v>4</v>
      <v>4</v>
      <v>5</v>
      <v>10</v>
      <v>1</v>
      <v>1</v>
      <v>1</v>
      <v>4</v>
      <v>7</v>
      <v>8</v>
      <v>4</v>
    </spb>
    <spb s="7">
      <v>Delayed 15 minutes</v>
      <v>from previous close</v>
      <v>from previous close</v>
      <v>GMT</v>
    </spb>
    <spb s="3">
      <v>1</v>
      <v>2</v>
      <v>2</v>
      <v>1</v>
      <v>3</v>
      <v>1</v>
      <v>1</v>
      <v>1</v>
      <v>4</v>
      <v>4</v>
      <v>5</v>
      <v>12</v>
      <v>1</v>
      <v>1</v>
      <v>1</v>
      <v>4</v>
      <v>7</v>
      <v>8</v>
      <v>4</v>
    </spb>
  </spbData>
</supportingPropertyBags>
</file>

<file path=xl/richData/rdsupportingpropertybagstructure.xml><?xml version="1.0" encoding="utf-8"?>
<spbStructures xmlns="http://schemas.microsoft.com/office/spreadsheetml/2017/richdata2" count="8">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EntityServiceId" t="i"/>
    <k n="Shares outstanding" t="i"/>
  </s>
  <s>
    <k n="Price" t="s"/>
    <k n="Change" t="s"/>
    <k n="Change (%)" t="s"/>
    <k n="ExchangeID" t="s"/>
    <k n="Last trade time" t="s"/>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Low" t="i"/>
    <k n="Beta" t="i"/>
    <k n="High" t="i"/>
    <k n="Name" t="i"/>
    <k n="Open" t="i"/>
    <k n="Price" t="i"/>
    <k n="Change" t="i"/>
    <k n="Volume" t="i"/>
    <k n="Employees" t="i"/>
    <k n="Change (%)" t="i"/>
    <k n="Market cap" t="i"/>
    <k n="52 week low" t="i"/>
    <k n="52 week high" t="i"/>
    <k n="Previous close" t="i"/>
    <k n="Volume average" t="i"/>
    <k n="Last trade time" t="i"/>
    <k n="`%EntityServiceId" t="i"/>
    <k n="Shares outstanding" t="i"/>
  </s>
  <s>
    <k n="Price" t="s"/>
    <k n="Change" t="s"/>
    <k n="Change (%)" t="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14" formatCode="0.00%"/>
    </x:dxf>
    <x:dxf>
      <x:numFmt numFmtId="0" formatCode="General"/>
    </x:dxf>
    <x:dxf>
      <x:numFmt numFmtId="27" formatCode="m/d/yyyy\ h:mm"/>
    </x:dxf>
    <x:dxf>
      <x:numFmt numFmtId="2" formatCode="0.00"/>
    </x:dxf>
    <x:dxf>
      <x:numFmt numFmtId="3" formatCode="#,##0"/>
    </x:dxf>
    <x:dxf>
      <x:numFmt numFmtId="4" formatCode="#,##0.00"/>
    </x:dxf>
    <x:dxf>
      <x:numFmt numFmtId="1" formatCode="0"/>
    </x:dxf>
  </dxfs>
  <richProperties>
    <rPr n="NumberFormat" t="s"/>
    <rPr n="IsTitleField" t="b"/>
  </richProperties>
  <richStyles>
    <rSty dxfid="1">
      <rpv i="0">_([$$-en-US]* #,##0.00_);_([$$-en-US]* (#,##0.00);_([$$-en-US]* "-"??_);_(@_)</rpv>
    </rSty>
    <rSty dxfid="5">
      <rpv i="0">#,##0.00</rpv>
    </rSty>
    <rSty>
      <rpv i="1">1</rpv>
    </rSty>
    <rSty dxfid="4">
      <rpv i="0">#,##0</rpv>
    </rSty>
    <rSty dxfid="0"/>
    <rSty dxfid="1">
      <rpv i="0">_([$$-en-US]* #,##0_);_([$$-en-US]* (#,##0);_([$$-en-US]* "-"_);_(@_)</rpv>
    </rSty>
    <rSty dxfid="2"/>
    <rSty dxfid="3">
      <rpv i="0">0.00</rpv>
    </rSty>
    <rSty dxfid="1">
      <rpv i="0">_([$€-x-euro2] * #,##0.00_);_([$€-x-euro2] * (#,##0.00);_([$€-x-euro2] * "-"??_);_(@_)</rpv>
    </rSty>
    <rSty dxfid="1">
      <rpv i="0">_([$€-x-euro2] * #,##0_);_([$€-x-euro2] * (#,##0);_([$€-x-euro2] * "-"_);_(@_)</rpv>
    </rSty>
    <rSty dxfid="6">
      <rpv i="0">0</rpv>
    </rSty>
    <rSty dxfid="1">
      <rpv i="0">_-[$$-en-HK]* #,##0_-;-[$$-en-HK]* #,##0_-;_-[$$-en-HK]* "-"_-;_-@_-</rpv>
    </rSty>
  </richStyles>
</richStyleSheet>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2" dT="2023-03-05T23:56:38.75" personId="{6D2C5BD9-1C3E-4972-9F97-1CA81A3CC14E}" id="{B8360AB7-5DB1-45D3-ABF9-3AFEF51621D6}">
    <text>Date of last update of the report</text>
  </threadedComment>
  <threadedComment ref="D2" dT="2023-03-05T23:56:06.54" personId="{6D2C5BD9-1C3E-4972-9F97-1CA81A3CC14E}" id="{D17B5162-9C54-4F03-8882-3A424C1A2E60}">
    <text>Insert the date when the company will issue their next quarter/annual report</text>
  </threadedComment>
  <threadedComment ref="L2" dT="2023-03-05T23:56:59.28" personId="{6D2C5BD9-1C3E-4972-9F97-1CA81A3CC14E}" id="{74106D0B-4568-4C95-B1A7-D780E3BD20D3}">
    <text>In what exchange the company is listed in (Input the main exchange)</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cognitivemarketresearch.com/affordable-luxury-fashion-market-report" TargetMode="External"/><Relationship Id="rId7" Type="http://schemas.openxmlformats.org/officeDocument/2006/relationships/comments" Target="../comments2.xml"/><Relationship Id="rId2" Type="http://schemas.openxmlformats.org/officeDocument/2006/relationships/hyperlink" Target="https://www.grandviewresearch.com/industry-analysis/luxury-goods-market-report" TargetMode="External"/><Relationship Id="rId1" Type="http://schemas.openxmlformats.org/officeDocument/2006/relationships/hyperlink" Target="https://www.statista.com/outlook/cmo/luxury-goods/luxury-fashion/luxury-apparel/worldwide" TargetMode="External"/><Relationship Id="rId6" Type="http://schemas.openxmlformats.org/officeDocument/2006/relationships/vmlDrawing" Target="../drawings/vmlDrawing2.vm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seekingalpha.com/article/4728358-ermenegildo-zegna-n-v-zgn-q3-2024-earnings-call-transcript" TargetMode="External"/><Relationship Id="rId1" Type="http://schemas.openxmlformats.org/officeDocument/2006/relationships/hyperlink" Target="https://www.sec.gov/ix?doc=/Archives/edgar/data/0001877787/000187778724000015/zgn-20231231.htm"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rgb="FF002060"/>
    <pageSetUpPr fitToPage="1"/>
  </sheetPr>
  <dimension ref="A1:S107"/>
  <sheetViews>
    <sheetView showGridLines="0" topLeftCell="A12" zoomScale="85" zoomScaleNormal="85" zoomScalePageLayoutView="40" workbookViewId="0">
      <selection activeCell="E45" sqref="E45"/>
    </sheetView>
  </sheetViews>
  <sheetFormatPr defaultColWidth="11.42578125" defaultRowHeight="12.6"/>
  <cols>
    <col min="1" max="1" width="2.42578125" customWidth="1"/>
    <col min="2" max="2" width="21.140625" bestFit="1" customWidth="1"/>
    <col min="3" max="3" width="23.42578125" customWidth="1"/>
    <col min="4" max="4" width="32" customWidth="1"/>
    <col min="5" max="5" width="20.42578125" bestFit="1" customWidth="1"/>
    <col min="6" max="6" width="17" bestFit="1" customWidth="1"/>
    <col min="7" max="7" width="13.42578125" bestFit="1" customWidth="1"/>
    <col min="8" max="8" width="24.85546875" customWidth="1"/>
    <col min="9" max="9" width="17.140625" customWidth="1"/>
    <col min="10" max="10" width="10.42578125" customWidth="1"/>
    <col min="11" max="11" width="13.7109375" customWidth="1"/>
    <col min="12" max="12" width="20.85546875" bestFit="1" customWidth="1"/>
    <col min="13" max="13" width="31" customWidth="1"/>
  </cols>
  <sheetData>
    <row r="1" spans="2:17" ht="3.75" customHeight="1" thickBot="1"/>
    <row r="2" spans="2:17" ht="22.5" customHeight="1">
      <c r="B2" s="611" t="s">
        <v>0</v>
      </c>
      <c r="C2" s="612" t="s">
        <v>1</v>
      </c>
      <c r="D2" s="623" t="s">
        <v>2</v>
      </c>
      <c r="E2" s="941" t="e" vm="1">
        <f>Inputs!H3</f>
        <v>#VALUE!</v>
      </c>
      <c r="F2" s="942"/>
      <c r="G2" s="942"/>
      <c r="H2" s="942"/>
      <c r="I2" s="942"/>
      <c r="J2" s="942"/>
      <c r="K2" s="943"/>
      <c r="L2" s="613" t="str" cm="1">
        <f t="array" aca="1" ref="L2" ca="1">_FV(E2,"Exchange")</f>
        <v>New York Stock Exchange</v>
      </c>
      <c r="M2" s="614" t="s">
        <v>3</v>
      </c>
    </row>
    <row r="3" spans="2:17" ht="26.25" customHeight="1">
      <c r="B3" s="885"/>
      <c r="C3" s="886"/>
      <c r="D3" s="951" t="s">
        <v>4</v>
      </c>
      <c r="E3" s="951"/>
      <c r="F3" s="951"/>
      <c r="G3" s="951"/>
      <c r="H3" s="952" t="s">
        <v>5</v>
      </c>
      <c r="I3" s="952"/>
      <c r="J3" s="953"/>
      <c r="K3" s="953"/>
      <c r="L3" s="952"/>
      <c r="M3" s="954"/>
    </row>
    <row r="4" spans="2:17" ht="12.95">
      <c r="B4" s="887"/>
      <c r="C4" s="888"/>
      <c r="D4" s="950" t="str" cm="1">
        <f t="array" aca="1" ref="D4" ca="1">_FV(Inputs!H3,"Description")</f>
        <v>Ermenegildo Zegna NV is an Italy-based manufacturer of high-end menswear and accessories. The Company focuses on producing different kinds of apparel, including outerwear such as jackets, suits, blazers, shirts, pants and jeans, as well as shoes, sportswear and accessories. The Company is active worldwide.</v>
      </c>
      <c r="E4" s="950"/>
      <c r="F4" s="950"/>
      <c r="G4" s="950"/>
      <c r="H4" s="110" t="s">
        <v>6</v>
      </c>
      <c r="I4" s="610" t="s">
        <v>7</v>
      </c>
      <c r="J4" s="844" t="s">
        <v>8</v>
      </c>
      <c r="K4" s="845"/>
      <c r="L4" s="850" t="s">
        <v>9</v>
      </c>
      <c r="M4" s="851"/>
    </row>
    <row r="5" spans="2:17" ht="24.95">
      <c r="B5" s="887"/>
      <c r="C5" s="888"/>
      <c r="D5" s="950"/>
      <c r="E5" s="950"/>
      <c r="F5" s="950"/>
      <c r="G5" s="950"/>
      <c r="H5" s="800" t="s">
        <v>10</v>
      </c>
      <c r="I5" s="798" t="s">
        <v>11</v>
      </c>
      <c r="J5" s="846" t="s">
        <v>12</v>
      </c>
      <c r="K5" s="847"/>
      <c r="L5" s="848" t="s">
        <v>13</v>
      </c>
      <c r="M5" s="852"/>
    </row>
    <row r="6" spans="2:17" ht="28.5" customHeight="1">
      <c r="B6" s="887"/>
      <c r="C6" s="888"/>
      <c r="D6" s="950"/>
      <c r="E6" s="950"/>
      <c r="F6" s="950"/>
      <c r="G6" s="950"/>
      <c r="H6" s="801" t="s">
        <v>14</v>
      </c>
      <c r="I6" s="799" t="s">
        <v>11</v>
      </c>
      <c r="J6" s="848" t="s">
        <v>15</v>
      </c>
      <c r="K6" s="849"/>
      <c r="L6" s="848" t="s">
        <v>16</v>
      </c>
      <c r="M6" s="852"/>
    </row>
    <row r="7" spans="2:17" ht="24.95">
      <c r="B7" s="887"/>
      <c r="C7" s="888"/>
      <c r="D7" s="950"/>
      <c r="E7" s="950"/>
      <c r="F7" s="950"/>
      <c r="G7" s="950"/>
      <c r="H7" s="801" t="s">
        <v>17</v>
      </c>
      <c r="I7" s="799" t="s">
        <v>11</v>
      </c>
      <c r="J7" s="848" t="s">
        <v>15</v>
      </c>
      <c r="K7" s="849"/>
      <c r="L7" s="853" t="s">
        <v>18</v>
      </c>
      <c r="M7" s="852"/>
    </row>
    <row r="8" spans="2:17">
      <c r="B8" s="887"/>
      <c r="C8" s="888"/>
      <c r="D8" s="950"/>
      <c r="E8" s="950"/>
      <c r="F8" s="950"/>
      <c r="G8" s="950"/>
      <c r="H8" s="801" t="s">
        <v>19</v>
      </c>
      <c r="I8" s="799" t="s">
        <v>20</v>
      </c>
      <c r="J8" s="848" t="s">
        <v>15</v>
      </c>
      <c r="K8" s="849"/>
      <c r="L8" s="853" t="s">
        <v>18</v>
      </c>
      <c r="M8" s="852"/>
    </row>
    <row r="9" spans="2:17" ht="24.95">
      <c r="B9" s="887"/>
      <c r="C9" s="888"/>
      <c r="D9" s="950"/>
      <c r="E9" s="950"/>
      <c r="F9" s="950"/>
      <c r="G9" s="950"/>
      <c r="H9" s="801" t="s">
        <v>21</v>
      </c>
      <c r="I9" s="799" t="s">
        <v>11</v>
      </c>
      <c r="J9" s="848" t="s">
        <v>15</v>
      </c>
      <c r="K9" s="849"/>
      <c r="L9" s="853" t="s">
        <v>18</v>
      </c>
      <c r="M9" s="852"/>
    </row>
    <row r="10" spans="2:17" ht="24.95">
      <c r="B10" s="887"/>
      <c r="C10" s="888"/>
      <c r="D10" s="950"/>
      <c r="E10" s="950"/>
      <c r="F10" s="950"/>
      <c r="G10" s="950"/>
      <c r="H10" s="801" t="s">
        <v>22</v>
      </c>
      <c r="I10" s="799" t="s">
        <v>11</v>
      </c>
      <c r="J10" s="848" t="s">
        <v>15</v>
      </c>
      <c r="K10" s="849"/>
      <c r="L10" s="853" t="s">
        <v>18</v>
      </c>
      <c r="M10" s="852"/>
    </row>
    <row r="11" spans="2:17">
      <c r="B11" s="887"/>
      <c r="C11" s="888"/>
      <c r="D11" s="950"/>
      <c r="E11" s="950"/>
      <c r="F11" s="950"/>
      <c r="G11" s="950"/>
      <c r="H11" s="801" t="s">
        <v>23</v>
      </c>
      <c r="I11" s="799" t="s">
        <v>20</v>
      </c>
      <c r="J11" s="848" t="s">
        <v>15</v>
      </c>
      <c r="K11" s="849"/>
      <c r="L11" s="848" t="s">
        <v>24</v>
      </c>
      <c r="M11" s="852"/>
    </row>
    <row r="12" spans="2:17">
      <c r="B12" s="887"/>
      <c r="C12" s="888"/>
      <c r="D12" s="950"/>
      <c r="E12" s="950"/>
      <c r="F12" s="950"/>
      <c r="G12" s="950"/>
      <c r="H12" s="801" t="s">
        <v>25</v>
      </c>
      <c r="I12" s="799" t="s">
        <v>11</v>
      </c>
      <c r="J12" s="848" t="s">
        <v>15</v>
      </c>
      <c r="K12" s="849"/>
      <c r="L12" s="848" t="s">
        <v>26</v>
      </c>
      <c r="M12" s="852"/>
      <c r="P12" s="352"/>
    </row>
    <row r="13" spans="2:17">
      <c r="B13" s="887"/>
      <c r="C13" s="888"/>
      <c r="D13" s="950"/>
      <c r="E13" s="950"/>
      <c r="F13" s="950"/>
      <c r="G13" s="950"/>
      <c r="H13" s="801" t="s">
        <v>27</v>
      </c>
      <c r="I13" s="799" t="s">
        <v>11</v>
      </c>
      <c r="J13" s="848" t="s">
        <v>15</v>
      </c>
      <c r="K13" s="849"/>
      <c r="L13" s="854" t="s">
        <v>28</v>
      </c>
      <c r="M13" s="855"/>
    </row>
    <row r="14" spans="2:17" ht="24" customHeight="1">
      <c r="B14" s="889"/>
      <c r="C14" s="890"/>
      <c r="D14" s="950"/>
      <c r="E14" s="950"/>
      <c r="F14" s="950"/>
      <c r="G14" s="950"/>
      <c r="H14" s="801" t="s">
        <v>29</v>
      </c>
      <c r="I14" s="799" t="s">
        <v>20</v>
      </c>
      <c r="J14" s="848" t="s">
        <v>15</v>
      </c>
      <c r="K14" s="849"/>
      <c r="L14" s="853" t="s">
        <v>18</v>
      </c>
      <c r="M14" s="852"/>
      <c r="Q14" s="270"/>
    </row>
    <row r="15" spans="2:17" ht="25.5" customHeight="1">
      <c r="B15" s="891" t="str" cm="1">
        <f t="array" aca="1" ref="B15" ca="1">_FV(E2,"Currency")&amp;" MILLIONS"</f>
        <v>USD MILLIONS</v>
      </c>
      <c r="C15" s="892"/>
      <c r="D15" s="950"/>
      <c r="E15" s="950"/>
      <c r="F15" s="950"/>
      <c r="G15" s="950"/>
      <c r="H15" s="801" t="s">
        <v>30</v>
      </c>
      <c r="I15" s="799" t="s">
        <v>11</v>
      </c>
      <c r="J15" s="848" t="s">
        <v>15</v>
      </c>
      <c r="K15" s="849"/>
      <c r="L15" s="853" t="s">
        <v>18</v>
      </c>
      <c r="M15" s="852"/>
    </row>
    <row r="16" spans="2:17" hidden="1">
      <c r="B16" s="802"/>
      <c r="C16" s="803"/>
      <c r="D16" s="950"/>
      <c r="E16" s="950"/>
      <c r="F16" s="950"/>
      <c r="G16" s="950"/>
      <c r="H16" s="856"/>
      <c r="I16" s="857"/>
      <c r="J16" s="857"/>
      <c r="K16" s="857"/>
      <c r="L16" s="857"/>
      <c r="M16" s="858"/>
    </row>
    <row r="17" spans="2:13" hidden="1">
      <c r="D17" s="950"/>
      <c r="E17" s="950"/>
      <c r="F17" s="950"/>
      <c r="G17" s="950"/>
      <c r="H17" s="859"/>
      <c r="I17" s="860"/>
      <c r="J17" s="860"/>
      <c r="K17" s="860"/>
      <c r="L17" s="860"/>
      <c r="M17" s="861"/>
    </row>
    <row r="18" spans="2:13" ht="18">
      <c r="B18" s="882" t="s">
        <v>31</v>
      </c>
      <c r="C18" s="883"/>
      <c r="D18" s="883"/>
      <c r="E18" s="883"/>
      <c r="F18" s="883"/>
      <c r="G18" s="883"/>
      <c r="H18" s="883"/>
      <c r="I18" s="883"/>
      <c r="J18" s="883"/>
      <c r="K18" s="883"/>
      <c r="L18" s="883"/>
      <c r="M18" s="884"/>
    </row>
    <row r="19" spans="2:13" ht="15.6">
      <c r="B19" s="880" t="s">
        <v>32</v>
      </c>
      <c r="C19" s="881"/>
      <c r="D19" s="869" t="s">
        <v>33</v>
      </c>
      <c r="E19" s="871"/>
      <c r="F19" s="864" t="s">
        <v>34</v>
      </c>
      <c r="G19" s="865"/>
      <c r="H19" s="866"/>
      <c r="I19" s="869" t="str">
        <f>"Profitability ("&amp;J20&amp;")"</f>
        <v>Profitability (2023)</v>
      </c>
      <c r="J19" s="870"/>
      <c r="K19" s="871"/>
      <c r="L19" s="869" t="s">
        <v>35</v>
      </c>
      <c r="M19" s="879"/>
    </row>
    <row r="20" spans="2:13" ht="12.95">
      <c r="B20" s="615" t="s">
        <v>36</v>
      </c>
      <c r="C20" s="624" cm="1">
        <f t="array" aca="1" ref="C20" ca="1">_FV(E2,"Price")</f>
        <v>9.44</v>
      </c>
      <c r="D20" s="12" t="s">
        <v>37</v>
      </c>
      <c r="E20" s="120">
        <f>_xlfn.XLOOKUP(D20,'Fin. Data'!A:A,'Fin. Data'!B:B,,0)</f>
        <v>3053.66</v>
      </c>
      <c r="F20" s="944" t="s">
        <v>38</v>
      </c>
      <c r="G20" s="945"/>
      <c r="H20" s="104" t="s">
        <v>39</v>
      </c>
      <c r="I20" t="s">
        <v>40</v>
      </c>
      <c r="J20" s="967">
        <v>2023</v>
      </c>
      <c r="K20" s="968"/>
      <c r="L20" s="11" t="s">
        <v>41</v>
      </c>
      <c r="M20" s="618" t="str">
        <f>IF(Inputs!B82 &lt;&gt; "",Inputs!B82,"")</f>
        <v>59.07M</v>
      </c>
    </row>
    <row r="21" spans="2:13" ht="12.95">
      <c r="B21" s="615" t="s">
        <v>42</v>
      </c>
      <c r="C21" s="625" cm="1">
        <f t="array" aca="1" ref="C21" ca="1">_FV(E2,"Shares outstanding",TRUE)</f>
        <v>254089400</v>
      </c>
      <c r="D21" s="11" t="s">
        <v>43</v>
      </c>
      <c r="E21" s="120">
        <f>_xlfn.XLOOKUP(D21,'Fin. Data'!A:A,'Fin. Data'!B:B,,0)</f>
        <v>2059</v>
      </c>
      <c r="F21" s="828" t="str">
        <f>'Segments '!C5</f>
        <v>EMEA(excuding Italy and UK)</v>
      </c>
      <c r="G21" s="829"/>
      <c r="H21" s="15">
        <f>'Segments '!B5</f>
        <v>0.12490291262135923</v>
      </c>
      <c r="I21" s="11" t="s">
        <v>44</v>
      </c>
      <c r="J21" s="947">
        <v>45291</v>
      </c>
      <c r="K21" s="948"/>
      <c r="L21" s="11" t="s">
        <v>45</v>
      </c>
      <c r="M21" s="618">
        <f>IF(Inputs!B83 &lt;&gt; "",Inputs!B83,"")</f>
        <v>0.752</v>
      </c>
    </row>
    <row r="22" spans="2:13" ht="12.95">
      <c r="B22" s="615" t="s">
        <v>46</v>
      </c>
      <c r="C22" s="50">
        <f ca="1">C20*C21/1000000</f>
        <v>2398.603936</v>
      </c>
      <c r="D22" s="11" t="s">
        <v>47</v>
      </c>
      <c r="E22" s="331">
        <f ca="1">_xlfn.XLOOKUP("Cash &amp; Eq.",'Fin. Data'!A:A,'Fin. Data'!B:B,,0)*1000000/C21</f>
        <v>1.286948609426446</v>
      </c>
      <c r="F22" s="828" t="str">
        <f>'Segments '!C6</f>
        <v>Italy</v>
      </c>
      <c r="G22" s="829"/>
      <c r="H22" s="15">
        <f>'Segments '!B6</f>
        <v>0.14791262135922328</v>
      </c>
      <c r="I22" s="897" t="s">
        <v>48</v>
      </c>
      <c r="J22" s="897"/>
      <c r="K22" s="120">
        <f>_xlfn.XLOOKUP(I22,'Fin. Data'!A:A,'Fin. Data'!B:B,,0)</f>
        <v>491.27</v>
      </c>
      <c r="L22" s="8" t="s">
        <v>49</v>
      </c>
      <c r="M22" s="617">
        <v>0.66</v>
      </c>
    </row>
    <row r="23" spans="2:13" ht="12.95">
      <c r="B23" s="616" t="s">
        <v>50</v>
      </c>
      <c r="C23" s="50">
        <f>'Fin. Data'!B58</f>
        <v>1099.57</v>
      </c>
      <c r="D23" s="11" t="s">
        <v>51</v>
      </c>
      <c r="E23" s="331">
        <f>IFERROR(_xlfn.XLOOKUP("EBITDA",'Fin. Data'!A:A,'Fin. Data'!B:B,,0)/_xlfn.XLOOKUP("Net Financial Cost",'Fin. Data'!A:A,'Fin. Data'!B:B,,0),"")</f>
        <v>-14.664776119402985</v>
      </c>
      <c r="F23" s="828" t="str">
        <f>'Segments '!C7</f>
        <v>Japan</v>
      </c>
      <c r="G23" s="829"/>
      <c r="H23" s="15">
        <f>'Segments '!B7</f>
        <v>4.4616504854368931E-2</v>
      </c>
      <c r="I23" s="949" t="s">
        <v>52</v>
      </c>
      <c r="J23" s="949"/>
      <c r="K23" s="120">
        <f>_xlfn.XLOOKUP(I23,'Fin. Data'!A:A,'Fin. Data'!B:B,,0)</f>
        <v>211</v>
      </c>
      <c r="L23" s="11" t="s">
        <v>53</v>
      </c>
      <c r="M23" s="617" t="str">
        <f>IF(Inputs!B84 &lt;&gt; "",Inputs!B84,"")</f>
        <v/>
      </c>
    </row>
    <row r="24" spans="2:13" ht="12.95">
      <c r="B24" s="616" t="s">
        <v>54</v>
      </c>
      <c r="C24" s="50">
        <f>'Fin. Data'!B39</f>
        <v>327</v>
      </c>
      <c r="D24" s="11" t="s">
        <v>55</v>
      </c>
      <c r="E24" s="331">
        <f>IFERROR(_xlfn.XLOOKUP("Total Debt",'Fin. Data'!A:A,'Fin. Data'!B:B,,0)/_xlfn.XLOOKUP("EBITDA",'Fin. Data'!A:A,'Fin. Data'!B:B,,0),"")</f>
        <v>2.2382193091375413</v>
      </c>
      <c r="F24" s="828" t="str">
        <f>'Segments '!C8</f>
        <v>Greater china region</v>
      </c>
      <c r="G24" s="829"/>
      <c r="H24" s="15">
        <f>'Segments '!B8</f>
        <v>0.31262135922330098</v>
      </c>
      <c r="I24" s="949" t="s">
        <v>56</v>
      </c>
      <c r="J24" s="949"/>
      <c r="K24" s="120">
        <f>_xlfn.XLOOKUP(I24,'Fin. Data'!A:A,'Fin. Data'!B:B,,0)</f>
        <v>280.27</v>
      </c>
      <c r="L24" s="11" t="s">
        <v>57</v>
      </c>
      <c r="M24" s="617">
        <f ca="1">IFERROR((C20*C21/(E20-E21))/1000000,"")</f>
        <v>2.4114812458528547</v>
      </c>
    </row>
    <row r="25" spans="2:13" ht="12.95">
      <c r="B25" s="616" t="s">
        <v>58</v>
      </c>
      <c r="C25" s="50">
        <f ca="1">C22+C23-C24</f>
        <v>3171.1739360000001</v>
      </c>
      <c r="D25" s="11" t="s">
        <v>59</v>
      </c>
      <c r="E25" s="331">
        <f>IFERROR(_xlfn.XLOOKUP("Other Assets",'Fin. Data'!A:A,'Fin. Data'!B:B,,0)/_xlfn.XLOOKUP("Total Assets",'Fin. Data'!A:A,'Fin. Data'!B:B,,0),"")</f>
        <v>0.1641538350700471</v>
      </c>
      <c r="F25" s="828" t="str">
        <f>'Segments '!C9</f>
        <v>United States</v>
      </c>
      <c r="G25" s="829"/>
      <c r="H25" s="15">
        <f>'Segments '!B9</f>
        <v>0.20184466019417477</v>
      </c>
      <c r="I25" s="897" t="s">
        <v>60</v>
      </c>
      <c r="J25" s="897"/>
      <c r="K25" s="120">
        <f>_xlfn.XLOOKUP(I25,'Fin. Data'!A:A,'Fin. Data'!B:B,,0)</f>
        <v>131.41999999999999</v>
      </c>
      <c r="L25" s="11" t="s">
        <v>61</v>
      </c>
      <c r="M25" s="618">
        <f>IFERROR(K31/E20,"")</f>
        <v>-7.3627494001733433E-3</v>
      </c>
    </row>
    <row r="26" spans="2:13" ht="12.75" customHeight="1">
      <c r="B26" s="616" t="s">
        <v>62</v>
      </c>
      <c r="C26" s="122" t="s">
        <v>18</v>
      </c>
      <c r="D26" s="11" t="s">
        <v>63</v>
      </c>
      <c r="E26" s="331">
        <f>_xlfn.XLOOKUP(D26,'Fin. Data'!A:A,'Fin. Data'!B:B,,0)</f>
        <v>0.36008265491246572</v>
      </c>
      <c r="F26" s="844" t="s">
        <v>64</v>
      </c>
      <c r="G26" s="946"/>
      <c r="H26" s="105" t="s">
        <v>39</v>
      </c>
      <c r="I26" s="897" t="s">
        <v>65</v>
      </c>
      <c r="J26" s="897"/>
      <c r="K26" s="68">
        <f ca="1">1000000*K25/C21</f>
        <v>0.51721952981903219</v>
      </c>
      <c r="L26" s="11" t="s">
        <v>66</v>
      </c>
      <c r="M26" s="619">
        <f ca="1">IFERROR(C22/K30,"")</f>
        <v>290.27074659136758</v>
      </c>
    </row>
    <row r="27" spans="2:13" ht="12.75" customHeight="1">
      <c r="B27" s="615" t="s">
        <v>67</v>
      </c>
      <c r="C27" s="123" t="s">
        <v>18</v>
      </c>
      <c r="D27" s="11" t="s">
        <v>68</v>
      </c>
      <c r="E27" s="121">
        <f>IFERROR(AVERAGE(_xlfn.XLOOKUP("EBITDA Margin",'Fin. Data'!A:A,'Fin. Data'!B:D,,0)),"")</f>
        <v>0.29543130239942994</v>
      </c>
      <c r="F27" s="828" t="str">
        <f>'Segments '!C18</f>
        <v>Zegna branded products</v>
      </c>
      <c r="G27" s="829"/>
      <c r="H27" s="15">
        <f>'Segments '!B18</f>
        <v>0.58254553223308225</v>
      </c>
      <c r="I27" s="897" t="s">
        <v>69</v>
      </c>
      <c r="J27" s="897"/>
      <c r="K27" s="69">
        <f>IFERROR(K25/E20,"")</f>
        <v>4.3036880333763419E-2</v>
      </c>
      <c r="L27" s="11" t="s">
        <v>70</v>
      </c>
      <c r="M27" s="620">
        <f ca="1">IFERROR(C25/E20,"")</f>
        <v>1.0384829797685402</v>
      </c>
    </row>
    <row r="28" spans="2:13" ht="12.75" customHeight="1">
      <c r="B28" s="615" t="s">
        <v>71</v>
      </c>
      <c r="C28" s="16"/>
      <c r="D28" s="11" t="s">
        <v>72</v>
      </c>
      <c r="E28" s="121">
        <f>IFERROR(AVERAGE(_xlfn.XLOOKUP("Operating Margin",'Fin. Data'!A:A,'Fin. Data'!B:D,,0)),"")</f>
        <v>0.10626810984198894</v>
      </c>
      <c r="F28" s="828" t="str">
        <f>'Segments '!C19</f>
        <v>Thom Browne</v>
      </c>
      <c r="G28" s="829"/>
      <c r="H28" s="15">
        <f>'Segments '!B19</f>
        <v>0.19868610799551351</v>
      </c>
      <c r="I28" s="897" t="s">
        <v>73</v>
      </c>
      <c r="J28" s="897"/>
      <c r="K28" s="69" t="str">
        <f>IFERROR(#REF!,"")</f>
        <v/>
      </c>
      <c r="L28" s="11" t="s">
        <v>74</v>
      </c>
      <c r="M28" s="620">
        <f ca="1">IFERROR(C25/K29,"")</f>
        <v>6.3714441335431804</v>
      </c>
    </row>
    <row r="29" spans="2:13" ht="15.6" customHeight="1">
      <c r="B29" s="880" t="s">
        <v>75</v>
      </c>
      <c r="C29" s="881"/>
      <c r="D29" s="11" t="s">
        <v>76</v>
      </c>
      <c r="E29" s="121">
        <f>IFERROR(AVERAGE(_xlfn.XLOOKUP("Net Income Margin",'Fin. Data'!A:A,'Fin. Data'!B:D,,0)),"")</f>
        <v>-2.3115196558274411E-3</v>
      </c>
      <c r="F29" s="828" t="str">
        <f>'Segments '!C20</f>
        <v>Tom Ford Fashion</v>
      </c>
      <c r="G29" s="829"/>
      <c r="H29" s="15">
        <f>'Segments '!B20</f>
        <v>0.12366899244002272</v>
      </c>
      <c r="I29" s="878" t="s">
        <v>77</v>
      </c>
      <c r="J29" s="878"/>
      <c r="K29" s="566">
        <f>AVERAGE(_xlfn.XLOOKUP("EBITDA",'Fin. Data'!A:A,'Fin. Data'!B:D,,0))</f>
        <v>497.7166666666667</v>
      </c>
      <c r="L29" s="11" t="s">
        <v>78</v>
      </c>
      <c r="M29" s="619">
        <f ca="1">IFERROR(C22/K31,"")</f>
        <v>-106.6836442994811</v>
      </c>
    </row>
    <row r="30" spans="2:13" ht="12.75" customHeight="1">
      <c r="B30" s="621" t="s">
        <v>79</v>
      </c>
      <c r="C30" s="288"/>
      <c r="D30" s="622"/>
      <c r="E30" s="128"/>
      <c r="F30" s="828" t="str">
        <f>'Segments '!C23</f>
        <v>Textile</v>
      </c>
      <c r="G30" s="829"/>
      <c r="H30" s="15">
        <f>'Segments '!B23</f>
        <v>7.9275368652071104E-2</v>
      </c>
      <c r="I30" s="897" t="s">
        <v>80</v>
      </c>
      <c r="J30" s="897"/>
      <c r="K30" s="120">
        <f>AVERAGE(_xlfn.XLOOKUP("Net Income",'Fin. Data'!A:A,'Fin. Data'!B:D,,0))</f>
        <v>8.2633333333333301</v>
      </c>
      <c r="L30" s="11" t="s">
        <v>81</v>
      </c>
      <c r="M30" s="619" t="s">
        <v>18</v>
      </c>
    </row>
    <row r="31" spans="2:13" ht="12.75" customHeight="1">
      <c r="B31" s="621" t="s">
        <v>82</v>
      </c>
      <c r="C31" s="285"/>
      <c r="D31" s="11" t="s">
        <v>83</v>
      </c>
      <c r="E31" s="430">
        <f>IFERROR(-_xlfn.XLOOKUP("Net Financial Cost",'Fin. Data'!A:A,'Fin. Data'!B:B,,0)/AVERAGE(_xlfn.XLOOKUP("Net Debt",'Fin. Data'!A:A,'Fin. Data'!B:D,,0)),"")</f>
        <v>4.6328308670999858E-2</v>
      </c>
      <c r="F31" s="828" t="str">
        <f>'Segments '!C22</f>
        <v>Other</v>
      </c>
      <c r="G31" s="829"/>
      <c r="H31" s="15">
        <f>'Segments '!B22</f>
        <v>1.5823998679310329E-2</v>
      </c>
      <c r="I31" s="897" t="s">
        <v>84</v>
      </c>
      <c r="J31" s="897"/>
      <c r="K31" s="120">
        <f>AVERAGE(_xlfn.XLOOKUP("Net Financial Cost",'Fin. Data'!A:A,'Fin. Data'!B:D,,0))</f>
        <v>-22.483333333333331</v>
      </c>
      <c r="L31" s="11" t="s">
        <v>85</v>
      </c>
      <c r="M31" s="618">
        <f ca="1">-IFERROR(SUM(E52:E54)/(3*C22),"")</f>
        <v>0.1161759120868882</v>
      </c>
    </row>
    <row r="32" spans="2:13" ht="12.6" customHeight="1">
      <c r="B32" s="621" t="s">
        <v>86</v>
      </c>
      <c r="C32" s="285"/>
      <c r="D32" s="125"/>
      <c r="E32" s="127"/>
      <c r="F32" s="969"/>
      <c r="G32" s="970"/>
      <c r="H32" s="17"/>
      <c r="I32" s="125"/>
      <c r="J32" s="126"/>
      <c r="K32" s="126"/>
      <c r="L32" s="11" t="s">
        <v>87</v>
      </c>
      <c r="M32" s="626">
        <f ca="1">-IFERROR(L53/C22,"")</f>
        <v>1.1285731501442846E-2</v>
      </c>
    </row>
    <row r="33" spans="1:19" ht="18">
      <c r="B33" s="921" t="s">
        <v>88</v>
      </c>
      <c r="C33" s="922"/>
      <c r="D33" s="922"/>
      <c r="E33" s="922"/>
      <c r="F33" s="922"/>
      <c r="G33" s="922"/>
      <c r="H33" s="922"/>
      <c r="I33" s="922"/>
      <c r="J33" s="922"/>
      <c r="K33" s="922"/>
      <c r="L33" s="922"/>
      <c r="M33" s="923"/>
    </row>
    <row r="34" spans="1:19" ht="15.95" thickBot="1">
      <c r="B34" s="867" t="s">
        <v>89</v>
      </c>
      <c r="C34" s="868"/>
      <c r="D34" s="868"/>
      <c r="E34" s="868"/>
      <c r="F34" s="868"/>
      <c r="G34" s="868"/>
      <c r="H34" s="435" t="s">
        <v>90</v>
      </c>
      <c r="I34" s="898" t="s">
        <v>91</v>
      </c>
      <c r="J34" s="899"/>
      <c r="K34" s="899"/>
      <c r="L34" s="899"/>
      <c r="M34" s="900"/>
      <c r="N34" s="10"/>
    </row>
    <row r="35" spans="1:19" ht="13.35" customHeight="1">
      <c r="A35" s="10"/>
      <c r="B35" s="436" t="s">
        <v>92</v>
      </c>
      <c r="C35" s="907" t="s">
        <v>93</v>
      </c>
      <c r="D35" s="908"/>
      <c r="E35" s="908"/>
      <c r="F35" s="908"/>
      <c r="G35" s="909"/>
      <c r="H35" s="930" t="s">
        <v>94</v>
      </c>
      <c r="I35" s="910" t="s">
        <v>95</v>
      </c>
      <c r="J35" s="911"/>
      <c r="K35" s="911"/>
      <c r="L35" s="911"/>
      <c r="M35" s="912"/>
    </row>
    <row r="36" spans="1:19" ht="27" customHeight="1">
      <c r="A36" s="10"/>
      <c r="B36" s="804" t="s">
        <v>96</v>
      </c>
      <c r="C36" s="932" t="s">
        <v>97</v>
      </c>
      <c r="D36" s="933"/>
      <c r="E36" s="933"/>
      <c r="F36" s="933"/>
      <c r="G36" s="934"/>
      <c r="H36" s="930"/>
      <c r="I36" s="913"/>
      <c r="J36" s="914"/>
      <c r="K36" s="914"/>
      <c r="L36" s="914"/>
      <c r="M36" s="915"/>
    </row>
    <row r="37" spans="1:19" ht="27" customHeight="1" thickBot="1">
      <c r="A37" s="10"/>
      <c r="B37" s="804" t="s">
        <v>98</v>
      </c>
      <c r="C37" s="932" t="s">
        <v>99</v>
      </c>
      <c r="D37" s="933"/>
      <c r="E37" s="933"/>
      <c r="F37" s="933"/>
      <c r="G37" s="934"/>
      <c r="H37" s="930"/>
      <c r="I37" s="913"/>
      <c r="J37" s="914"/>
      <c r="K37" s="914"/>
      <c r="L37" s="914"/>
      <c r="M37" s="915"/>
    </row>
    <row r="38" spans="1:19" ht="24.6" hidden="1" customHeight="1">
      <c r="B38" s="661"/>
      <c r="C38" s="935"/>
      <c r="D38" s="936"/>
      <c r="E38" s="936"/>
      <c r="F38" s="936"/>
      <c r="G38" s="937"/>
      <c r="H38" s="931"/>
      <c r="I38" s="916"/>
      <c r="J38" s="917"/>
      <c r="K38" s="917"/>
      <c r="L38" s="917"/>
      <c r="M38" s="918"/>
    </row>
    <row r="39" spans="1:19" ht="15.95" thickBot="1">
      <c r="B39" s="901" t="s">
        <v>100</v>
      </c>
      <c r="C39" s="902"/>
      <c r="D39" s="902"/>
      <c r="E39" s="902"/>
      <c r="F39" s="902"/>
      <c r="G39" s="903"/>
      <c r="H39" s="437" t="s">
        <v>101</v>
      </c>
      <c r="I39" s="919" t="s">
        <v>102</v>
      </c>
      <c r="J39" s="919"/>
      <c r="K39" s="919"/>
      <c r="L39" s="919"/>
      <c r="M39" s="920"/>
    </row>
    <row r="40" spans="1:19" ht="13.35" customHeight="1" thickBot="1">
      <c r="B40" s="438" t="s">
        <v>103</v>
      </c>
      <c r="C40" s="904" t="s">
        <v>93</v>
      </c>
      <c r="D40" s="905"/>
      <c r="E40" s="905"/>
      <c r="F40" s="905"/>
      <c r="G40" s="906"/>
      <c r="H40" s="924">
        <f ca="1">IFERROR(DCF!D75,"")</f>
        <v>6.1422802854009841</v>
      </c>
      <c r="I40" s="974" t="s">
        <v>104</v>
      </c>
      <c r="J40" s="976">
        <f>DCF!F50</f>
        <v>8.4999999999999992E-2</v>
      </c>
      <c r="K40" s="977"/>
      <c r="L40" s="982" t="s">
        <v>105</v>
      </c>
      <c r="M40" s="986" t="str">
        <f>IFERROR(#REF!,"")</f>
        <v/>
      </c>
    </row>
    <row r="41" spans="1:19" ht="30.75" customHeight="1">
      <c r="B41" s="804" t="s">
        <v>106</v>
      </c>
      <c r="C41" s="938" t="s">
        <v>107</v>
      </c>
      <c r="D41" s="939"/>
      <c r="E41" s="939"/>
      <c r="F41" s="939"/>
      <c r="G41" s="940"/>
      <c r="H41" s="925"/>
      <c r="I41" s="975"/>
      <c r="J41" s="978"/>
      <c r="K41" s="979"/>
      <c r="L41" s="983"/>
      <c r="M41" s="987"/>
    </row>
    <row r="42" spans="1:19" ht="30" customHeight="1">
      <c r="B42" s="804" t="s">
        <v>108</v>
      </c>
      <c r="C42" s="875" t="s">
        <v>109</v>
      </c>
      <c r="D42" s="876"/>
      <c r="E42" s="876"/>
      <c r="F42" s="876"/>
      <c r="G42" s="877"/>
      <c r="H42" s="925"/>
      <c r="I42" s="974" t="s">
        <v>110</v>
      </c>
      <c r="J42" s="980">
        <f ca="1">IFERROR(DCF!D74,"")</f>
        <v>-0.34933471552955675</v>
      </c>
      <c r="K42" s="981"/>
      <c r="L42" s="984" t="s">
        <v>111</v>
      </c>
      <c r="M42" s="988" t="str">
        <f>IFERROR(#REF!,"")</f>
        <v/>
      </c>
    </row>
    <row r="43" spans="1:19" ht="17.25" customHeight="1">
      <c r="B43" s="805" t="s">
        <v>112</v>
      </c>
      <c r="C43" s="872" t="s">
        <v>113</v>
      </c>
      <c r="D43" s="873"/>
      <c r="E43" s="873"/>
      <c r="F43" s="873"/>
      <c r="G43" s="874"/>
      <c r="H43" s="926"/>
      <c r="I43" s="975"/>
      <c r="J43" s="978"/>
      <c r="K43" s="979"/>
      <c r="L43" s="985"/>
      <c r="M43" s="987"/>
    </row>
    <row r="44" spans="1:19" ht="18">
      <c r="B44" s="971" t="s">
        <v>114</v>
      </c>
      <c r="C44" s="883"/>
      <c r="D44" s="883"/>
      <c r="E44" s="883"/>
      <c r="F44" s="883"/>
      <c r="G44" s="883"/>
      <c r="H44" s="883"/>
      <c r="I44" s="883"/>
      <c r="J44" s="883"/>
      <c r="K44" s="883"/>
      <c r="L44" s="883"/>
      <c r="M44" s="972"/>
    </row>
    <row r="45" spans="1:19" ht="12.95">
      <c r="B45" s="543" t="s">
        <v>115</v>
      </c>
      <c r="C45" s="111" t="s">
        <v>116</v>
      </c>
      <c r="D45" s="111" t="s">
        <v>117</v>
      </c>
      <c r="E45" s="132" t="s">
        <v>118</v>
      </c>
      <c r="F45" s="111" t="s">
        <v>119</v>
      </c>
      <c r="G45" s="111" t="s">
        <v>63</v>
      </c>
      <c r="H45" s="131" t="s">
        <v>52</v>
      </c>
      <c r="I45" s="131" t="s">
        <v>120</v>
      </c>
      <c r="J45" s="842" t="s">
        <v>121</v>
      </c>
      <c r="K45" s="842"/>
      <c r="L45" s="842"/>
      <c r="M45" s="973"/>
    </row>
    <row r="46" spans="1:19" ht="12.95">
      <c r="B46" s="544">
        <f t="shared" ref="B46:B52" si="0">B47-1</f>
        <v>2015</v>
      </c>
      <c r="C46" s="130" t="str" cm="1">
        <f t="array" ref="C46:C54">_xlfn.SORTBY(TRANSPOSE(_xlfn.XLOOKUP(C$45,'Fin. Data'!$A:$A,'Fin. Data'!$B:$J,,0)),$B$46:$B$54,-1)</f>
        <v>N/A</v>
      </c>
      <c r="D46" s="107" t="str" cm="1">
        <f t="array" ref="D46:D54">_xlfn.SORTBY(TRANSPOSE(_xlfn.XLOOKUP(D$45,'Fin. Data'!$A:$A,'Fin. Data'!$B:$J,,0)),$B$46:$B$54,-1)</f>
        <v>-</v>
      </c>
      <c r="E46" s="130" t="e" cm="1">
        <f t="array" ref="E46:E54">_xlfn.SORTBY(TRANSPOSE(_xlfn.XLOOKUP(E$45,'Fin. Data'!$A:$A,'Fin. Data'!$B:$J,,0)),$B$46:$B$54,-1)</f>
        <v>#VALUE!</v>
      </c>
      <c r="F46" s="129">
        <f>Inputs!J77</f>
        <v>0</v>
      </c>
      <c r="G46" s="107" t="str" cm="1">
        <f t="array" ref="G46:G54">_xlfn.SORTBY(TRANSPOSE(_xlfn.XLOOKUP(G$45,'Fin. Data'!$A:$A,'Fin. Data'!$B:$J,,0)),$B$46:$B$54,-1)</f>
        <v>-</v>
      </c>
      <c r="H46" s="130" t="str" cm="1">
        <f t="array" ref="H46:H54">_xlfn.SORTBY(TRANSPOSE(_xlfn.XLOOKUP(H$45,'Fin. Data'!$A:$A,'Fin. Data'!$B:$J,,0)),$B$46:$B$54,-1)</f>
        <v>N/A</v>
      </c>
      <c r="I46" s="130" t="e" cm="1">
        <f t="array" ref="I46:I54">_xlfn.SORTBY(TRANSPOSE(_xlfn.XLOOKUP(I$45,'Fin. Data'!$A:$A,'Fin. Data'!$B:$J,,0)),$B$46:$B$54,-1)</f>
        <v>#VALUE!</v>
      </c>
      <c r="J46" s="355"/>
      <c r="K46" s="125"/>
      <c r="L46" s="108">
        <f>J20</f>
        <v>2023</v>
      </c>
      <c r="M46" s="357">
        <f>L46-1</f>
        <v>2022</v>
      </c>
    </row>
    <row r="47" spans="1:19" ht="12.95">
      <c r="B47" s="544">
        <f t="shared" si="0"/>
        <v>2016</v>
      </c>
      <c r="C47" s="130" t="str">
        <v>N/A</v>
      </c>
      <c r="D47" s="106" t="str">
        <v>-</v>
      </c>
      <c r="E47" s="130" t="e">
        <v>#VALUE!</v>
      </c>
      <c r="F47" s="129">
        <f>Inputs!I77</f>
        <v>0</v>
      </c>
      <c r="G47" s="107" t="str">
        <v>-</v>
      </c>
      <c r="H47" s="130" t="str">
        <v>N/A</v>
      </c>
      <c r="I47" s="130" t="e">
        <v>#VALUE!</v>
      </c>
      <c r="J47" s="895" t="s">
        <v>60</v>
      </c>
      <c r="K47" s="896"/>
      <c r="L47" s="50">
        <f>_xlfn.XLOOKUP($J47,'Fin. Data'!$A:$A,'Fin. Data'!B:B,,0)</f>
        <v>131.41999999999999</v>
      </c>
      <c r="M47" s="402">
        <f>_xlfn.XLOOKUP($J47,'Fin. Data'!$A:$A,'Fin. Data'!C:C,,0)</f>
        <v>54.24</v>
      </c>
      <c r="N47" s="20"/>
      <c r="O47" s="20"/>
      <c r="P47" s="19"/>
      <c r="Q47" s="18"/>
      <c r="R47" s="18"/>
      <c r="S47" s="18"/>
    </row>
    <row r="48" spans="1:19" ht="12.95">
      <c r="B48" s="544">
        <f t="shared" si="0"/>
        <v>2017</v>
      </c>
      <c r="C48" s="130" t="str">
        <v>N/A</v>
      </c>
      <c r="D48" s="106" t="str">
        <v>-</v>
      </c>
      <c r="E48" s="130" t="e">
        <v>#VALUE!</v>
      </c>
      <c r="F48" s="129">
        <f>Inputs!H77</f>
        <v>0</v>
      </c>
      <c r="G48" s="107" t="str">
        <v>-</v>
      </c>
      <c r="H48" s="130" t="str">
        <v>N/A</v>
      </c>
      <c r="I48" s="130" t="e">
        <v>#VALUE!</v>
      </c>
      <c r="J48" s="895" t="s">
        <v>122</v>
      </c>
      <c r="K48" s="896"/>
      <c r="L48" s="50">
        <f>_xlfn.XLOOKUP($J48,'Fin. Data'!$A:$A,'Fin. Data'!B:B,,0)</f>
        <v>298</v>
      </c>
      <c r="M48" s="402">
        <f>_xlfn.XLOOKUP($J48,'Fin. Data'!$A:$A,'Fin. Data'!C:C,,0)</f>
        <v>154</v>
      </c>
      <c r="N48" s="20"/>
      <c r="O48" s="20"/>
      <c r="P48" s="19"/>
      <c r="Q48" s="18" t="e">
        <f t="shared" ref="Q48:Q54" si="1">F48/F47-1</f>
        <v>#DIV/0!</v>
      </c>
      <c r="R48" s="18" t="e">
        <f t="shared" ref="R48:S54" si="2">H48/H47-1</f>
        <v>#VALUE!</v>
      </c>
      <c r="S48" s="18" t="e">
        <f t="shared" si="2"/>
        <v>#VALUE!</v>
      </c>
    </row>
    <row r="49" spans="2:19" ht="12.95">
      <c r="B49" s="544">
        <f t="shared" si="0"/>
        <v>2018</v>
      </c>
      <c r="C49" s="130">
        <v>1396</v>
      </c>
      <c r="D49" s="106">
        <v>8.9992836676217755E-2</v>
      </c>
      <c r="E49" s="130">
        <v>-3</v>
      </c>
      <c r="F49" s="129">
        <f>Inputs!G77</f>
        <v>-11.29000000000002</v>
      </c>
      <c r="G49" s="107" t="str">
        <v>-</v>
      </c>
      <c r="H49" s="130">
        <v>190</v>
      </c>
      <c r="I49" s="130">
        <v>-394.65000000000003</v>
      </c>
      <c r="J49" s="895" t="s">
        <v>123</v>
      </c>
      <c r="K49" s="896"/>
      <c r="L49" s="50">
        <f>_xlfn.XLOOKUP($J49,'Fin. Data'!$A:$A,'Fin. Data'!B:B,,0)</f>
        <v>23.56</v>
      </c>
      <c r="M49" s="402">
        <f>_xlfn.XLOOKUP($J49,'Fin. Data'!$A:$A,'Fin. Data'!C:C,,0)</f>
        <v>-60.4</v>
      </c>
      <c r="N49" s="20"/>
      <c r="O49" s="20"/>
      <c r="P49" s="19"/>
      <c r="Q49" s="18" t="e">
        <f t="shared" si="1"/>
        <v>#DIV/0!</v>
      </c>
      <c r="R49" s="18" t="e">
        <f t="shared" si="2"/>
        <v>#VALUE!</v>
      </c>
      <c r="S49" s="18" t="e">
        <f t="shared" si="2"/>
        <v>#VALUE!</v>
      </c>
    </row>
    <row r="50" spans="2:19" ht="12.95">
      <c r="B50" s="544">
        <f t="shared" si="0"/>
        <v>2019</v>
      </c>
      <c r="C50" s="130">
        <v>1479</v>
      </c>
      <c r="D50" s="106">
        <v>8.1920216362407025E-2</v>
      </c>
      <c r="E50" s="130">
        <v>0</v>
      </c>
      <c r="F50" s="129">
        <f>Inputs!F77</f>
        <v>-10.419999999999959</v>
      </c>
      <c r="G50" s="107">
        <v>0.42916144208573154</v>
      </c>
      <c r="H50" s="130">
        <v>198</v>
      </c>
      <c r="I50" s="130">
        <v>94</v>
      </c>
      <c r="J50" s="893" t="s">
        <v>124</v>
      </c>
      <c r="K50" s="894"/>
      <c r="L50" s="50">
        <f>_xlfn.XLOOKUP($J50,'Fin. Data'!$A:$A,'Fin. Data'!B:B,,0)</f>
        <v>-61.46</v>
      </c>
      <c r="M50" s="402">
        <f>_xlfn.XLOOKUP($J50,'Fin. Data'!$A:$A,'Fin. Data'!C:C,,0)</f>
        <v>-51.519999999999996</v>
      </c>
      <c r="N50" s="20">
        <f t="shared" ref="N50:N55" si="3">(C50/C49)-1</f>
        <v>5.9455587392550191E-2</v>
      </c>
      <c r="O50" s="20">
        <f t="shared" ref="O50:O55" si="4">(D50/D49)-1</f>
        <v>-8.9702920943085074E-2</v>
      </c>
      <c r="P50" s="19"/>
      <c r="Q50" s="18">
        <f t="shared" si="1"/>
        <v>-7.7059344552706799E-2</v>
      </c>
      <c r="R50" s="18">
        <f t="shared" si="2"/>
        <v>4.2105263157894646E-2</v>
      </c>
      <c r="S50" s="18">
        <f t="shared" si="2"/>
        <v>-1.2381857341948561</v>
      </c>
    </row>
    <row r="51" spans="2:19" ht="12.95">
      <c r="B51" s="544">
        <f t="shared" si="0"/>
        <v>2020</v>
      </c>
      <c r="C51" s="130">
        <v>1158</v>
      </c>
      <c r="D51" s="106">
        <v>2.0803108808290154E-2</v>
      </c>
      <c r="E51" s="130">
        <v>1</v>
      </c>
      <c r="F51" s="129">
        <f>Inputs!E77</f>
        <v>130.68</v>
      </c>
      <c r="G51" s="107">
        <v>0.44576029835565351</v>
      </c>
      <c r="H51" s="130">
        <v>212</v>
      </c>
      <c r="I51" s="130">
        <v>106</v>
      </c>
      <c r="J51" s="893" t="s">
        <v>125</v>
      </c>
      <c r="K51" s="894"/>
      <c r="L51" s="50">
        <f>_xlfn.XLOOKUP($J51,'Fin. Data'!$A:$A,'Fin. Data'!B:B,,0)</f>
        <v>85.460000000000008</v>
      </c>
      <c r="M51" s="402">
        <f>_xlfn.XLOOKUP($J51,'Fin. Data'!$A:$A,'Fin. Data'!C:C,,0)</f>
        <v>-8.48</v>
      </c>
      <c r="N51" s="20">
        <f t="shared" si="3"/>
        <v>-0.21703853955375252</v>
      </c>
      <c r="O51" s="20">
        <f t="shared" si="4"/>
        <v>-0.74605647138113951</v>
      </c>
      <c r="P51" s="19"/>
      <c r="Q51" s="18">
        <f t="shared" si="1"/>
        <v>-13.54126679462577</v>
      </c>
      <c r="R51" s="18">
        <f t="shared" si="2"/>
        <v>7.0707070707070718E-2</v>
      </c>
      <c r="S51" s="18">
        <f t="shared" si="2"/>
        <v>0.12765957446808507</v>
      </c>
    </row>
    <row r="52" spans="2:19" ht="12.95">
      <c r="B52" s="544">
        <f t="shared" si="0"/>
        <v>2021</v>
      </c>
      <c r="C52" s="130">
        <v>1529</v>
      </c>
      <c r="D52" s="106">
        <v>9.2851536952256369E-2</v>
      </c>
      <c r="E52" s="130">
        <v>-766.88</v>
      </c>
      <c r="F52" s="129">
        <f>Inputs!D77</f>
        <v>160.17000000000002</v>
      </c>
      <c r="G52" s="107">
        <v>0.43413804828289704</v>
      </c>
      <c r="H52" s="130">
        <v>193</v>
      </c>
      <c r="I52" s="130">
        <v>-97</v>
      </c>
      <c r="J52" s="895" t="s">
        <v>126</v>
      </c>
      <c r="K52" s="896"/>
      <c r="L52" s="50">
        <f>_xlfn.XLOOKUP($J52,'Fin. Data'!$A:$A,'Fin. Data'!B:B,,0)</f>
        <v>-270.88</v>
      </c>
      <c r="M52" s="402">
        <f>_xlfn.XLOOKUP($J52,'Fin. Data'!$A:$A,'Fin. Data'!C:C,,0)</f>
        <v>-312.88</v>
      </c>
      <c r="N52" s="20">
        <f t="shared" si="3"/>
        <v>0.32037996545768577</v>
      </c>
      <c r="O52" s="20">
        <f t="shared" si="4"/>
        <v>3.4633490988257734</v>
      </c>
      <c r="P52" s="19"/>
      <c r="Q52" s="18">
        <f t="shared" si="1"/>
        <v>0.22566574839302111</v>
      </c>
      <c r="R52" s="18">
        <f t="shared" si="2"/>
        <v>-8.9622641509433998E-2</v>
      </c>
      <c r="S52" s="18">
        <f t="shared" si="2"/>
        <v>-1.9150943396226414</v>
      </c>
    </row>
    <row r="53" spans="2:19" ht="12.95">
      <c r="B53" s="544">
        <f>B54-1</f>
        <v>2022</v>
      </c>
      <c r="C53" s="130">
        <v>1573</v>
      </c>
      <c r="D53" s="106">
        <v>0.10912269548633186</v>
      </c>
      <c r="E53" s="130">
        <v>-38.03</v>
      </c>
      <c r="F53" s="129">
        <f>Inputs!C$77</f>
        <v>-219.28</v>
      </c>
      <c r="G53" s="107">
        <v>0.37687035539640368</v>
      </c>
      <c r="H53" s="130">
        <v>183</v>
      </c>
      <c r="I53" s="130">
        <v>-60</v>
      </c>
      <c r="J53" s="893" t="s">
        <v>127</v>
      </c>
      <c r="K53" s="894"/>
      <c r="L53" s="50">
        <f>_xlfn.XLOOKUP($J53,'Fin. Data'!$A:$A,'Fin. Data'!B:B,,0)</f>
        <v>-27.07</v>
      </c>
      <c r="M53" s="402">
        <f>_xlfn.XLOOKUP($J53,'Fin. Data'!$A:$A,'Fin. Data'!C:C,,0)</f>
        <v>-23.03</v>
      </c>
      <c r="N53" s="20">
        <f t="shared" si="3"/>
        <v>2.877697841726623E-2</v>
      </c>
      <c r="O53" s="20">
        <f t="shared" si="4"/>
        <v>0.17523844050575055</v>
      </c>
      <c r="P53" s="19"/>
      <c r="Q53" s="18">
        <f t="shared" si="1"/>
        <v>-2.3690453892738965</v>
      </c>
      <c r="R53" s="18">
        <f t="shared" si="2"/>
        <v>-5.1813471502590636E-2</v>
      </c>
      <c r="S53" s="18">
        <f t="shared" si="2"/>
        <v>-0.38144329896907214</v>
      </c>
    </row>
    <row r="54" spans="2:19" ht="12.95">
      <c r="B54" s="544">
        <f>J20</f>
        <v>2023</v>
      </c>
      <c r="C54" s="130">
        <v>2060</v>
      </c>
      <c r="D54" s="106">
        <v>0.11683009708737864</v>
      </c>
      <c r="E54" s="130">
        <v>-31.07</v>
      </c>
      <c r="F54" s="129">
        <f>Inputs!B77</f>
        <v>50.680000000000007</v>
      </c>
      <c r="G54" s="107">
        <v>0.36008265491246572</v>
      </c>
      <c r="H54" s="130">
        <v>211</v>
      </c>
      <c r="I54" s="130">
        <v>24.000000000000007</v>
      </c>
      <c r="J54" s="893" t="s">
        <v>128</v>
      </c>
      <c r="K54" s="894"/>
      <c r="L54" s="50">
        <f>_xlfn.XLOOKUP($J54,'Fin. Data'!$A:$A,'Fin. Data'!B:B,,0)</f>
        <v>-4</v>
      </c>
      <c r="M54" s="402">
        <f>_xlfn.XLOOKUP($J54,'Fin. Data'!$A:$A,'Fin. Data'!C:C,,0)</f>
        <v>-15</v>
      </c>
      <c r="N54" s="20">
        <f t="shared" si="3"/>
        <v>0.30959949141767318</v>
      </c>
      <c r="O54" s="20">
        <f t="shared" si="4"/>
        <v>7.0630601330885945E-2</v>
      </c>
      <c r="P54" s="19"/>
      <c r="Q54" s="18">
        <f t="shared" si="1"/>
        <v>-1.2311200291864284</v>
      </c>
      <c r="R54" s="18">
        <f t="shared" si="2"/>
        <v>0.15300546448087426</v>
      </c>
      <c r="S54" s="18">
        <f t="shared" si="2"/>
        <v>-1.4000000000000001</v>
      </c>
    </row>
    <row r="55" spans="2:19">
      <c r="B55" s="545" t="s">
        <v>129</v>
      </c>
      <c r="C55" s="109">
        <f>IFERROR((C54/C49)^(1/5)-1,"")</f>
        <v>8.0926988520774623E-2</v>
      </c>
      <c r="D55" s="109">
        <f>IFERROR((D54/D49)^(1/5)-1,"")</f>
        <v>5.3584467065020513E-2</v>
      </c>
      <c r="E55" s="124"/>
      <c r="F55" s="109">
        <f>IFERROR((F54/F49)^(1/5)-1,"")</f>
        <v>-2.3502946062015235</v>
      </c>
      <c r="G55" s="124"/>
      <c r="H55" s="109">
        <f>IFERROR((H54/H49)^(1/5)-1,"")</f>
        <v>2.1188160151172752E-2</v>
      </c>
      <c r="I55" s="124"/>
      <c r="J55" s="895" t="s">
        <v>130</v>
      </c>
      <c r="K55" s="896"/>
      <c r="L55" s="50">
        <f>_xlfn.XLOOKUP($J55,'Fin. Data'!$A:$A,'Fin. Data'!B:B,,0)</f>
        <v>0</v>
      </c>
      <c r="M55" s="402">
        <f>_xlfn.XLOOKUP($J55,'Fin. Data'!$A:$A,'Fin. Data'!C:C,,0)</f>
        <v>0</v>
      </c>
      <c r="N55" s="20">
        <f t="shared" si="3"/>
        <v>-0.9999607150541161</v>
      </c>
      <c r="O55" s="20">
        <f t="shared" si="4"/>
        <v>-0.54134706380545039</v>
      </c>
      <c r="P55" s="19"/>
      <c r="Q55" s="18"/>
      <c r="R55" s="18"/>
      <c r="S55" s="18"/>
    </row>
    <row r="56" spans="2:19" ht="12.95">
      <c r="B56" s="545" t="s">
        <v>131</v>
      </c>
      <c r="C56" s="109">
        <f>IFERROR(AVERAGE(N47:N54),"")</f>
        <v>0.10023469662628456</v>
      </c>
      <c r="D56" s="109">
        <f>IFERROR(AVERAGE(O50:O54),"")</f>
        <v>0.57469174966763714</v>
      </c>
      <c r="E56" s="124"/>
      <c r="F56" s="109">
        <f>IFERROR(AVERAGE(Q50:Q54),"")</f>
        <v>-3.3985651618491559</v>
      </c>
      <c r="G56" s="124"/>
      <c r="H56" s="109">
        <f>IFERROR(AVERAGE(S50:S54),"")</f>
        <v>-0.96141275966369688</v>
      </c>
      <c r="I56" s="124"/>
      <c r="J56" s="991" t="s">
        <v>132</v>
      </c>
      <c r="K56" s="992"/>
      <c r="L56" s="133">
        <f>L48-L49+L52-L53-L54</f>
        <v>34.630000000000003</v>
      </c>
      <c r="M56" s="358">
        <f>M48-M49+M52-M53-M54</f>
        <v>-60.449999999999989</v>
      </c>
    </row>
    <row r="57" spans="2:19">
      <c r="B57" s="545" t="s">
        <v>133</v>
      </c>
      <c r="C57" s="109">
        <f>IFERROR(STDEV(C47:C54)/AVERAGE(C47:C54),"")</f>
        <v>0.19393462416688342</v>
      </c>
      <c r="D57" s="109">
        <f>IFERROR(STDEV(D46:D54)/AVERAGE(D46:D54),"")</f>
        <v>0.39991259925196304</v>
      </c>
      <c r="E57" s="124"/>
      <c r="F57" s="109">
        <f>IFERROR(STDEV(F46:F54)/AVERAGE(F46:F54),"")</f>
        <v>9.6254693757137666</v>
      </c>
      <c r="G57" s="124"/>
      <c r="H57" s="109">
        <f>IFERROR(STDEV(H46:H54)/AVERAGE(H46:H54),"")</f>
        <v>5.8897533669274971E-2</v>
      </c>
      <c r="I57" s="124"/>
      <c r="J57" s="993" t="s">
        <v>134</v>
      </c>
      <c r="K57" s="994"/>
      <c r="L57" s="353">
        <f>IFERROR(SUM(I51:I54)/(C54-C50),"")</f>
        <v>-4.6471600688468145E-2</v>
      </c>
      <c r="M57" s="401">
        <f>IFERROR((SUM(I51:I54)-SUM(H51:H54))/(C54-C50),"")</f>
        <v>-1.4216867469879517</v>
      </c>
    </row>
    <row r="58" spans="2:19">
      <c r="B58" s="545" t="s">
        <v>135</v>
      </c>
      <c r="C58" s="109">
        <f>IFERROR(C54/C53-1,"")</f>
        <v>0.30959949141767318</v>
      </c>
      <c r="D58" s="109">
        <f>IFERROR(D54/D53-1,"")</f>
        <v>7.0630601330885945E-2</v>
      </c>
      <c r="E58" s="124"/>
      <c r="F58" s="109">
        <f>IFERROR(1-(F54/F53),"")</f>
        <v>1.2311200291864284</v>
      </c>
      <c r="G58" s="124"/>
      <c r="H58" s="109">
        <f>IFERROR(1-(H54/H53),"")</f>
        <v>-0.15300546448087426</v>
      </c>
      <c r="I58" s="124"/>
      <c r="J58" s="995" t="s">
        <v>136</v>
      </c>
      <c r="K58" s="996"/>
      <c r="L58" s="354">
        <f>IFERROR(L57/E27,"")</f>
        <v>-0.15730086930882317</v>
      </c>
      <c r="M58" s="359">
        <f>IFERROR(M57/E27,"")</f>
        <v>-4.8122414092254804</v>
      </c>
    </row>
    <row r="59" spans="2:19" ht="18">
      <c r="B59" s="971" t="s">
        <v>137</v>
      </c>
      <c r="C59" s="883"/>
      <c r="D59" s="883"/>
      <c r="E59" s="883"/>
      <c r="F59" s="883"/>
      <c r="G59" s="883"/>
      <c r="H59" s="883"/>
      <c r="I59" s="883"/>
      <c r="J59" s="883"/>
      <c r="K59" s="883"/>
      <c r="L59" s="883"/>
      <c r="M59" s="972"/>
    </row>
    <row r="60" spans="2:19" ht="15.6">
      <c r="B60" s="929" t="s">
        <v>138</v>
      </c>
      <c r="C60" s="927"/>
      <c r="D60" s="927"/>
      <c r="E60" s="927"/>
      <c r="F60" s="927"/>
      <c r="G60" s="927"/>
      <c r="H60" s="927"/>
      <c r="I60" s="927"/>
      <c r="J60" s="927" t="s">
        <v>139</v>
      </c>
      <c r="K60" s="927"/>
      <c r="L60" s="927"/>
      <c r="M60" s="928"/>
    </row>
    <row r="61" spans="2:19" ht="12.95">
      <c r="B61" s="841" t="s">
        <v>140</v>
      </c>
      <c r="C61" s="842"/>
      <c r="D61" s="842"/>
      <c r="E61" s="842" t="s">
        <v>141</v>
      </c>
      <c r="F61" s="842"/>
      <c r="G61" s="842"/>
      <c r="H61" s="842"/>
      <c r="I61" s="842"/>
      <c r="J61" s="842" t="s">
        <v>142</v>
      </c>
      <c r="K61" s="842"/>
      <c r="L61" s="842"/>
      <c r="M61" s="356" t="s">
        <v>143</v>
      </c>
    </row>
    <row r="62" spans="2:19" ht="15" customHeight="1">
      <c r="B62" s="637" t="s">
        <v>144</v>
      </c>
      <c r="C62" s="638" t="s">
        <v>144</v>
      </c>
      <c r="D62" s="639" t="s">
        <v>144</v>
      </c>
      <c r="E62" s="646" t="s">
        <v>144</v>
      </c>
      <c r="F62" s="638" t="s">
        <v>144</v>
      </c>
      <c r="G62" s="638" t="s">
        <v>144</v>
      </c>
      <c r="H62" s="638" t="s">
        <v>144</v>
      </c>
      <c r="I62" s="639" t="s">
        <v>144</v>
      </c>
      <c r="J62" s="862" t="s">
        <v>145</v>
      </c>
      <c r="K62" s="863"/>
      <c r="L62" s="863"/>
      <c r="M62" s="360">
        <v>0.59819999999999995</v>
      </c>
    </row>
    <row r="63" spans="2:19" ht="23.25" customHeight="1">
      <c r="B63" s="640" t="s">
        <v>146</v>
      </c>
      <c r="C63" s="830" t="s">
        <v>147</v>
      </c>
      <c r="D63" s="831"/>
      <c r="E63" s="834" t="s">
        <v>148</v>
      </c>
      <c r="F63" s="835" t="s">
        <v>149</v>
      </c>
      <c r="G63" s="835"/>
      <c r="H63" s="835"/>
      <c r="I63" s="836"/>
      <c r="J63" s="862" t="s">
        <v>150</v>
      </c>
      <c r="K63" s="863"/>
      <c r="L63" s="863"/>
      <c r="M63" s="360">
        <v>0.121</v>
      </c>
    </row>
    <row r="64" spans="2:19" ht="15" customHeight="1">
      <c r="B64" s="135" t="s">
        <v>144</v>
      </c>
      <c r="C64" s="830"/>
      <c r="D64" s="831"/>
      <c r="E64" s="834"/>
      <c r="F64" s="835"/>
      <c r="G64" s="835"/>
      <c r="H64" s="835"/>
      <c r="I64" s="836"/>
      <c r="J64" s="862" t="s">
        <v>151</v>
      </c>
      <c r="K64" s="863"/>
      <c r="L64" s="863"/>
      <c r="M64" s="360">
        <v>5.1999999999999998E-2</v>
      </c>
    </row>
    <row r="65" spans="2:13" ht="15" customHeight="1">
      <c r="B65" s="640" t="s">
        <v>144</v>
      </c>
      <c r="C65" s="421"/>
      <c r="D65" s="641" t="s">
        <v>144</v>
      </c>
      <c r="E65" s="647" t="s">
        <v>144</v>
      </c>
      <c r="I65" s="642" t="s">
        <v>144</v>
      </c>
      <c r="J65" s="862" t="s">
        <v>152</v>
      </c>
      <c r="K65" s="863"/>
      <c r="L65" s="863"/>
      <c r="M65" s="360">
        <v>3.4200000000000001E-2</v>
      </c>
    </row>
    <row r="66" spans="2:13" ht="13.35" customHeight="1">
      <c r="B66" s="640" t="s">
        <v>153</v>
      </c>
      <c r="C66" s="832" t="s">
        <v>154</v>
      </c>
      <c r="D66" s="833"/>
      <c r="E66" s="837" t="s">
        <v>155</v>
      </c>
      <c r="F66" s="835" t="s">
        <v>156</v>
      </c>
      <c r="G66" s="835"/>
      <c r="H66" s="835"/>
      <c r="I66" s="836"/>
      <c r="J66" s="862" t="s">
        <v>157</v>
      </c>
      <c r="K66" s="863"/>
      <c r="L66" s="863"/>
      <c r="M66" s="360">
        <v>3.2599999999999997E-2</v>
      </c>
    </row>
    <row r="67" spans="2:13" ht="13.35" customHeight="1">
      <c r="B67" s="135" t="s">
        <v>144</v>
      </c>
      <c r="C67" s="832"/>
      <c r="D67" s="833"/>
      <c r="E67" s="837"/>
      <c r="F67" s="835"/>
      <c r="G67" s="835"/>
      <c r="H67" s="835"/>
      <c r="I67" s="836"/>
      <c r="J67" s="862" t="s">
        <v>158</v>
      </c>
      <c r="K67" s="863"/>
      <c r="L67" s="863"/>
      <c r="M67" s="360">
        <v>2.5600000000000001E-2</v>
      </c>
    </row>
    <row r="68" spans="2:13" ht="13.35" customHeight="1">
      <c r="B68" s="135" t="s">
        <v>144</v>
      </c>
      <c r="D68" s="642" t="s">
        <v>144</v>
      </c>
      <c r="E68" s="647" t="s">
        <v>144</v>
      </c>
      <c r="I68" s="642" t="s">
        <v>144</v>
      </c>
      <c r="J68" s="862" t="s">
        <v>159</v>
      </c>
      <c r="K68" s="863"/>
      <c r="L68" s="863"/>
      <c r="M68" s="360">
        <v>1.6E-2</v>
      </c>
    </row>
    <row r="69" spans="2:13" ht="13.35" customHeight="1">
      <c r="B69" s="135" t="s">
        <v>144</v>
      </c>
      <c r="D69" s="642" t="s">
        <v>144</v>
      </c>
      <c r="E69" s="647" t="s">
        <v>144</v>
      </c>
      <c r="I69" s="642" t="s">
        <v>144</v>
      </c>
      <c r="J69" s="862" t="s">
        <v>160</v>
      </c>
      <c r="K69" s="863"/>
      <c r="L69" s="863"/>
      <c r="M69" s="360">
        <v>1.4800000000000001E-2</v>
      </c>
    </row>
    <row r="70" spans="2:13" ht="13.35" customHeight="1">
      <c r="B70" s="135" t="s">
        <v>144</v>
      </c>
      <c r="D70" s="642" t="s">
        <v>144</v>
      </c>
      <c r="E70" s="647" t="s">
        <v>144</v>
      </c>
      <c r="I70" s="642" t="s">
        <v>144</v>
      </c>
      <c r="J70" s="862" t="s">
        <v>161</v>
      </c>
      <c r="K70" s="863"/>
      <c r="L70" s="863"/>
      <c r="M70" s="360">
        <v>1.47E-2</v>
      </c>
    </row>
    <row r="71" spans="2:13" ht="13.35" customHeight="1">
      <c r="B71" s="643" t="s">
        <v>144</v>
      </c>
      <c r="C71" s="644" t="s">
        <v>144</v>
      </c>
      <c r="D71" s="645" t="s">
        <v>144</v>
      </c>
      <c r="E71" s="648" t="s">
        <v>144</v>
      </c>
      <c r="F71" s="644" t="s">
        <v>144</v>
      </c>
      <c r="G71" s="644" t="s">
        <v>144</v>
      </c>
      <c r="H71" s="644" t="s">
        <v>144</v>
      </c>
      <c r="I71" s="645" t="s">
        <v>144</v>
      </c>
      <c r="J71" s="862" t="s">
        <v>162</v>
      </c>
      <c r="K71" s="863"/>
      <c r="L71" s="863"/>
      <c r="M71" s="360">
        <v>7.0000000000000001E-3</v>
      </c>
    </row>
    <row r="72" spans="2:13" ht="12.95">
      <c r="B72" s="841" t="s">
        <v>163</v>
      </c>
      <c r="C72" s="842"/>
      <c r="D72" s="842"/>
      <c r="E72" s="842" t="s">
        <v>164</v>
      </c>
      <c r="F72" s="842"/>
      <c r="G72" s="842"/>
      <c r="H72" s="842"/>
      <c r="I72" s="842"/>
      <c r="J72" s="862" t="s">
        <v>165</v>
      </c>
      <c r="K72" s="863"/>
      <c r="L72" s="863"/>
      <c r="M72" s="360">
        <v>5.7000000000000002E-3</v>
      </c>
    </row>
    <row r="73" spans="2:13" ht="15" customHeight="1">
      <c r="B73" s="637" t="s">
        <v>144</v>
      </c>
      <c r="C73" s="650" t="s">
        <v>144</v>
      </c>
      <c r="D73" s="651" t="s">
        <v>144</v>
      </c>
      <c r="E73" s="649" t="s">
        <v>144</v>
      </c>
      <c r="F73" s="650" t="s">
        <v>144</v>
      </c>
      <c r="G73" s="650" t="s">
        <v>144</v>
      </c>
      <c r="H73" s="650" t="s">
        <v>144</v>
      </c>
      <c r="I73" s="651" t="s">
        <v>144</v>
      </c>
      <c r="J73" s="862" t="s">
        <v>166</v>
      </c>
      <c r="K73" s="863"/>
      <c r="L73" s="863"/>
      <c r="M73" s="360">
        <v>3.2000000000000002E-3</v>
      </c>
    </row>
    <row r="74" spans="2:13" ht="15" customHeight="1">
      <c r="B74" s="840" t="s">
        <v>167</v>
      </c>
      <c r="C74" s="835" t="s">
        <v>168</v>
      </c>
      <c r="D74" s="836"/>
      <c r="E74" s="834" t="s">
        <v>169</v>
      </c>
      <c r="F74" s="830" t="s">
        <v>170</v>
      </c>
      <c r="G74" s="830"/>
      <c r="H74" s="830"/>
      <c r="I74" s="843"/>
      <c r="J74" s="862" t="s">
        <v>171</v>
      </c>
      <c r="K74" s="863"/>
      <c r="L74" s="863"/>
      <c r="M74" s="360">
        <v>2.5000000000000001E-3</v>
      </c>
    </row>
    <row r="75" spans="2:13" ht="15" customHeight="1">
      <c r="B75" s="840"/>
      <c r="C75" s="835"/>
      <c r="D75" s="836"/>
      <c r="E75" s="834"/>
      <c r="F75" s="830"/>
      <c r="G75" s="830"/>
      <c r="H75" s="830"/>
      <c r="I75" s="843"/>
      <c r="J75" s="862" t="s">
        <v>172</v>
      </c>
      <c r="K75" s="863"/>
      <c r="L75" s="863"/>
      <c r="M75" s="360">
        <v>2.0999999999999999E-3</v>
      </c>
    </row>
    <row r="76" spans="2:13" ht="15" customHeight="1">
      <c r="B76" s="640" t="s">
        <v>144</v>
      </c>
      <c r="C76" s="652"/>
      <c r="D76" s="653" t="s">
        <v>144</v>
      </c>
      <c r="E76" s="834"/>
      <c r="F76" s="830"/>
      <c r="G76" s="830"/>
      <c r="H76" s="830"/>
      <c r="I76" s="843"/>
      <c r="J76" s="862" t="s">
        <v>173</v>
      </c>
      <c r="K76" s="863"/>
      <c r="L76" s="863"/>
      <c r="M76" s="360">
        <v>5.3E-3</v>
      </c>
    </row>
    <row r="77" spans="2:13" ht="13.35" customHeight="1">
      <c r="B77" s="640" t="s">
        <v>174</v>
      </c>
      <c r="C77" s="1138" t="s">
        <v>175</v>
      </c>
      <c r="D77" s="1139"/>
      <c r="J77" s="862" t="s">
        <v>176</v>
      </c>
      <c r="K77" s="863"/>
      <c r="L77" s="863"/>
      <c r="M77" s="360">
        <v>5.45E-2</v>
      </c>
    </row>
    <row r="78" spans="2:13" ht="13.35" customHeight="1">
      <c r="B78" s="1140" t="s">
        <v>144</v>
      </c>
      <c r="C78" s="1141"/>
      <c r="D78" s="1142"/>
      <c r="E78" s="837" t="s">
        <v>177</v>
      </c>
      <c r="F78" s="838" t="s">
        <v>178</v>
      </c>
      <c r="G78" s="838"/>
      <c r="H78" s="838"/>
      <c r="I78" s="839"/>
      <c r="J78" s="862" t="s">
        <v>179</v>
      </c>
      <c r="K78" s="863"/>
      <c r="L78" s="863"/>
      <c r="M78" s="360">
        <v>2.0999999999999999E-3</v>
      </c>
    </row>
    <row r="79" spans="2:13" ht="12.95">
      <c r="B79" s="657" t="s">
        <v>144</v>
      </c>
      <c r="C79" s="652"/>
      <c r="D79" s="653" t="s">
        <v>144</v>
      </c>
      <c r="E79" s="837"/>
      <c r="F79" s="838"/>
      <c r="G79" s="838"/>
      <c r="H79" s="838"/>
      <c r="I79" s="839"/>
      <c r="J79" s="862" t="s">
        <v>180</v>
      </c>
      <c r="K79" s="863"/>
      <c r="L79" s="863"/>
      <c r="M79" s="360">
        <v>2E-3</v>
      </c>
    </row>
    <row r="80" spans="2:13" ht="13.35" customHeight="1">
      <c r="B80" s="657" t="s">
        <v>144</v>
      </c>
      <c r="C80" s="652"/>
      <c r="D80" s="653" t="s">
        <v>144</v>
      </c>
      <c r="J80" s="957" t="s">
        <v>181</v>
      </c>
      <c r="K80" s="958"/>
      <c r="L80" s="958"/>
      <c r="M80" s="360">
        <f>SUM(M61:M79)</f>
        <v>0.99349999999999994</v>
      </c>
    </row>
    <row r="81" spans="2:13" ht="12.95">
      <c r="B81" s="658" t="s">
        <v>144</v>
      </c>
      <c r="C81" s="655" t="s">
        <v>144</v>
      </c>
      <c r="D81" s="656" t="s">
        <v>144</v>
      </c>
      <c r="E81" s="654" t="s">
        <v>144</v>
      </c>
      <c r="F81" s="655" t="s">
        <v>144</v>
      </c>
      <c r="G81" s="655" t="s">
        <v>144</v>
      </c>
      <c r="H81" s="655" t="s">
        <v>144</v>
      </c>
      <c r="I81" s="656" t="s">
        <v>144</v>
      </c>
      <c r="J81" s="955"/>
      <c r="K81" s="956"/>
      <c r="L81" s="956"/>
      <c r="M81" s="636"/>
    </row>
    <row r="82" spans="2:13" ht="15.6">
      <c r="B82" s="989" t="s">
        <v>182</v>
      </c>
      <c r="C82" s="990"/>
      <c r="D82" s="990"/>
      <c r="E82" s="990"/>
      <c r="F82" s="990"/>
      <c r="G82" s="927" t="s">
        <v>183</v>
      </c>
      <c r="H82" s="927"/>
      <c r="I82" s="927"/>
      <c r="J82" s="927"/>
      <c r="K82" s="927"/>
      <c r="L82" s="927"/>
      <c r="M82" s="928"/>
    </row>
    <row r="83" spans="2:13" s="10" customFormat="1">
      <c r="B83" s="1143"/>
      <c r="C83" s="959"/>
      <c r="D83" s="959"/>
      <c r="E83" s="959"/>
      <c r="F83" s="960"/>
      <c r="G83"/>
      <c r="H83"/>
      <c r="I83"/>
      <c r="J83"/>
      <c r="K83"/>
      <c r="L83"/>
      <c r="M83" s="47"/>
    </row>
    <row r="84" spans="2:13" hidden="1">
      <c r="B84" s="961"/>
      <c r="C84" s="962"/>
      <c r="D84" s="962"/>
      <c r="E84" s="962"/>
      <c r="F84" s="963"/>
      <c r="M84" s="47"/>
    </row>
    <row r="85" spans="2:13" hidden="1">
      <c r="B85" s="961"/>
      <c r="C85" s="962"/>
      <c r="D85" s="962"/>
      <c r="E85" s="962"/>
      <c r="F85" s="963"/>
      <c r="M85" s="47"/>
    </row>
    <row r="86" spans="2:13">
      <c r="B86" s="961"/>
      <c r="C86" s="962"/>
      <c r="D86" s="962"/>
      <c r="E86" s="962"/>
      <c r="F86" s="963"/>
      <c r="M86" s="47"/>
    </row>
    <row r="87" spans="2:13">
      <c r="B87" s="961"/>
      <c r="C87" s="962"/>
      <c r="D87" s="962"/>
      <c r="E87" s="962"/>
      <c r="F87" s="963"/>
      <c r="M87" s="47"/>
    </row>
    <row r="88" spans="2:13">
      <c r="B88" s="961"/>
      <c r="C88" s="962"/>
      <c r="D88" s="962"/>
      <c r="E88" s="962"/>
      <c r="F88" s="963"/>
      <c r="M88" s="47"/>
    </row>
    <row r="89" spans="2:13">
      <c r="B89" s="961"/>
      <c r="C89" s="962"/>
      <c r="D89" s="962"/>
      <c r="E89" s="962"/>
      <c r="F89" s="963"/>
      <c r="M89" s="47"/>
    </row>
    <row r="90" spans="2:13">
      <c r="B90" s="961"/>
      <c r="C90" s="962"/>
      <c r="D90" s="962"/>
      <c r="E90" s="962"/>
      <c r="F90" s="963"/>
      <c r="M90" s="47"/>
    </row>
    <row r="91" spans="2:13">
      <c r="B91" s="961"/>
      <c r="C91" s="962"/>
      <c r="D91" s="962"/>
      <c r="E91" s="962"/>
      <c r="F91" s="963"/>
      <c r="M91" s="47"/>
    </row>
    <row r="92" spans="2:13">
      <c r="B92" s="961"/>
      <c r="C92" s="962"/>
      <c r="D92" s="962"/>
      <c r="E92" s="962"/>
      <c r="F92" s="963"/>
      <c r="M92" s="47"/>
    </row>
    <row r="93" spans="2:13">
      <c r="B93" s="961"/>
      <c r="C93" s="962"/>
      <c r="D93" s="962"/>
      <c r="E93" s="962"/>
      <c r="F93" s="963"/>
      <c r="M93" s="47"/>
    </row>
    <row r="94" spans="2:13">
      <c r="B94" s="961"/>
      <c r="C94" s="962"/>
      <c r="D94" s="962"/>
      <c r="E94" s="962"/>
      <c r="F94" s="963"/>
      <c r="M94" s="47"/>
    </row>
    <row r="95" spans="2:13">
      <c r="B95" s="961"/>
      <c r="C95" s="962"/>
      <c r="D95" s="962"/>
      <c r="E95" s="962"/>
      <c r="F95" s="963"/>
      <c r="M95" s="47"/>
    </row>
    <row r="96" spans="2:13">
      <c r="B96" s="961"/>
      <c r="C96" s="962"/>
      <c r="D96" s="962"/>
      <c r="E96" s="962"/>
      <c r="F96" s="963"/>
      <c r="M96" s="47"/>
    </row>
    <row r="97" spans="2:13">
      <c r="B97" s="961"/>
      <c r="C97" s="962"/>
      <c r="D97" s="962"/>
      <c r="E97" s="962"/>
      <c r="F97" s="963"/>
      <c r="M97" s="47"/>
    </row>
    <row r="98" spans="2:13">
      <c r="B98" s="961"/>
      <c r="C98" s="962"/>
      <c r="D98" s="962"/>
      <c r="E98" s="962"/>
      <c r="F98" s="963"/>
      <c r="M98" s="47"/>
    </row>
    <row r="99" spans="2:13">
      <c r="B99" s="961"/>
      <c r="C99" s="962"/>
      <c r="D99" s="962"/>
      <c r="E99" s="962"/>
      <c r="F99" s="963"/>
      <c r="M99" s="47"/>
    </row>
    <row r="100" spans="2:13">
      <c r="B100" s="961"/>
      <c r="C100" s="962"/>
      <c r="D100" s="962"/>
      <c r="E100" s="962"/>
      <c r="F100" s="963"/>
      <c r="M100" s="47"/>
    </row>
    <row r="101" spans="2:13">
      <c r="B101" s="961"/>
      <c r="C101" s="962"/>
      <c r="D101" s="962"/>
      <c r="E101" s="962"/>
      <c r="F101" s="963"/>
      <c r="M101" s="47"/>
    </row>
    <row r="102" spans="2:13">
      <c r="B102" s="961"/>
      <c r="C102" s="962"/>
      <c r="D102" s="962"/>
      <c r="E102" s="962"/>
      <c r="F102" s="963"/>
      <c r="M102" s="47"/>
    </row>
    <row r="103" spans="2:13">
      <c r="B103" s="961"/>
      <c r="C103" s="962"/>
      <c r="D103" s="962"/>
      <c r="E103" s="962"/>
      <c r="F103" s="963"/>
      <c r="M103" s="47"/>
    </row>
    <row r="104" spans="2:13">
      <c r="B104" s="961"/>
      <c r="C104" s="962"/>
      <c r="D104" s="962"/>
      <c r="E104" s="962"/>
      <c r="F104" s="963"/>
      <c r="M104" s="47"/>
    </row>
    <row r="105" spans="2:13">
      <c r="B105" s="961"/>
      <c r="C105" s="962"/>
      <c r="D105" s="962"/>
      <c r="E105" s="962"/>
      <c r="F105" s="963"/>
      <c r="M105" s="47"/>
    </row>
    <row r="106" spans="2:13" ht="12.95" thickBot="1">
      <c r="B106" s="961"/>
      <c r="C106" s="962"/>
      <c r="D106" s="962"/>
      <c r="E106" s="962"/>
      <c r="F106" s="963"/>
      <c r="M106" s="47"/>
    </row>
    <row r="107" spans="2:13" ht="26.45" customHeight="1" thickBot="1">
      <c r="B107" s="964"/>
      <c r="C107" s="965"/>
      <c r="D107" s="965"/>
      <c r="E107" s="965"/>
      <c r="F107" s="966"/>
      <c r="G107" s="997" t="e" vm="1">
        <f>E2</f>
        <v>#VALUE!</v>
      </c>
      <c r="H107" s="997"/>
      <c r="I107" s="806" t="e" vm="2">
        <f>Peers!D8</f>
        <v>#VALUE!</v>
      </c>
      <c r="J107" s="807" t="e" vm="3">
        <f>Peers!E8</f>
        <v>#VALUE!</v>
      </c>
      <c r="K107" s="808" t="e" vm="4">
        <f>Peers!F8</f>
        <v>#VALUE!</v>
      </c>
      <c r="L107" s="809" t="e" vm="5">
        <f>Peers!G8</f>
        <v>#VALUE!</v>
      </c>
      <c r="M107" s="546" t="e" vm="6">
        <f>Peers!H8</f>
        <v>#VALUE!</v>
      </c>
    </row>
  </sheetData>
  <mergeCells count="147">
    <mergeCell ref="B82:F82"/>
    <mergeCell ref="J76:L76"/>
    <mergeCell ref="J71:L71"/>
    <mergeCell ref="J56:K56"/>
    <mergeCell ref="J57:K57"/>
    <mergeCell ref="J58:K58"/>
    <mergeCell ref="G107:H107"/>
    <mergeCell ref="G82:M82"/>
    <mergeCell ref="J61:L61"/>
    <mergeCell ref="E72:I72"/>
    <mergeCell ref="J64:L64"/>
    <mergeCell ref="J65:L65"/>
    <mergeCell ref="J66:L66"/>
    <mergeCell ref="J67:L67"/>
    <mergeCell ref="J68:L68"/>
    <mergeCell ref="J69:L69"/>
    <mergeCell ref="J70:L70"/>
    <mergeCell ref="J62:L62"/>
    <mergeCell ref="J63:L63"/>
    <mergeCell ref="E61:I61"/>
    <mergeCell ref="J75:L75"/>
    <mergeCell ref="J77:L77"/>
    <mergeCell ref="J78:L78"/>
    <mergeCell ref="J79:L79"/>
    <mergeCell ref="J81:L81"/>
    <mergeCell ref="J80:L80"/>
    <mergeCell ref="B83:F107"/>
    <mergeCell ref="J20:K20"/>
    <mergeCell ref="F32:G32"/>
    <mergeCell ref="F31:G31"/>
    <mergeCell ref="B59:M59"/>
    <mergeCell ref="C36:G36"/>
    <mergeCell ref="J45:M45"/>
    <mergeCell ref="B44:M44"/>
    <mergeCell ref="I40:I41"/>
    <mergeCell ref="I42:I43"/>
    <mergeCell ref="J40:K41"/>
    <mergeCell ref="J42:K43"/>
    <mergeCell ref="L40:L41"/>
    <mergeCell ref="L42:L43"/>
    <mergeCell ref="M40:M41"/>
    <mergeCell ref="M42:M43"/>
    <mergeCell ref="J47:K47"/>
    <mergeCell ref="J48:K48"/>
    <mergeCell ref="J49:K49"/>
    <mergeCell ref="J50:K50"/>
    <mergeCell ref="J51:K51"/>
    <mergeCell ref="J52:K52"/>
    <mergeCell ref="J74:L74"/>
    <mergeCell ref="F29:G29"/>
    <mergeCell ref="F30:G30"/>
    <mergeCell ref="H35:H38"/>
    <mergeCell ref="C37:G37"/>
    <mergeCell ref="C38:G38"/>
    <mergeCell ref="C41:G41"/>
    <mergeCell ref="E2:K2"/>
    <mergeCell ref="F20:G20"/>
    <mergeCell ref="F28:G28"/>
    <mergeCell ref="F26:G26"/>
    <mergeCell ref="J21:K21"/>
    <mergeCell ref="I22:J22"/>
    <mergeCell ref="I23:J23"/>
    <mergeCell ref="I24:J24"/>
    <mergeCell ref="I25:J25"/>
    <mergeCell ref="I26:J26"/>
    <mergeCell ref="I27:J27"/>
    <mergeCell ref="I28:J28"/>
    <mergeCell ref="F27:G27"/>
    <mergeCell ref="D4:G17"/>
    <mergeCell ref="D3:G3"/>
    <mergeCell ref="H3:M3"/>
    <mergeCell ref="J53:K53"/>
    <mergeCell ref="J73:L73"/>
    <mergeCell ref="J54:K54"/>
    <mergeCell ref="J55:K55"/>
    <mergeCell ref="I30:J30"/>
    <mergeCell ref="I31:J31"/>
    <mergeCell ref="I34:M34"/>
    <mergeCell ref="B39:G39"/>
    <mergeCell ref="C40:G40"/>
    <mergeCell ref="C35:G35"/>
    <mergeCell ref="I35:M38"/>
    <mergeCell ref="I39:M39"/>
    <mergeCell ref="B33:M33"/>
    <mergeCell ref="H40:H43"/>
    <mergeCell ref="J60:M60"/>
    <mergeCell ref="B60:I60"/>
    <mergeCell ref="B61:D61"/>
    <mergeCell ref="J14:K14"/>
    <mergeCell ref="J15:K15"/>
    <mergeCell ref="L13:M13"/>
    <mergeCell ref="L14:M14"/>
    <mergeCell ref="L15:M15"/>
    <mergeCell ref="H16:M17"/>
    <mergeCell ref="F23:G23"/>
    <mergeCell ref="J72:L72"/>
    <mergeCell ref="F19:H19"/>
    <mergeCell ref="F22:G22"/>
    <mergeCell ref="B34:G34"/>
    <mergeCell ref="I19:K19"/>
    <mergeCell ref="C43:G43"/>
    <mergeCell ref="C42:G42"/>
    <mergeCell ref="I29:J29"/>
    <mergeCell ref="F24:G24"/>
    <mergeCell ref="L19:M19"/>
    <mergeCell ref="B19:C19"/>
    <mergeCell ref="B29:C29"/>
    <mergeCell ref="D19:E19"/>
    <mergeCell ref="B18:M18"/>
    <mergeCell ref="J13:K13"/>
    <mergeCell ref="B3:C14"/>
    <mergeCell ref="B15:C15"/>
    <mergeCell ref="L4:M4"/>
    <mergeCell ref="L5:M5"/>
    <mergeCell ref="L6:M6"/>
    <mergeCell ref="L7:M7"/>
    <mergeCell ref="L8:M8"/>
    <mergeCell ref="L9:M9"/>
    <mergeCell ref="L10:M10"/>
    <mergeCell ref="L11:M11"/>
    <mergeCell ref="L12:M12"/>
    <mergeCell ref="J4:K4"/>
    <mergeCell ref="J5:K5"/>
    <mergeCell ref="J6:K6"/>
    <mergeCell ref="J7:K7"/>
    <mergeCell ref="J8:K8"/>
    <mergeCell ref="J9:K9"/>
    <mergeCell ref="J10:K10"/>
    <mergeCell ref="J11:K11"/>
    <mergeCell ref="J12:K12"/>
    <mergeCell ref="F25:G25"/>
    <mergeCell ref="F21:G21"/>
    <mergeCell ref="C77:D77"/>
    <mergeCell ref="B78:D78"/>
    <mergeCell ref="C63:D64"/>
    <mergeCell ref="C66:D67"/>
    <mergeCell ref="E63:E64"/>
    <mergeCell ref="F63:I64"/>
    <mergeCell ref="E66:E67"/>
    <mergeCell ref="F66:I67"/>
    <mergeCell ref="E78:E79"/>
    <mergeCell ref="F78:I79"/>
    <mergeCell ref="B74:B75"/>
    <mergeCell ref="C74:D75"/>
    <mergeCell ref="B72:D72"/>
    <mergeCell ref="E74:E76"/>
    <mergeCell ref="F74:I76"/>
  </mergeCells>
  <phoneticPr fontId="0" type="noConversion"/>
  <conditionalFormatting sqref="C30">
    <cfRule type="expression" dxfId="43" priority="2">
      <formula>$C$8="Low"</formula>
    </cfRule>
  </conditionalFormatting>
  <conditionalFormatting sqref="C31">
    <cfRule type="expression" dxfId="42" priority="1">
      <formula>$C$9="Low"</formula>
    </cfRule>
  </conditionalFormatting>
  <conditionalFormatting sqref="C46:C54 D46:E46">
    <cfRule type="dataBar" priority="13">
      <dataBar>
        <cfvo type="min"/>
        <cfvo type="max"/>
        <color rgb="FF63C384"/>
      </dataBar>
      <extLst>
        <ext xmlns:x14="http://schemas.microsoft.com/office/spreadsheetml/2009/9/main" uri="{B025F937-C7B1-47D3-B67F-A62EFF666E3E}">
          <x14:id>{F4773E1D-8C81-41A2-B9F2-E9E8E2054B23}</x14:id>
        </ext>
      </extLst>
    </cfRule>
  </conditionalFormatting>
  <conditionalFormatting sqref="D46:D54">
    <cfRule type="dataBar" priority="12">
      <dataBar>
        <cfvo type="min"/>
        <cfvo type="max"/>
        <color rgb="FF638EC6"/>
      </dataBar>
      <extLst>
        <ext xmlns:x14="http://schemas.microsoft.com/office/spreadsheetml/2009/9/main" uri="{B025F937-C7B1-47D3-B67F-A62EFF666E3E}">
          <x14:id>{AB45923C-EAD5-474F-8382-F5BEE7164463}</x14:id>
        </ext>
      </extLst>
    </cfRule>
  </conditionalFormatting>
  <conditionalFormatting sqref="D47:D54">
    <cfRule type="dataBar" priority="19">
      <dataBar>
        <cfvo type="min"/>
        <cfvo type="max"/>
        <color rgb="FF638EC6"/>
      </dataBar>
      <extLst>
        <ext xmlns:x14="http://schemas.microsoft.com/office/spreadsheetml/2009/9/main" uri="{B025F937-C7B1-47D3-B67F-A62EFF666E3E}">
          <x14:id>{8F05AC94-FB75-41DC-A030-BD50695363B2}</x14:id>
        </ext>
      </extLst>
    </cfRule>
    <cfRule type="dataBar" priority="21">
      <dataBar>
        <cfvo type="min"/>
        <cfvo type="max"/>
        <color rgb="FF63C384"/>
      </dataBar>
      <extLst>
        <ext xmlns:x14="http://schemas.microsoft.com/office/spreadsheetml/2009/9/main" uri="{B025F937-C7B1-47D3-B67F-A62EFF666E3E}">
          <x14:id>{16E131EF-4CFA-4C45-B407-C7FA5F1CCD58}</x14:id>
        </ext>
      </extLst>
    </cfRule>
  </conditionalFormatting>
  <conditionalFormatting sqref="E46:E54">
    <cfRule type="dataBar" priority="11">
      <dataBar>
        <cfvo type="min"/>
        <cfvo type="max"/>
        <color rgb="FFFF555A"/>
      </dataBar>
      <extLst>
        <ext xmlns:x14="http://schemas.microsoft.com/office/spreadsheetml/2009/9/main" uri="{B025F937-C7B1-47D3-B67F-A62EFF666E3E}">
          <x14:id>{4C108334-4BC4-4B0F-A919-0620BA53FECB}</x14:id>
        </ext>
      </extLst>
    </cfRule>
  </conditionalFormatting>
  <conditionalFormatting sqref="E47:E54">
    <cfRule type="dataBar" priority="14">
      <dataBar>
        <cfvo type="min"/>
        <cfvo type="max"/>
        <color rgb="FF63C384"/>
      </dataBar>
      <extLst>
        <ext xmlns:x14="http://schemas.microsoft.com/office/spreadsheetml/2009/9/main" uri="{B025F937-C7B1-47D3-B67F-A62EFF666E3E}">
          <x14:id>{3D2B4733-6086-41B3-B3A7-1CB39146AAEB}</x14:id>
        </ext>
      </extLst>
    </cfRule>
  </conditionalFormatting>
  <conditionalFormatting sqref="E55:E58 G55:G58 I55:I58">
    <cfRule type="dataBar" priority="16">
      <dataBar>
        <cfvo type="min"/>
        <cfvo type="max"/>
        <color rgb="FF638EC6"/>
      </dataBar>
      <extLst>
        <ext xmlns:x14="http://schemas.microsoft.com/office/spreadsheetml/2009/9/main" uri="{B025F937-C7B1-47D3-B67F-A62EFF666E3E}">
          <x14:id>{4382A5A4-8938-4754-913D-04C8EB3E9944}</x14:id>
        </ext>
      </extLst>
    </cfRule>
    <cfRule type="dataBar" priority="17">
      <dataBar>
        <cfvo type="min"/>
        <cfvo type="max"/>
        <color rgb="FF63C384"/>
      </dataBar>
      <extLst>
        <ext xmlns:x14="http://schemas.microsoft.com/office/spreadsheetml/2009/9/main" uri="{B025F937-C7B1-47D3-B67F-A62EFF666E3E}">
          <x14:id>{CA48BEF9-536B-483E-93D1-1D70FAC05115}</x14:id>
        </ext>
      </extLst>
    </cfRule>
  </conditionalFormatting>
  <conditionalFormatting sqref="F46:F54">
    <cfRule type="dataBar" priority="18">
      <dataBar>
        <cfvo type="min"/>
        <cfvo type="max"/>
        <color rgb="FF63C384"/>
      </dataBar>
      <extLst>
        <ext xmlns:x14="http://schemas.microsoft.com/office/spreadsheetml/2009/9/main" uri="{B025F937-C7B1-47D3-B67F-A62EFF666E3E}">
          <x14:id>{FD1FEF9A-F365-4DFE-A927-1852D99D71EB}</x14:id>
        </ext>
      </extLst>
    </cfRule>
  </conditionalFormatting>
  <conditionalFormatting sqref="G46:G54">
    <cfRule type="dataBar" priority="20">
      <dataBar>
        <cfvo type="min"/>
        <cfvo type="max"/>
        <color rgb="FF63C384"/>
      </dataBar>
      <extLst>
        <ext xmlns:x14="http://schemas.microsoft.com/office/spreadsheetml/2009/9/main" uri="{B025F937-C7B1-47D3-B67F-A62EFF666E3E}">
          <x14:id>{ADD19CCF-E818-42F8-BF99-60EF2D3A801A}</x14:id>
        </ext>
      </extLst>
    </cfRule>
  </conditionalFormatting>
  <conditionalFormatting sqref="H21:H25">
    <cfRule type="dataBar" priority="10">
      <dataBar>
        <cfvo type="min"/>
        <cfvo type="max"/>
        <color rgb="FF638EC6"/>
      </dataBar>
      <extLst>
        <ext xmlns:x14="http://schemas.microsoft.com/office/spreadsheetml/2009/9/main" uri="{B025F937-C7B1-47D3-B67F-A62EFF666E3E}">
          <x14:id>{FB1A4ECC-D3E1-4C53-9ADF-103FFC3A87EE}</x14:id>
        </ext>
      </extLst>
    </cfRule>
  </conditionalFormatting>
  <conditionalFormatting sqref="H27:H31">
    <cfRule type="dataBar" priority="9">
      <dataBar>
        <cfvo type="min"/>
        <cfvo type="max"/>
        <color rgb="FF638EC6"/>
      </dataBar>
      <extLst>
        <ext xmlns:x14="http://schemas.microsoft.com/office/spreadsheetml/2009/9/main" uri="{B025F937-C7B1-47D3-B67F-A62EFF666E3E}">
          <x14:id>{6EB89896-7685-489D-A212-BEDCDA6C1614}</x14:id>
        </ext>
      </extLst>
    </cfRule>
  </conditionalFormatting>
  <conditionalFormatting sqref="H46:H54">
    <cfRule type="dataBar" priority="23">
      <dataBar>
        <cfvo type="min"/>
        <cfvo type="max"/>
        <color rgb="FF63C384"/>
      </dataBar>
      <extLst>
        <ext xmlns:x14="http://schemas.microsoft.com/office/spreadsheetml/2009/9/main" uri="{B025F937-C7B1-47D3-B67F-A62EFF666E3E}">
          <x14:id>{595E424D-F3AE-4040-A937-2E859AA15AD2}</x14:id>
        </ext>
      </extLst>
    </cfRule>
  </conditionalFormatting>
  <conditionalFormatting sqref="I46:I54">
    <cfRule type="dataBar" priority="15">
      <dataBar>
        <cfvo type="min"/>
        <cfvo type="max"/>
        <color rgb="FF63C384"/>
      </dataBar>
      <extLst>
        <ext xmlns:x14="http://schemas.microsoft.com/office/spreadsheetml/2009/9/main" uri="{B025F937-C7B1-47D3-B67F-A62EFF666E3E}">
          <x14:id>{60823727-C433-4BFE-A422-F2DB16A0B39B}</x14:id>
        </ext>
      </extLst>
    </cfRule>
  </conditionalFormatting>
  <conditionalFormatting sqref="J42:K43">
    <cfRule type="cellIs" dxfId="41" priority="3" operator="lessThan">
      <formula>0</formula>
    </cfRule>
    <cfRule type="cellIs" dxfId="40" priority="4" operator="greaterThan">
      <formula>0</formula>
    </cfRule>
  </conditionalFormatting>
  <conditionalFormatting sqref="M40:M43">
    <cfRule type="cellIs" dxfId="39" priority="5" operator="lessThan">
      <formula>0</formula>
    </cfRule>
    <cfRule type="cellIs" dxfId="38" priority="6" operator="greaterThan">
      <formula>0</formula>
    </cfRule>
  </conditionalFormatting>
  <printOptions horizontalCentered="1" verticalCentered="1"/>
  <pageMargins left="0" right="0" top="0.19685039370078741" bottom="0.19685039370078741" header="0" footer="0"/>
  <pageSetup paperSize="134" scale="47" orientation="landscape" r:id="rId1"/>
  <headerFooter alignWithMargins="0"/>
  <ignoredErrors>
    <ignoredError sqref="N50:S57 P47:S49" evalError="1"/>
  </ignoredErrors>
  <drawing r:id="rId2"/>
  <legacyDrawing r:id="rId3"/>
  <extLst>
    <ext xmlns:x14="http://schemas.microsoft.com/office/spreadsheetml/2009/9/main" uri="{78C0D931-6437-407d-A8EE-F0AAD7539E65}">
      <x14:conditionalFormattings>
        <x14:conditionalFormatting xmlns:xm="http://schemas.microsoft.com/office/excel/2006/main">
          <x14:cfRule type="dataBar" id="{F4773E1D-8C81-41A2-B9F2-E9E8E2054B23}">
            <x14:dataBar minLength="0" maxLength="100" border="1" negativeBarBorderColorSameAsPositive="0">
              <x14:cfvo type="autoMin"/>
              <x14:cfvo type="autoMax"/>
              <x14:borderColor rgb="FF63C384"/>
              <x14:negativeFillColor rgb="FFFF0000"/>
              <x14:negativeBorderColor rgb="FFFF0000"/>
              <x14:axisColor rgb="FF000000"/>
            </x14:dataBar>
          </x14:cfRule>
          <xm:sqref>C46:C54 D46:E46</xm:sqref>
        </x14:conditionalFormatting>
        <x14:conditionalFormatting xmlns:xm="http://schemas.microsoft.com/office/excel/2006/main">
          <x14:cfRule type="dataBar" id="{AB45923C-EAD5-474F-8382-F5BEE7164463}">
            <x14:dataBar minLength="0" maxLength="100" gradient="0">
              <x14:cfvo type="autoMin"/>
              <x14:cfvo type="autoMax"/>
              <x14:negativeFillColor rgb="FFFF0000"/>
              <x14:axisColor rgb="FF000000"/>
            </x14:dataBar>
          </x14:cfRule>
          <xm:sqref>D46:D54</xm:sqref>
        </x14:conditionalFormatting>
        <x14:conditionalFormatting xmlns:xm="http://schemas.microsoft.com/office/excel/2006/main">
          <x14:cfRule type="dataBar" id="{8F05AC94-FB75-41DC-A030-BD50695363B2}">
            <x14:dataBar minLength="0" maxLength="100" gradient="0">
              <x14:cfvo type="autoMin"/>
              <x14:cfvo type="autoMax"/>
              <x14:negativeFillColor rgb="FFFF0000"/>
              <x14:axisColor rgb="FF000000"/>
            </x14:dataBar>
          </x14:cfRule>
          <x14:cfRule type="dataBar" id="{16E131EF-4CFA-4C45-B407-C7FA5F1CCD58}">
            <x14:dataBar minLength="0" maxLength="100" gradient="0">
              <x14:cfvo type="autoMin"/>
              <x14:cfvo type="autoMax"/>
              <x14:negativeFillColor rgb="FFFF0000"/>
              <x14:axisColor rgb="FF000000"/>
            </x14:dataBar>
          </x14:cfRule>
          <xm:sqref>D47:D54</xm:sqref>
        </x14:conditionalFormatting>
        <x14:conditionalFormatting xmlns:xm="http://schemas.microsoft.com/office/excel/2006/main">
          <x14:cfRule type="dataBar" id="{4C108334-4BC4-4B0F-A919-0620BA53FECB}">
            <x14:dataBar minLength="0" maxLength="100" border="1" negativeBarBorderColorSameAsPositive="0">
              <x14:cfvo type="autoMin"/>
              <x14:cfvo type="autoMax"/>
              <x14:borderColor rgb="FFFF555A"/>
              <x14:negativeFillColor rgb="FFFF0000"/>
              <x14:negativeBorderColor rgb="FFFF0000"/>
              <x14:axisColor rgb="FF000000"/>
            </x14:dataBar>
          </x14:cfRule>
          <xm:sqref>E46:E54</xm:sqref>
        </x14:conditionalFormatting>
        <x14:conditionalFormatting xmlns:xm="http://schemas.microsoft.com/office/excel/2006/main">
          <x14:cfRule type="dataBar" id="{3D2B4733-6086-41B3-B3A7-1CB39146AAEB}">
            <x14:dataBar minLength="0" maxLength="100" border="1" negativeBarBorderColorSameAsPositive="0">
              <x14:cfvo type="autoMin"/>
              <x14:cfvo type="autoMax"/>
              <x14:borderColor rgb="FF63C384"/>
              <x14:negativeFillColor rgb="FFFF0000"/>
              <x14:negativeBorderColor rgb="FFFF0000"/>
              <x14:axisColor rgb="FF000000"/>
            </x14:dataBar>
          </x14:cfRule>
          <xm:sqref>E47:E54</xm:sqref>
        </x14:conditionalFormatting>
        <x14:conditionalFormatting xmlns:xm="http://schemas.microsoft.com/office/excel/2006/main">
          <x14:cfRule type="dataBar" id="{4382A5A4-8938-4754-913D-04C8EB3E9944}">
            <x14:dataBar minLength="0" maxLength="100" gradient="0">
              <x14:cfvo type="autoMin"/>
              <x14:cfvo type="autoMax"/>
              <x14:negativeFillColor rgb="FFFF0000"/>
              <x14:axisColor rgb="FF000000"/>
            </x14:dataBar>
          </x14:cfRule>
          <x14:cfRule type="dataBar" id="{CA48BEF9-536B-483E-93D1-1D70FAC05115}">
            <x14:dataBar minLength="0" maxLength="100" gradient="0">
              <x14:cfvo type="autoMin"/>
              <x14:cfvo type="autoMax"/>
              <x14:negativeFillColor rgb="FFFF0000"/>
              <x14:axisColor rgb="FF000000"/>
            </x14:dataBar>
          </x14:cfRule>
          <xm:sqref>E55:E58 G55:G58 I55:I58</xm:sqref>
        </x14:conditionalFormatting>
        <x14:conditionalFormatting xmlns:xm="http://schemas.microsoft.com/office/excel/2006/main">
          <x14:cfRule type="dataBar" id="{FD1FEF9A-F365-4DFE-A927-1852D99D71EB}">
            <x14:dataBar minLength="0" maxLength="100" gradient="0">
              <x14:cfvo type="autoMin"/>
              <x14:cfvo type="autoMax"/>
              <x14:negativeFillColor rgb="FFFF0000"/>
              <x14:axisColor rgb="FF000000"/>
            </x14:dataBar>
          </x14:cfRule>
          <xm:sqref>F46:F54</xm:sqref>
        </x14:conditionalFormatting>
        <x14:conditionalFormatting xmlns:xm="http://schemas.microsoft.com/office/excel/2006/main">
          <x14:cfRule type="dataBar" id="{ADD19CCF-E818-42F8-BF99-60EF2D3A801A}">
            <x14:dataBar minLength="0" maxLength="100" border="1" negativeBarBorderColorSameAsPositive="0">
              <x14:cfvo type="autoMin"/>
              <x14:cfvo type="autoMax"/>
              <x14:borderColor rgb="FF63C384"/>
              <x14:negativeFillColor rgb="FFFF0000"/>
              <x14:negativeBorderColor rgb="FFFF0000"/>
              <x14:axisColor rgb="FF000000"/>
            </x14:dataBar>
          </x14:cfRule>
          <xm:sqref>G46:G54</xm:sqref>
        </x14:conditionalFormatting>
        <x14:conditionalFormatting xmlns:xm="http://schemas.microsoft.com/office/excel/2006/main">
          <x14:cfRule type="dataBar" id="{FB1A4ECC-D3E1-4C53-9ADF-103FFC3A87EE}">
            <x14:dataBar minLength="0" maxLength="100" border="1" negativeBarBorderColorSameAsPositive="0">
              <x14:cfvo type="autoMin"/>
              <x14:cfvo type="autoMax"/>
              <x14:borderColor rgb="FF638EC6"/>
              <x14:negativeFillColor rgb="FFFF0000"/>
              <x14:negativeBorderColor rgb="FFFF0000"/>
              <x14:axisColor rgb="FF000000"/>
            </x14:dataBar>
          </x14:cfRule>
          <xm:sqref>H21:H25</xm:sqref>
        </x14:conditionalFormatting>
        <x14:conditionalFormatting xmlns:xm="http://schemas.microsoft.com/office/excel/2006/main">
          <x14:cfRule type="dataBar" id="{6EB89896-7685-489D-A212-BEDCDA6C1614}">
            <x14:dataBar minLength="0" maxLength="100" border="1" negativeBarBorderColorSameAsPositive="0">
              <x14:cfvo type="autoMin"/>
              <x14:cfvo type="autoMax"/>
              <x14:borderColor rgb="FF638EC6"/>
              <x14:negativeFillColor rgb="FFFF0000"/>
              <x14:negativeBorderColor rgb="FFFF0000"/>
              <x14:axisColor rgb="FF000000"/>
            </x14:dataBar>
          </x14:cfRule>
          <xm:sqref>H27:H31</xm:sqref>
        </x14:conditionalFormatting>
        <x14:conditionalFormatting xmlns:xm="http://schemas.microsoft.com/office/excel/2006/main">
          <x14:cfRule type="dataBar" id="{595E424D-F3AE-4040-A937-2E859AA15AD2}">
            <x14:dataBar minLength="0" maxLength="100" border="1" negativeBarBorderColorSameAsPositive="0">
              <x14:cfvo type="autoMin"/>
              <x14:cfvo type="autoMax"/>
              <x14:borderColor rgb="FF63C384"/>
              <x14:negativeFillColor rgb="FFFF0000"/>
              <x14:negativeBorderColor rgb="FFFF0000"/>
              <x14:axisColor rgb="FF000000"/>
            </x14:dataBar>
          </x14:cfRule>
          <xm:sqref>H46:H54</xm:sqref>
        </x14:conditionalFormatting>
        <x14:conditionalFormatting xmlns:xm="http://schemas.microsoft.com/office/excel/2006/main">
          <x14:cfRule type="dataBar" id="{60823727-C433-4BFE-A422-F2DB16A0B39B}">
            <x14:dataBar minLength="0" maxLength="100" border="1" negativeBarBorderColorSameAsPositive="0">
              <x14:cfvo type="autoMin"/>
              <x14:cfvo type="autoMax"/>
              <x14:borderColor rgb="FF63C384"/>
              <x14:negativeFillColor rgb="FFFF0000"/>
              <x14:negativeBorderColor rgb="FFFF0000"/>
              <x14:axisColor rgb="FF000000"/>
            </x14:dataBar>
          </x14:cfRule>
          <xm:sqref>I46:I54</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135C9-1A05-401F-9A18-8F99730AE9FF}">
  <sheetPr>
    <tabColor theme="9"/>
  </sheetPr>
  <dimension ref="B1:Y75"/>
  <sheetViews>
    <sheetView showGridLines="0" zoomScaleNormal="100" workbookViewId="0">
      <selection activeCell="E33" sqref="E33"/>
    </sheetView>
  </sheetViews>
  <sheetFormatPr defaultColWidth="11.42578125" defaultRowHeight="12.6"/>
  <cols>
    <col min="1" max="1" width="2.140625" customWidth="1"/>
    <col min="2" max="2" width="11.140625" customWidth="1"/>
    <col min="3" max="3" width="42.85546875" customWidth="1"/>
    <col min="4" max="4" width="15.42578125" style="2" customWidth="1"/>
    <col min="5" max="9" width="15.42578125" customWidth="1"/>
    <col min="10" max="10" width="11.42578125" bestFit="1" customWidth="1"/>
    <col min="11" max="11" width="14.140625" customWidth="1"/>
    <col min="12" max="12" width="14.42578125" customWidth="1"/>
    <col min="13" max="16" width="9.140625"/>
    <col min="17" max="17" width="23.42578125" customWidth="1"/>
  </cols>
  <sheetData>
    <row r="1" spans="2:25" ht="7.5" customHeight="1"/>
    <row r="2" spans="2:25" ht="20.100000000000001">
      <c r="B2" s="1002" t="str">
        <f>"Regions "&amp;"("&amp;[2]OP!$J$20&amp;")"</f>
        <v>Regions (2023)</v>
      </c>
      <c r="C2" s="1003"/>
      <c r="D2" s="1003"/>
      <c r="E2" s="1003"/>
      <c r="F2" s="1003"/>
      <c r="G2" s="1003"/>
      <c r="H2" s="1003"/>
      <c r="I2" s="1003"/>
      <c r="J2" s="1003"/>
      <c r="K2" s="1003"/>
      <c r="L2" s="1003"/>
      <c r="M2" s="1003"/>
      <c r="N2" s="1003"/>
      <c r="O2" s="1003"/>
      <c r="P2" s="1003"/>
      <c r="Q2" s="1004" t="s">
        <v>184</v>
      </c>
      <c r="R2" s="1005"/>
      <c r="S2" s="1005"/>
      <c r="T2" s="1005"/>
      <c r="U2" s="1005"/>
      <c r="V2" s="1005"/>
      <c r="W2" s="1005"/>
      <c r="X2" s="1005"/>
      <c r="Y2" s="1006"/>
    </row>
    <row r="3" spans="2:25" ht="18">
      <c r="B3" s="166"/>
      <c r="C3" s="167"/>
      <c r="D3" s="1007" t="s">
        <v>185</v>
      </c>
      <c r="E3" s="1007"/>
      <c r="F3" s="1007"/>
      <c r="G3" s="1007"/>
      <c r="H3" s="1007"/>
      <c r="I3" s="1008"/>
      <c r="J3" s="144"/>
      <c r="K3" s="1009" t="s">
        <v>186</v>
      </c>
      <c r="L3" s="1009"/>
      <c r="M3" s="1009"/>
      <c r="N3" s="1009"/>
      <c r="O3" s="1009"/>
      <c r="P3" s="1009"/>
      <c r="Q3" s="135"/>
      <c r="Y3" s="160"/>
    </row>
    <row r="4" spans="2:25" ht="12.95">
      <c r="B4" s="150" t="s">
        <v>187</v>
      </c>
      <c r="C4" s="151" t="s">
        <v>188</v>
      </c>
      <c r="D4" s="152">
        <f>[2]OP!J20</f>
        <v>2023</v>
      </c>
      <c r="E4" s="152">
        <f>D4-1</f>
        <v>2022</v>
      </c>
      <c r="F4" s="152">
        <f>E4-1</f>
        <v>2021</v>
      </c>
      <c r="G4" s="152">
        <f>F4-1</f>
        <v>2020</v>
      </c>
      <c r="H4" s="152">
        <f>G4-1</f>
        <v>2019</v>
      </c>
      <c r="I4" s="152">
        <f>H4-1</f>
        <v>2018</v>
      </c>
      <c r="J4" s="145"/>
      <c r="K4" s="152">
        <f>[2]OP!J20</f>
        <v>2023</v>
      </c>
      <c r="L4" s="152">
        <f t="shared" ref="L4:P4" si="0">K4-1</f>
        <v>2022</v>
      </c>
      <c r="M4" s="152">
        <f t="shared" si="0"/>
        <v>2021</v>
      </c>
      <c r="N4" s="152">
        <f t="shared" si="0"/>
        <v>2020</v>
      </c>
      <c r="O4" s="152">
        <f t="shared" si="0"/>
        <v>2019</v>
      </c>
      <c r="P4" s="168">
        <f t="shared" si="0"/>
        <v>2018</v>
      </c>
      <c r="Q4" s="135"/>
      <c r="Y4" s="160"/>
    </row>
    <row r="5" spans="2:25" ht="12.95">
      <c r="B5" s="148">
        <f t="shared" ref="B5:B12" si="1">IFERROR(D5/$D$13,"")</f>
        <v>0.12490291262135923</v>
      </c>
      <c r="C5" s="149" t="s">
        <v>189</v>
      </c>
      <c r="D5" s="153">
        <v>257.3</v>
      </c>
      <c r="E5" s="659">
        <f>(182.2*1000)*0.001</f>
        <v>182.20000000000002</v>
      </c>
      <c r="F5" s="659">
        <f>(217.6*1000)*0.001</f>
        <v>217.6</v>
      </c>
      <c r="G5" s="659">
        <f>(184.6*1000)*0.001</f>
        <v>184.6</v>
      </c>
      <c r="H5" s="659">
        <f>(260.5*1000)*0.001</f>
        <v>260.5</v>
      </c>
      <c r="I5" s="659">
        <f>(290.5*1000)*0.001</f>
        <v>290.5</v>
      </c>
      <c r="J5" s="146"/>
      <c r="K5" s="276">
        <f t="shared" ref="K5:O10" si="2">(D5-E5)/E5</f>
        <v>0.41218441273326006</v>
      </c>
      <c r="L5" s="276">
        <f t="shared" si="2"/>
        <v>-0.16268382352941166</v>
      </c>
      <c r="M5" s="276">
        <f t="shared" si="2"/>
        <v>0.17876489707475623</v>
      </c>
      <c r="N5" s="276">
        <f t="shared" si="2"/>
        <v>-0.29136276391554705</v>
      </c>
      <c r="O5" s="276">
        <f t="shared" si="2"/>
        <v>-0.10327022375215146</v>
      </c>
      <c r="P5" s="276" t="s">
        <v>18</v>
      </c>
      <c r="Q5" s="135"/>
      <c r="Y5" s="160"/>
    </row>
    <row r="6" spans="2:25" ht="12.95">
      <c r="B6" s="148">
        <f t="shared" si="1"/>
        <v>0.14791262135922328</v>
      </c>
      <c r="C6" s="149" t="s">
        <v>190</v>
      </c>
      <c r="D6" s="659">
        <f>(304.7*1000)*0.001</f>
        <v>304.7</v>
      </c>
      <c r="E6" s="153">
        <f>(236.3*1000)*0.001</f>
        <v>236.3</v>
      </c>
      <c r="F6" s="153">
        <f>(187.7*1000)*0.001</f>
        <v>187.70000000000002</v>
      </c>
      <c r="G6" s="153">
        <f>(138.4*1000)*0.001</f>
        <v>138.4</v>
      </c>
      <c r="H6" s="659">
        <f>(157.5*1000)*0.001</f>
        <v>157.5</v>
      </c>
      <c r="I6" s="153">
        <f>(113*1000)*0.001</f>
        <v>113</v>
      </c>
      <c r="J6" s="146"/>
      <c r="K6" s="276">
        <f t="shared" si="2"/>
        <v>0.28946254760897155</v>
      </c>
      <c r="L6" s="276">
        <f t="shared" si="2"/>
        <v>0.25892381459776231</v>
      </c>
      <c r="M6" s="276">
        <f t="shared" si="2"/>
        <v>0.35621387283236999</v>
      </c>
      <c r="N6" s="276">
        <f t="shared" si="2"/>
        <v>-0.12126984126984124</v>
      </c>
      <c r="O6" s="276">
        <f t="shared" si="2"/>
        <v>0.39380530973451328</v>
      </c>
      <c r="P6" s="276" t="s">
        <v>18</v>
      </c>
      <c r="Q6" s="135"/>
      <c r="Y6" s="160"/>
    </row>
    <row r="7" spans="2:25" ht="12.95">
      <c r="B7" s="148">
        <f t="shared" si="1"/>
        <v>4.4616504854368931E-2</v>
      </c>
      <c r="C7" s="149" t="s">
        <v>191</v>
      </c>
      <c r="D7" s="153">
        <f>(91.91*1000)*0.001</f>
        <v>91.91</v>
      </c>
      <c r="E7" s="153">
        <f>(68.94*1000)*0.001</f>
        <v>68.94</v>
      </c>
      <c r="F7" s="153">
        <f>(65.62*1000)*0.001</f>
        <v>65.62</v>
      </c>
      <c r="G7" s="153">
        <f>(70.23*1000)*0.001</f>
        <v>70.23</v>
      </c>
      <c r="H7" s="153">
        <f>(101*1000)*0.001</f>
        <v>101</v>
      </c>
      <c r="I7" s="153">
        <f>(84.86*1000)*0.001</f>
        <v>84.86</v>
      </c>
      <c r="J7" s="146"/>
      <c r="K7" s="276">
        <f t="shared" si="2"/>
        <v>0.33318827966347547</v>
      </c>
      <c r="L7" s="276">
        <f t="shared" si="2"/>
        <v>5.0594330996647258E-2</v>
      </c>
      <c r="M7" s="276">
        <f t="shared" si="2"/>
        <v>-6.564146376192509E-2</v>
      </c>
      <c r="N7" s="276">
        <f t="shared" si="2"/>
        <v>-0.30465346534653459</v>
      </c>
      <c r="O7" s="276">
        <f t="shared" si="2"/>
        <v>0.19019561630921519</v>
      </c>
      <c r="P7" s="276" t="s">
        <v>18</v>
      </c>
      <c r="Q7" s="135"/>
      <c r="Y7" s="160"/>
    </row>
    <row r="8" spans="2:25" ht="12.95">
      <c r="B8" s="148">
        <f t="shared" si="1"/>
        <v>0.31262135922330098</v>
      </c>
      <c r="C8" s="149" t="s">
        <v>192</v>
      </c>
      <c r="D8" s="153">
        <f>(644*1000)*0.001</f>
        <v>644</v>
      </c>
      <c r="E8" s="153">
        <f>(520.5*1000)*0.001</f>
        <v>520.5</v>
      </c>
      <c r="F8" s="153">
        <f>(696.5*1000)*0.001</f>
        <v>696.5</v>
      </c>
      <c r="G8" s="153">
        <f>(500.2*1000)*0.001</f>
        <v>500.2</v>
      </c>
      <c r="H8" s="153">
        <f>(513.3*1000)*0.001</f>
        <v>513.29999999999995</v>
      </c>
      <c r="I8" s="153">
        <f>(477.9*1000)*0.001</f>
        <v>477.90000000000003</v>
      </c>
      <c r="J8" s="146"/>
      <c r="K8" s="276">
        <f t="shared" si="2"/>
        <v>0.2372718539865514</v>
      </c>
      <c r="L8" s="276">
        <f t="shared" si="2"/>
        <v>-0.25269203158650394</v>
      </c>
      <c r="M8" s="276">
        <f t="shared" si="2"/>
        <v>0.39244302279088367</v>
      </c>
      <c r="N8" s="276">
        <f t="shared" si="2"/>
        <v>-2.5521137736216573E-2</v>
      </c>
      <c r="O8" s="276">
        <f t="shared" si="2"/>
        <v>7.4074074074073903E-2</v>
      </c>
      <c r="P8" s="276" t="s">
        <v>18</v>
      </c>
      <c r="Q8" s="135"/>
      <c r="Y8" s="160"/>
    </row>
    <row r="9" spans="2:25" ht="12.95">
      <c r="B9" s="148">
        <f t="shared" si="1"/>
        <v>0.20184466019417477</v>
      </c>
      <c r="C9" s="149" t="s">
        <v>193</v>
      </c>
      <c r="D9" s="153">
        <f>(415.8*1000)*0.001</f>
        <v>415.8</v>
      </c>
      <c r="E9" s="153">
        <f>(284.8*1000)*0.001</f>
        <v>284.8</v>
      </c>
      <c r="F9" s="659">
        <f>(208.3*1000)*0.001</f>
        <v>208.3</v>
      </c>
      <c r="G9" s="153">
        <f>(131.1*1000)*0.001</f>
        <v>131.1</v>
      </c>
      <c r="H9" s="153">
        <f>(230.3*1000)*0.001</f>
        <v>230.3</v>
      </c>
      <c r="I9" s="153">
        <f>(228.6*1000)*0.001</f>
        <v>228.6</v>
      </c>
      <c r="J9" s="146"/>
      <c r="K9" s="276">
        <f t="shared" si="2"/>
        <v>0.45997191011235955</v>
      </c>
      <c r="L9" s="276">
        <f t="shared" si="2"/>
        <v>0.36725876140182429</v>
      </c>
      <c r="M9" s="276">
        <f>(F9-G9)/G9</f>
        <v>0.58886346300533954</v>
      </c>
      <c r="N9" s="276">
        <f>(G9-H9)/H9</f>
        <v>-0.43074250976986544</v>
      </c>
      <c r="O9" s="276">
        <f t="shared" si="2"/>
        <v>7.436570428696488E-3</v>
      </c>
      <c r="P9" s="276" t="s">
        <v>18</v>
      </c>
      <c r="Q9" s="135"/>
      <c r="Y9" s="160"/>
    </row>
    <row r="10" spans="2:25" ht="12.95">
      <c r="B10" s="148">
        <f t="shared" si="1"/>
        <v>0.16810194174757281</v>
      </c>
      <c r="C10" s="138" t="s">
        <v>194</v>
      </c>
      <c r="D10" s="660">
        <f>(346.29*1000)*0.001</f>
        <v>346.29</v>
      </c>
      <c r="E10" s="142">
        <f>(280.26*1000)*0.001</f>
        <v>280.26</v>
      </c>
      <c r="F10" s="142">
        <f>(153.28*1000)*0.001</f>
        <v>153.28</v>
      </c>
      <c r="G10" s="142">
        <f>(133.47*1000)*0.001</f>
        <v>133.47</v>
      </c>
      <c r="H10" s="142">
        <f>(216.4*1000)*0.001</f>
        <v>216.4</v>
      </c>
      <c r="I10" s="142">
        <f>(201.14*1000)*0.001</f>
        <v>201.14000000000001</v>
      </c>
      <c r="J10" s="146"/>
      <c r="K10" s="276">
        <f t="shared" si="2"/>
        <v>0.23560265467779931</v>
      </c>
      <c r="L10" s="276">
        <f t="shared" si="2"/>
        <v>0.82841858037578275</v>
      </c>
      <c r="M10" s="276">
        <f>(F10-G10)/G10</f>
        <v>0.1484228665617742</v>
      </c>
      <c r="N10" s="276">
        <f>(G10-H10)/H10</f>
        <v>-0.38322550831792979</v>
      </c>
      <c r="O10" s="276">
        <f t="shared" si="2"/>
        <v>7.5867554936859843E-2</v>
      </c>
      <c r="P10" s="276" t="s">
        <v>18</v>
      </c>
      <c r="Q10" s="135"/>
      <c r="Y10" s="160"/>
    </row>
    <row r="11" spans="2:25" ht="12.95" hidden="1">
      <c r="B11" s="139">
        <f t="shared" si="1"/>
        <v>0</v>
      </c>
      <c r="C11" s="138"/>
      <c r="D11" s="142"/>
      <c r="E11" s="142"/>
      <c r="F11" s="142"/>
      <c r="G11" s="142"/>
      <c r="H11" s="142"/>
      <c r="I11" s="142"/>
      <c r="J11" s="146"/>
      <c r="K11" s="142"/>
      <c r="L11" s="142"/>
      <c r="M11" s="142"/>
      <c r="N11" s="142"/>
      <c r="O11" s="142"/>
      <c r="P11" s="169"/>
      <c r="Q11" s="135"/>
      <c r="Y11" s="160"/>
    </row>
    <row r="12" spans="2:25" ht="12.95" hidden="1">
      <c r="B12" s="140">
        <f t="shared" si="1"/>
        <v>0</v>
      </c>
      <c r="C12" s="154"/>
      <c r="D12" s="587"/>
      <c r="E12" s="587"/>
      <c r="F12" s="587"/>
      <c r="G12" s="587"/>
      <c r="H12" s="587"/>
      <c r="I12" s="587"/>
      <c r="J12" s="146"/>
      <c r="K12" s="143"/>
      <c r="L12" s="143"/>
      <c r="M12" s="143"/>
      <c r="N12" s="143"/>
      <c r="O12" s="143"/>
      <c r="P12" s="170"/>
      <c r="Q12" s="135"/>
      <c r="Y12" s="160"/>
    </row>
    <row r="13" spans="2:25" ht="12.95">
      <c r="B13" s="141">
        <f>SUM(B5:B12)</f>
        <v>1</v>
      </c>
      <c r="C13" s="585" t="s">
        <v>181</v>
      </c>
      <c r="D13" s="582">
        <f>SUM(D5:D12)</f>
        <v>2060</v>
      </c>
      <c r="E13" s="583">
        <f t="shared" ref="E13:I13" si="3">SUM(E5:E12)</f>
        <v>1573</v>
      </c>
      <c r="F13" s="583">
        <f t="shared" si="3"/>
        <v>1529</v>
      </c>
      <c r="G13" s="583">
        <f t="shared" si="3"/>
        <v>1158</v>
      </c>
      <c r="H13" s="583">
        <f t="shared" si="3"/>
        <v>1479</v>
      </c>
      <c r="I13" s="584">
        <f t="shared" si="3"/>
        <v>1396</v>
      </c>
      <c r="J13" s="586"/>
      <c r="K13" s="278">
        <f>(D13-E13)/E13</f>
        <v>0.30959949141767323</v>
      </c>
      <c r="L13" s="278">
        <f>(E13-F13)/F13</f>
        <v>2.8776978417266189E-2</v>
      </c>
      <c r="M13" s="278">
        <f>(F13-G13)/G13</f>
        <v>0.32037996545768566</v>
      </c>
      <c r="N13" s="278">
        <f t="shared" ref="N13:O13" si="4">(G13-H13)/H13</f>
        <v>-0.21703853955375255</v>
      </c>
      <c r="O13" s="278">
        <f t="shared" si="4"/>
        <v>5.9455587392550142E-2</v>
      </c>
      <c r="P13" s="278" t="s">
        <v>18</v>
      </c>
      <c r="Q13" s="135"/>
      <c r="Y13" s="160"/>
    </row>
    <row r="14" spans="2:25" ht="12.95">
      <c r="B14" s="164"/>
      <c r="C14" s="6"/>
      <c r="D14" s="14"/>
      <c r="E14" s="14"/>
      <c r="F14" s="14"/>
      <c r="G14" s="14"/>
      <c r="H14" s="14"/>
      <c r="I14" s="14"/>
      <c r="J14" s="14"/>
      <c r="K14" s="14"/>
      <c r="L14" s="14"/>
      <c r="M14" s="14"/>
      <c r="N14" s="14"/>
      <c r="O14" s="14"/>
      <c r="P14" s="14"/>
      <c r="Q14" s="135"/>
      <c r="Y14" s="160"/>
    </row>
    <row r="15" spans="2:25" ht="20.100000000000001">
      <c r="B15" s="1002" t="str">
        <f>"Categories "&amp;"("&amp;[2]OP!$J$20&amp;")"</f>
        <v>Categories (2023)</v>
      </c>
      <c r="C15" s="1003"/>
      <c r="D15" s="1003"/>
      <c r="E15" s="1003"/>
      <c r="F15" s="1003"/>
      <c r="G15" s="1003"/>
      <c r="H15" s="1003"/>
      <c r="I15" s="1003"/>
      <c r="J15" s="1003"/>
      <c r="K15" s="1003"/>
      <c r="L15" s="1003"/>
      <c r="M15" s="1003"/>
      <c r="N15" s="1003"/>
      <c r="O15" s="1003"/>
      <c r="P15" s="1003"/>
      <c r="Q15" s="135"/>
      <c r="S15" s="282"/>
      <c r="Y15" s="160"/>
    </row>
    <row r="16" spans="2:25" ht="20.100000000000001">
      <c r="B16" s="166"/>
      <c r="C16" s="167"/>
      <c r="D16" s="1010" t="s">
        <v>185</v>
      </c>
      <c r="E16" s="1011"/>
      <c r="F16" s="1011"/>
      <c r="G16" s="1011"/>
      <c r="H16" s="1011"/>
      <c r="I16" s="1012"/>
      <c r="J16" s="144"/>
      <c r="K16" s="1013" t="s">
        <v>186</v>
      </c>
      <c r="L16" s="1014"/>
      <c r="M16" s="1014"/>
      <c r="N16" s="1014"/>
      <c r="O16" s="1014"/>
      <c r="P16" s="1014"/>
      <c r="Q16" s="135"/>
      <c r="Y16" s="160"/>
    </row>
    <row r="17" spans="2:25" ht="12.95">
      <c r="B17" s="165" t="s">
        <v>187</v>
      </c>
      <c r="C17" s="134" t="s">
        <v>195</v>
      </c>
      <c r="D17" s="152">
        <f>[2]OP!J20</f>
        <v>2023</v>
      </c>
      <c r="E17" s="152">
        <f>D17-1</f>
        <v>2022</v>
      </c>
      <c r="F17" s="152">
        <f>E17-1</f>
        <v>2021</v>
      </c>
      <c r="G17" s="152">
        <f>F17-1</f>
        <v>2020</v>
      </c>
      <c r="H17" s="152">
        <f>G17-1</f>
        <v>2019</v>
      </c>
      <c r="I17" s="152">
        <f>H17-1</f>
        <v>2018</v>
      </c>
      <c r="J17" s="145"/>
      <c r="K17" s="147">
        <f>[2]OP!J20</f>
        <v>2023</v>
      </c>
      <c r="L17" s="147">
        <f t="shared" ref="L17:P17" si="5">K17-1</f>
        <v>2022</v>
      </c>
      <c r="M17" s="147">
        <f t="shared" si="5"/>
        <v>2021</v>
      </c>
      <c r="N17" s="147">
        <f t="shared" si="5"/>
        <v>2020</v>
      </c>
      <c r="O17" s="147">
        <f t="shared" si="5"/>
        <v>2019</v>
      </c>
      <c r="P17" s="171">
        <f t="shared" si="5"/>
        <v>2018</v>
      </c>
      <c r="Q17" s="135"/>
      <c r="Y17" s="160"/>
    </row>
    <row r="18" spans="2:25" ht="12.95">
      <c r="B18" s="148">
        <f t="shared" ref="B18:B23" si="6">IFERROR(D18/$D$24,"")</f>
        <v>0.58254553223308225</v>
      </c>
      <c r="C18" s="137" t="s">
        <v>196</v>
      </c>
      <c r="D18" s="153">
        <f>(1199.77*1000)*0.001</f>
        <v>1199.77</v>
      </c>
      <c r="E18" s="153">
        <f>(973.35*1000)*0.001</f>
        <v>973.35</v>
      </c>
      <c r="F18" s="153">
        <f>(1002.23*1000)*0.001</f>
        <v>1002.23</v>
      </c>
      <c r="G18" s="153">
        <f>(726.52*1000)*0.001</f>
        <v>726.52</v>
      </c>
      <c r="H18" s="153">
        <f>(1029.25*1000)*0.001</f>
        <v>1029.25</v>
      </c>
      <c r="I18" s="153">
        <f>(1097.98*1000)*0.001</f>
        <v>1097.98</v>
      </c>
      <c r="J18" s="146"/>
      <c r="K18" s="279">
        <f>(D18-E18)/E18</f>
        <v>0.23261930446396462</v>
      </c>
      <c r="L18" s="279">
        <f t="shared" ref="L18:O24" si="7">(E18-F18)/F18</f>
        <v>-2.8815740897797905E-2</v>
      </c>
      <c r="M18" s="279">
        <f t="shared" si="7"/>
        <v>0.37949402631723839</v>
      </c>
      <c r="N18" s="279">
        <f t="shared" si="7"/>
        <v>-0.29412679135292691</v>
      </c>
      <c r="O18" s="279">
        <f t="shared" si="7"/>
        <v>-6.2596768611450138E-2</v>
      </c>
      <c r="P18" s="279" t="s">
        <v>18</v>
      </c>
      <c r="Q18" s="135"/>
      <c r="Y18" s="160"/>
    </row>
    <row r="19" spans="2:25" ht="12.95">
      <c r="B19" s="148">
        <f t="shared" si="6"/>
        <v>0.19868610799551351</v>
      </c>
      <c r="C19" s="480" t="s">
        <v>197</v>
      </c>
      <c r="D19" s="153">
        <f>(409.2*1000)*0.001</f>
        <v>409.2</v>
      </c>
      <c r="E19" s="153">
        <f>(347.66*1000)*0.001</f>
        <v>347.66</v>
      </c>
      <c r="F19" s="153">
        <f>(311.55*1000)*0.001</f>
        <v>311.55</v>
      </c>
      <c r="G19" s="153">
        <f>(204.88*1000)*0.001</f>
        <v>204.88</v>
      </c>
      <c r="H19" s="153">
        <f>(179.75*1000)*0.001</f>
        <v>179.75</v>
      </c>
      <c r="I19" s="153">
        <f>(22.5*1000)*0.001</f>
        <v>22.5</v>
      </c>
      <c r="J19" s="146"/>
      <c r="K19" s="279">
        <f>(D19-E19)/E19</f>
        <v>0.17701202324109749</v>
      </c>
      <c r="L19" s="279">
        <f t="shared" si="7"/>
        <v>0.11590434922163381</v>
      </c>
      <c r="M19" s="279">
        <f t="shared" si="7"/>
        <v>0.5206462319406483</v>
      </c>
      <c r="N19" s="279">
        <f t="shared" si="7"/>
        <v>0.13980528511821971</v>
      </c>
      <c r="O19" s="279">
        <f t="shared" si="7"/>
        <v>6.9888888888888889</v>
      </c>
      <c r="P19" s="481" t="s">
        <v>18</v>
      </c>
      <c r="Q19" s="135"/>
      <c r="Y19" s="160"/>
    </row>
    <row r="20" spans="2:25" ht="12.95">
      <c r="B20" s="148">
        <f t="shared" si="6"/>
        <v>0.12366899244002272</v>
      </c>
      <c r="C20" s="138" t="s">
        <v>198</v>
      </c>
      <c r="D20" s="659">
        <f>(254.7*1000)*0.001</f>
        <v>254.70000000000002</v>
      </c>
      <c r="E20" s="659" t="s">
        <v>199</v>
      </c>
      <c r="F20" s="659" t="s">
        <v>199</v>
      </c>
      <c r="G20" s="659" t="s">
        <v>199</v>
      </c>
      <c r="H20" s="659" t="s">
        <v>199</v>
      </c>
      <c r="I20" s="659" t="s">
        <v>199</v>
      </c>
      <c r="J20" s="146"/>
      <c r="K20" s="280" t="s">
        <v>18</v>
      </c>
      <c r="L20" s="280" t="s">
        <v>18</v>
      </c>
      <c r="M20" s="280" t="s">
        <v>18</v>
      </c>
      <c r="N20" s="280" t="s">
        <v>18</v>
      </c>
      <c r="O20" s="280" t="s">
        <v>18</v>
      </c>
      <c r="P20" s="280" t="s">
        <v>18</v>
      </c>
      <c r="Q20" s="135"/>
      <c r="Y20" s="160"/>
    </row>
    <row r="21" spans="2:25" ht="12.95">
      <c r="B21" s="148">
        <f t="shared" si="6"/>
        <v>0</v>
      </c>
      <c r="C21" s="138" t="s">
        <v>200</v>
      </c>
      <c r="D21" s="659">
        <v>0</v>
      </c>
      <c r="E21" s="659">
        <f>(103.02*1000)*0.001</f>
        <v>103.02</v>
      </c>
      <c r="F21" s="153">
        <f>(88.66*1000)*0.001</f>
        <v>88.66</v>
      </c>
      <c r="G21" s="153">
        <f>(93.91*1000)*0.001</f>
        <v>93.91</v>
      </c>
      <c r="H21" s="153">
        <f>(102.66*1000)*0.001</f>
        <v>102.66</v>
      </c>
      <c r="I21" s="153">
        <f>(108.96*1000)*0.001</f>
        <v>108.96000000000001</v>
      </c>
      <c r="J21" s="146"/>
      <c r="K21" s="280">
        <f t="shared" ref="K21:K23" si="8">(D21-E21)/E21</f>
        <v>-1</v>
      </c>
      <c r="L21" s="280">
        <f t="shared" si="7"/>
        <v>0.16196706519287166</v>
      </c>
      <c r="M21" s="280">
        <f t="shared" si="7"/>
        <v>-5.5904589500585668E-2</v>
      </c>
      <c r="N21" s="280">
        <f t="shared" si="7"/>
        <v>-8.5232807325150983E-2</v>
      </c>
      <c r="O21" s="280">
        <f t="shared" si="7"/>
        <v>-5.7819383259911997E-2</v>
      </c>
      <c r="P21" s="280" t="s">
        <v>18</v>
      </c>
      <c r="Q21" s="135"/>
      <c r="Y21" s="160"/>
    </row>
    <row r="22" spans="2:25" ht="12.95">
      <c r="B22" s="148">
        <f t="shared" si="6"/>
        <v>1.5823998679310329E-2</v>
      </c>
      <c r="C22" s="138" t="s">
        <v>194</v>
      </c>
      <c r="D22" s="153">
        <f>5.18+27.41</f>
        <v>32.590000000000003</v>
      </c>
      <c r="E22" s="153">
        <f>(4.55*1000)*0.001</f>
        <v>4.55</v>
      </c>
      <c r="F22" s="153">
        <f>((3.91+1.41)*1000)*0.001</f>
        <v>5.32</v>
      </c>
      <c r="G22" s="153">
        <f>((18.82+13.86)*1000)*0.001</f>
        <v>32.68</v>
      </c>
      <c r="H22" s="153">
        <f>((26.04+19.84)*1000)*0.001</f>
        <v>45.879999999999995</v>
      </c>
      <c r="I22" s="153">
        <f>((29.24+20.71)*1000)*0.001</f>
        <v>49.95</v>
      </c>
      <c r="J22" s="146"/>
      <c r="K22" s="280">
        <f>(D22-E22)/E22</f>
        <v>6.1626373626373638</v>
      </c>
      <c r="L22" s="280">
        <f t="shared" si="7"/>
        <v>-0.14473684210526325</v>
      </c>
      <c r="M22" s="280">
        <f t="shared" si="7"/>
        <v>-0.83720930232558144</v>
      </c>
      <c r="N22" s="280">
        <f t="shared" si="7"/>
        <v>-0.28770706190061024</v>
      </c>
      <c r="O22" s="280">
        <f t="shared" si="7"/>
        <v>-8.1481481481481627E-2</v>
      </c>
      <c r="P22" s="280" t="s">
        <v>18</v>
      </c>
      <c r="Q22" s="135"/>
      <c r="Y22" s="160"/>
    </row>
    <row r="23" spans="2:25" ht="12.95">
      <c r="B23" s="148">
        <f t="shared" si="6"/>
        <v>7.9275368652071104E-2</v>
      </c>
      <c r="C23" s="154" t="s">
        <v>201</v>
      </c>
      <c r="D23" s="588">
        <f>(163.27*1000)*0.001</f>
        <v>163.27000000000001</v>
      </c>
      <c r="E23" s="588">
        <f>(144.42*1000)*0.001</f>
        <v>144.42000000000002</v>
      </c>
      <c r="F23" s="588">
        <f>(121.24*1000)*0.001</f>
        <v>121.24000000000001</v>
      </c>
      <c r="G23" s="588">
        <f>(100.01*1000)*0.001</f>
        <v>100.01</v>
      </c>
      <c r="H23" s="588">
        <f>(121.46*1000)*0.001</f>
        <v>121.46000000000001</v>
      </c>
      <c r="I23" s="588">
        <f>(116.61*1000)*0.001</f>
        <v>116.61</v>
      </c>
      <c r="J23" s="146"/>
      <c r="K23" s="281">
        <f t="shared" si="8"/>
        <v>0.13052208835341361</v>
      </c>
      <c r="L23" s="281">
        <f t="shared" si="7"/>
        <v>0.19119102606400531</v>
      </c>
      <c r="M23" s="281">
        <f t="shared" si="7"/>
        <v>0.21227877212278776</v>
      </c>
      <c r="N23" s="281">
        <f t="shared" si="7"/>
        <v>-0.17660135023876175</v>
      </c>
      <c r="O23" s="281">
        <f t="shared" si="7"/>
        <v>4.1591630220392833E-2</v>
      </c>
      <c r="P23" s="281" t="s">
        <v>18</v>
      </c>
      <c r="Q23" s="135"/>
      <c r="Y23" s="160"/>
    </row>
    <row r="24" spans="2:25" ht="12.95">
      <c r="B24" s="141">
        <f>SUM(B18:B23)</f>
        <v>0.99999999999999978</v>
      </c>
      <c r="C24" s="585" t="s">
        <v>181</v>
      </c>
      <c r="D24" s="582">
        <f>SUM(D18:D23)</f>
        <v>2059.5300000000002</v>
      </c>
      <c r="E24" s="583">
        <f t="shared" ref="E24:I24" si="9">SUM(E18:E23)</f>
        <v>1573</v>
      </c>
      <c r="F24" s="583">
        <f t="shared" si="9"/>
        <v>1529</v>
      </c>
      <c r="G24" s="583">
        <f t="shared" si="9"/>
        <v>1158</v>
      </c>
      <c r="H24" s="583">
        <f t="shared" si="9"/>
        <v>1479</v>
      </c>
      <c r="I24" s="584">
        <f t="shared" si="9"/>
        <v>1396</v>
      </c>
      <c r="J24" s="586"/>
      <c r="K24" s="277">
        <f>(D24-E24)/E24</f>
        <v>0.30930069930069942</v>
      </c>
      <c r="L24" s="278">
        <f t="shared" si="7"/>
        <v>2.8776978417266189E-2</v>
      </c>
      <c r="M24" s="278">
        <f t="shared" si="7"/>
        <v>0.32037996545768566</v>
      </c>
      <c r="N24" s="278">
        <f t="shared" si="7"/>
        <v>-0.21703853955375255</v>
      </c>
      <c r="O24" s="278">
        <f t="shared" si="7"/>
        <v>5.9455587392550142E-2</v>
      </c>
      <c r="P24" s="278" t="s">
        <v>18</v>
      </c>
      <c r="Q24" s="135"/>
      <c r="Y24" s="160"/>
    </row>
    <row r="25" spans="2:25" ht="12.95">
      <c r="C25" s="13"/>
      <c r="D25" s="14"/>
      <c r="E25" s="825"/>
      <c r="F25" s="825"/>
      <c r="G25" s="825"/>
      <c r="H25" s="825"/>
      <c r="I25" s="825"/>
      <c r="Q25" s="135"/>
      <c r="Y25" s="160"/>
    </row>
    <row r="26" spans="2:25" ht="20.100000000000001">
      <c r="B26" s="1010" t="s">
        <v>64</v>
      </c>
      <c r="C26" s="1012"/>
      <c r="D26" s="1010" t="s">
        <v>202</v>
      </c>
      <c r="E26" s="1011"/>
      <c r="F26" s="1011"/>
      <c r="G26" s="1011"/>
      <c r="H26" s="1011"/>
      <c r="I26" s="1015" t="s">
        <v>203</v>
      </c>
      <c r="J26" s="1016"/>
      <c r="K26" s="1016"/>
      <c r="L26" s="1016"/>
      <c r="M26" s="1016"/>
      <c r="N26" s="1016"/>
      <c r="O26" s="1016"/>
      <c r="P26" s="1016"/>
      <c r="Q26" s="135"/>
      <c r="Y26" s="160"/>
    </row>
    <row r="27" spans="2:25" ht="30.6" customHeight="1">
      <c r="B27" s="998" t="s">
        <v>204</v>
      </c>
      <c r="C27" s="999"/>
      <c r="D27" s="1000" t="s">
        <v>205</v>
      </c>
      <c r="E27" s="1001"/>
      <c r="F27" s="1001"/>
      <c r="G27" s="1001"/>
      <c r="H27" s="1001"/>
      <c r="I27" s="135"/>
      <c r="Q27" s="135"/>
      <c r="Y27" s="160"/>
    </row>
    <row r="28" spans="2:25" ht="41.25" customHeight="1">
      <c r="B28" s="998" t="s">
        <v>201</v>
      </c>
      <c r="C28" s="999"/>
      <c r="D28" s="1000" t="s">
        <v>206</v>
      </c>
      <c r="E28" s="1001"/>
      <c r="F28" s="1001"/>
      <c r="G28" s="1001"/>
      <c r="H28" s="1001"/>
      <c r="I28" s="135"/>
      <c r="Q28" s="135"/>
      <c r="Y28" s="160"/>
    </row>
    <row r="29" spans="2:25" ht="28.35" customHeight="1">
      <c r="B29" s="998" t="s">
        <v>196</v>
      </c>
      <c r="C29" s="999"/>
      <c r="D29" s="1023" t="s">
        <v>207</v>
      </c>
      <c r="E29" s="1001"/>
      <c r="F29" s="1001"/>
      <c r="G29" s="1001"/>
      <c r="H29" s="1001"/>
      <c r="I29" s="135"/>
      <c r="Q29" s="135"/>
      <c r="Y29" s="160"/>
    </row>
    <row r="30" spans="2:25" ht="30.6" customHeight="1">
      <c r="B30" s="998" t="s">
        <v>197</v>
      </c>
      <c r="C30" s="999"/>
      <c r="D30" s="1023" t="s">
        <v>208</v>
      </c>
      <c r="E30" s="1001"/>
      <c r="F30" s="1001"/>
      <c r="G30" s="1001"/>
      <c r="H30" s="1001"/>
      <c r="I30" s="135"/>
      <c r="Q30" s="135"/>
      <c r="Y30" s="160"/>
    </row>
    <row r="31" spans="2:25" ht="41.25" customHeight="1">
      <c r="B31" s="998" t="s">
        <v>200</v>
      </c>
      <c r="C31" s="999"/>
      <c r="D31" s="1023" t="s">
        <v>209</v>
      </c>
      <c r="E31" s="1001"/>
      <c r="F31" s="1001"/>
      <c r="G31" s="1001"/>
      <c r="H31" s="1001"/>
      <c r="I31" s="135"/>
      <c r="Q31" s="135"/>
      <c r="Y31" s="160"/>
    </row>
    <row r="32" spans="2:25" ht="28.35" hidden="1" customHeight="1">
      <c r="B32" s="998"/>
      <c r="C32" s="999"/>
      <c r="D32" s="1029"/>
      <c r="E32" s="1030"/>
      <c r="F32" s="1030"/>
      <c r="G32" s="1030"/>
      <c r="H32" s="1030"/>
      <c r="I32" s="135"/>
      <c r="Q32" s="135"/>
      <c r="Y32" s="160"/>
    </row>
    <row r="33" spans="2:25" ht="56.25" customHeight="1">
      <c r="I33" s="136"/>
      <c r="J33" s="161"/>
      <c r="K33" s="161"/>
      <c r="L33" s="161"/>
      <c r="M33" s="161"/>
      <c r="N33" s="161"/>
      <c r="O33" s="161"/>
      <c r="P33" s="161"/>
      <c r="Q33" s="136"/>
      <c r="R33" s="161"/>
      <c r="S33" s="161"/>
      <c r="T33" s="161"/>
      <c r="U33" s="161"/>
      <c r="V33" s="161"/>
      <c r="W33" s="161"/>
      <c r="X33" s="161"/>
      <c r="Y33" s="163"/>
    </row>
    <row r="34" spans="2:25" ht="20.100000000000001">
      <c r="B34" s="1010" t="s">
        <v>210</v>
      </c>
      <c r="C34" s="1011"/>
      <c r="D34" s="1011"/>
      <c r="E34" s="1011"/>
      <c r="F34" s="1011"/>
      <c r="G34" s="1011"/>
      <c r="H34" s="1011"/>
      <c r="I34" s="1012"/>
      <c r="J34" s="1017" t="s">
        <v>211</v>
      </c>
      <c r="K34" s="1018"/>
      <c r="L34" s="1018"/>
      <c r="M34" s="1018"/>
      <c r="N34" s="1018"/>
      <c r="O34" s="1018"/>
      <c r="P34" s="1018"/>
      <c r="Q34" s="1019"/>
    </row>
    <row r="35" spans="2:25" ht="12.95">
      <c r="B35" s="1020" t="s">
        <v>212</v>
      </c>
      <c r="C35" s="1021"/>
      <c r="D35" s="1020" t="s">
        <v>202</v>
      </c>
      <c r="E35" s="1022"/>
      <c r="F35" s="1022"/>
      <c r="G35" s="1022"/>
      <c r="H35" s="1022"/>
      <c r="I35" s="1021"/>
      <c r="J35" s="155"/>
      <c r="K35" s="158"/>
      <c r="L35" s="158"/>
      <c r="M35" s="158"/>
      <c r="N35" s="158"/>
      <c r="O35" s="158"/>
      <c r="P35" s="158"/>
      <c r="Q35" s="159"/>
    </row>
    <row r="36" spans="2:25" ht="16.5" customHeight="1">
      <c r="B36" s="1031" t="s">
        <v>213</v>
      </c>
      <c r="C36" s="1032"/>
      <c r="D36" s="1031" t="s">
        <v>214</v>
      </c>
      <c r="E36" s="1033"/>
      <c r="F36" s="1033"/>
      <c r="G36" s="1033"/>
      <c r="H36" s="1033"/>
      <c r="I36" s="1034"/>
      <c r="J36" s="135"/>
      <c r="Q36" s="160"/>
    </row>
    <row r="37" spans="2:25" ht="16.5" customHeight="1">
      <c r="B37" s="1035" t="s">
        <v>215</v>
      </c>
      <c r="C37" s="1036"/>
      <c r="D37" s="1031" t="s">
        <v>216</v>
      </c>
      <c r="E37" s="1033"/>
      <c r="F37" s="1033"/>
      <c r="G37" s="1033"/>
      <c r="H37" s="1033"/>
      <c r="I37" s="1034"/>
      <c r="J37" s="135"/>
      <c r="Q37" s="160"/>
    </row>
    <row r="38" spans="2:25" ht="12.95">
      <c r="B38" s="1020" t="s">
        <v>217</v>
      </c>
      <c r="C38" s="1022"/>
      <c r="D38" s="1022"/>
      <c r="E38" s="1022"/>
      <c r="F38" s="1022"/>
      <c r="G38" s="1022"/>
      <c r="H38" s="1022"/>
      <c r="I38" s="1021"/>
      <c r="J38" s="135"/>
      <c r="Q38" s="160"/>
    </row>
    <row r="39" spans="2:25" ht="13.5" customHeight="1">
      <c r="B39" s="1024" t="s">
        <v>218</v>
      </c>
      <c r="C39" s="1025"/>
      <c r="D39" s="1026" t="s">
        <v>219</v>
      </c>
      <c r="E39" s="1027"/>
      <c r="F39" s="1028"/>
      <c r="G39" s="1026" t="s">
        <v>220</v>
      </c>
      <c r="H39" s="1027"/>
      <c r="I39" s="1028"/>
      <c r="J39" s="135"/>
      <c r="Q39" s="160"/>
      <c r="T39" s="10"/>
      <c r="U39" s="10"/>
    </row>
    <row r="40" spans="2:25" ht="12.95">
      <c r="B40" s="1037" t="s">
        <v>221</v>
      </c>
      <c r="C40" s="1038"/>
      <c r="D40" s="1039">
        <v>2.92E-2</v>
      </c>
      <c r="E40" s="1040"/>
      <c r="F40" s="1041"/>
      <c r="G40" s="1042" t="s">
        <v>222</v>
      </c>
      <c r="H40" s="1043"/>
      <c r="I40" s="1044"/>
      <c r="J40" s="135"/>
      <c r="Q40" s="160"/>
      <c r="T40" s="10"/>
      <c r="U40" s="10"/>
    </row>
    <row r="41" spans="2:25" ht="12.95">
      <c r="B41" s="1037" t="s">
        <v>223</v>
      </c>
      <c r="C41" s="1038"/>
      <c r="D41" s="1039">
        <v>6.8000000000000005E-2</v>
      </c>
      <c r="E41" s="1040"/>
      <c r="F41" s="1041"/>
      <c r="G41" s="1042" t="s">
        <v>224</v>
      </c>
      <c r="H41" s="1043"/>
      <c r="I41" s="1044"/>
      <c r="J41" s="135"/>
      <c r="Q41" s="160"/>
      <c r="T41" s="10"/>
      <c r="U41" s="10"/>
    </row>
    <row r="42" spans="2:25" ht="12.95">
      <c r="B42" s="1052" t="s">
        <v>225</v>
      </c>
      <c r="C42" s="1053"/>
      <c r="D42" s="1054">
        <v>0.05</v>
      </c>
      <c r="E42" s="1055"/>
      <c r="F42" s="1056"/>
      <c r="G42" s="1057" t="s">
        <v>224</v>
      </c>
      <c r="H42" s="1058"/>
      <c r="I42" s="1059"/>
      <c r="J42" s="135"/>
      <c r="Q42" s="160"/>
      <c r="T42" s="10"/>
      <c r="U42" s="10"/>
    </row>
    <row r="43" spans="2:25" ht="12.6" customHeight="1">
      <c r="B43" s="1060" t="s">
        <v>226</v>
      </c>
      <c r="C43" s="1061"/>
      <c r="D43" s="1062">
        <f>AVERAGE(D40:F42)</f>
        <v>4.9066666666666668E-2</v>
      </c>
      <c r="E43" s="1062"/>
      <c r="F43" s="1062"/>
      <c r="G43" s="1062"/>
      <c r="H43" s="1062"/>
      <c r="I43" s="1063"/>
      <c r="Q43" s="160"/>
      <c r="T43" s="10"/>
      <c r="U43" s="10"/>
    </row>
    <row r="44" spans="2:25" ht="20.100000000000001">
      <c r="B44" s="1064" t="s">
        <v>227</v>
      </c>
      <c r="C44" s="1065"/>
      <c r="D44" s="1065"/>
      <c r="E44" s="1065"/>
      <c r="F44" s="1065"/>
      <c r="G44" s="1065"/>
      <c r="H44" s="1065"/>
      <c r="I44" s="1066"/>
      <c r="J44" s="135"/>
      <c r="Q44" s="160"/>
      <c r="T44" s="10"/>
      <c r="U44" s="10"/>
    </row>
    <row r="45" spans="2:25">
      <c r="B45" s="283"/>
      <c r="C45" s="156"/>
      <c r="D45" s="157"/>
      <c r="E45" s="158"/>
      <c r="F45" s="158"/>
      <c r="G45" s="158"/>
      <c r="H45" s="158"/>
      <c r="I45" s="159"/>
      <c r="J45" s="135"/>
      <c r="Q45" s="160"/>
      <c r="T45" s="10"/>
      <c r="U45" s="10"/>
    </row>
    <row r="46" spans="2:25">
      <c r="B46" s="135"/>
      <c r="I46" s="160"/>
      <c r="J46" s="135"/>
      <c r="Q46" s="160"/>
      <c r="T46" s="10"/>
      <c r="U46" s="10"/>
    </row>
    <row r="47" spans="2:25" ht="12.75" customHeight="1">
      <c r="B47" s="1048" t="s">
        <v>228</v>
      </c>
      <c r="C47" s="1049"/>
      <c r="D47" s="1049"/>
      <c r="E47" s="1049"/>
      <c r="F47" s="1049"/>
      <c r="G47" s="1049"/>
      <c r="H47" s="1049"/>
      <c r="I47" s="1050"/>
      <c r="J47" s="135"/>
      <c r="Q47" s="160"/>
      <c r="T47" s="10"/>
      <c r="U47" s="10"/>
    </row>
    <row r="48" spans="2:25">
      <c r="B48" s="1051"/>
      <c r="C48" s="1049"/>
      <c r="D48" s="1049"/>
      <c r="E48" s="1049"/>
      <c r="F48" s="1049"/>
      <c r="G48" s="1049"/>
      <c r="H48" s="1049"/>
      <c r="I48" s="1050"/>
      <c r="J48" s="135"/>
      <c r="Q48" s="160"/>
      <c r="T48" s="10"/>
      <c r="U48" s="10"/>
    </row>
    <row r="49" spans="2:21">
      <c r="B49" s="1051"/>
      <c r="C49" s="1049"/>
      <c r="D49" s="1049"/>
      <c r="E49" s="1049"/>
      <c r="F49" s="1049"/>
      <c r="G49" s="1049"/>
      <c r="H49" s="1049"/>
      <c r="I49" s="1050"/>
      <c r="J49" s="135"/>
      <c r="Q49" s="160"/>
      <c r="T49" s="10"/>
      <c r="U49" s="10"/>
    </row>
    <row r="50" spans="2:21">
      <c r="B50" s="1051"/>
      <c r="C50" s="1049"/>
      <c r="D50" s="1049"/>
      <c r="E50" s="1049"/>
      <c r="F50" s="1049"/>
      <c r="G50" s="1049"/>
      <c r="H50" s="1049"/>
      <c r="I50" s="1050"/>
      <c r="J50" s="135"/>
      <c r="Q50" s="160"/>
      <c r="T50" s="10"/>
      <c r="U50" s="10"/>
    </row>
    <row r="51" spans="2:21">
      <c r="B51" s="1051"/>
      <c r="C51" s="1049"/>
      <c r="D51" s="1049"/>
      <c r="E51" s="1049"/>
      <c r="F51" s="1049"/>
      <c r="G51" s="1049"/>
      <c r="H51" s="1049"/>
      <c r="I51" s="1050"/>
      <c r="J51" s="135"/>
      <c r="Q51" s="160"/>
      <c r="T51" s="10"/>
      <c r="U51" s="10"/>
    </row>
    <row r="52" spans="2:21">
      <c r="B52" s="1051"/>
      <c r="C52" s="1049"/>
      <c r="D52" s="1049"/>
      <c r="E52" s="1049"/>
      <c r="F52" s="1049"/>
      <c r="G52" s="1049"/>
      <c r="H52" s="1049"/>
      <c r="I52" s="1050"/>
      <c r="J52" s="135"/>
      <c r="Q52" s="160"/>
      <c r="T52" s="10"/>
      <c r="U52" s="10"/>
    </row>
    <row r="53" spans="2:21">
      <c r="B53" s="1051"/>
      <c r="C53" s="1049"/>
      <c r="D53" s="1049"/>
      <c r="E53" s="1049"/>
      <c r="F53" s="1049"/>
      <c r="G53" s="1049"/>
      <c r="H53" s="1049"/>
      <c r="I53" s="1050"/>
      <c r="J53" s="135"/>
      <c r="Q53" s="160"/>
      <c r="T53" s="10"/>
      <c r="U53" s="10"/>
    </row>
    <row r="54" spans="2:21">
      <c r="B54" s="1051"/>
      <c r="C54" s="1049"/>
      <c r="D54" s="1049"/>
      <c r="E54" s="1049"/>
      <c r="F54" s="1049"/>
      <c r="G54" s="1049"/>
      <c r="H54" s="1049"/>
      <c r="I54" s="1050"/>
      <c r="J54" s="135"/>
      <c r="Q54" s="160"/>
      <c r="T54" s="10"/>
      <c r="U54" s="10"/>
    </row>
    <row r="55" spans="2:21">
      <c r="B55" s="1051"/>
      <c r="C55" s="1049"/>
      <c r="D55" s="1049"/>
      <c r="E55" s="1049"/>
      <c r="F55" s="1049"/>
      <c r="G55" s="1049"/>
      <c r="H55" s="1049"/>
      <c r="I55" s="1050"/>
      <c r="J55" s="135"/>
      <c r="Q55" s="160"/>
      <c r="T55" s="10"/>
      <c r="U55" s="10"/>
    </row>
    <row r="56" spans="2:21">
      <c r="B56" s="1045" t="s">
        <v>229</v>
      </c>
      <c r="C56" s="1046"/>
      <c r="D56" s="1046"/>
      <c r="E56" s="1046"/>
      <c r="F56" s="1046"/>
      <c r="G56" s="1046"/>
      <c r="H56" s="1046"/>
      <c r="I56" s="1047"/>
      <c r="J56" s="135"/>
      <c r="Q56" s="160"/>
      <c r="T56" s="10"/>
      <c r="U56" s="10"/>
    </row>
    <row r="57" spans="2:21">
      <c r="B57" s="1045"/>
      <c r="C57" s="1046"/>
      <c r="D57" s="1046"/>
      <c r="E57" s="1046"/>
      <c r="F57" s="1046"/>
      <c r="G57" s="1046"/>
      <c r="H57" s="1046"/>
      <c r="I57" s="1047"/>
      <c r="J57" s="135"/>
      <c r="Q57" s="160"/>
      <c r="T57" s="10"/>
      <c r="U57" s="10"/>
    </row>
    <row r="58" spans="2:21">
      <c r="B58" s="1045"/>
      <c r="C58" s="1046"/>
      <c r="D58" s="1046"/>
      <c r="E58" s="1046"/>
      <c r="F58" s="1046"/>
      <c r="G58" s="1046"/>
      <c r="H58" s="1046"/>
      <c r="I58" s="1047"/>
      <c r="J58" s="135"/>
      <c r="Q58" s="160"/>
      <c r="T58" s="10"/>
      <c r="U58" s="10"/>
    </row>
    <row r="59" spans="2:21">
      <c r="B59" s="1045"/>
      <c r="C59" s="1046"/>
      <c r="D59" s="1046"/>
      <c r="E59" s="1046"/>
      <c r="F59" s="1046"/>
      <c r="G59" s="1046"/>
      <c r="H59" s="1046"/>
      <c r="I59" s="1047"/>
      <c r="J59" s="135"/>
      <c r="Q59" s="160"/>
      <c r="T59" s="10"/>
      <c r="U59" s="10"/>
    </row>
    <row r="60" spans="2:21">
      <c r="B60" s="1045"/>
      <c r="C60" s="1046"/>
      <c r="D60" s="1046"/>
      <c r="E60" s="1046"/>
      <c r="F60" s="1046"/>
      <c r="G60" s="1046"/>
      <c r="H60" s="1046"/>
      <c r="I60" s="1047"/>
      <c r="J60" s="135"/>
      <c r="Q60" s="160"/>
      <c r="T60" s="10"/>
      <c r="U60" s="10"/>
    </row>
    <row r="61" spans="2:21">
      <c r="B61" s="136"/>
      <c r="C61" s="161"/>
      <c r="D61" s="162"/>
      <c r="E61" s="161"/>
      <c r="F61" s="161"/>
      <c r="G61" s="161"/>
      <c r="H61" s="161"/>
      <c r="I61" s="163"/>
      <c r="J61" s="136"/>
      <c r="K61" s="161"/>
      <c r="L61" s="161"/>
      <c r="M61" s="161"/>
      <c r="N61" s="161"/>
      <c r="O61" s="161"/>
      <c r="P61" s="161"/>
      <c r="Q61" s="163"/>
      <c r="T61" s="10"/>
      <c r="U61" s="10"/>
    </row>
    <row r="62" spans="2:21">
      <c r="T62" s="10"/>
      <c r="U62" s="10"/>
    </row>
    <row r="63" spans="2:21">
      <c r="T63" s="10"/>
      <c r="U63" s="10"/>
    </row>
    <row r="64" spans="2:21">
      <c r="T64" s="10"/>
      <c r="U64" s="10"/>
    </row>
    <row r="65" spans="15:21">
      <c r="T65" s="10"/>
      <c r="U65" s="10"/>
    </row>
    <row r="66" spans="15:21">
      <c r="O66" s="284"/>
      <c r="T66" s="10"/>
      <c r="U66" s="10"/>
    </row>
    <row r="67" spans="15:21">
      <c r="O67" s="284"/>
      <c r="T67" s="10"/>
      <c r="U67" s="10"/>
    </row>
    <row r="68" spans="15:21">
      <c r="O68" s="284"/>
      <c r="T68" s="10"/>
      <c r="U68" s="10"/>
    </row>
    <row r="69" spans="15:21">
      <c r="T69" s="10"/>
      <c r="U69" s="10"/>
    </row>
    <row r="70" spans="15:21">
      <c r="T70" s="10"/>
      <c r="U70" s="10"/>
    </row>
    <row r="71" spans="15:21">
      <c r="T71" s="10"/>
      <c r="U71" s="10"/>
    </row>
    <row r="72" spans="15:21">
      <c r="T72" s="10"/>
      <c r="U72" s="10"/>
    </row>
    <row r="73" spans="15:21">
      <c r="T73" s="10"/>
      <c r="U73" s="10"/>
    </row>
    <row r="74" spans="15:21">
      <c r="T74" s="10"/>
      <c r="U74" s="10"/>
    </row>
    <row r="75" spans="15:21">
      <c r="T75" s="10"/>
      <c r="U75" s="10"/>
    </row>
  </sheetData>
  <mergeCells count="48">
    <mergeCell ref="B56:I60"/>
    <mergeCell ref="B47:I55"/>
    <mergeCell ref="B42:C42"/>
    <mergeCell ref="D42:F42"/>
    <mergeCell ref="G42:I42"/>
    <mergeCell ref="B43:C43"/>
    <mergeCell ref="D43:I43"/>
    <mergeCell ref="B44:I44"/>
    <mergeCell ref="B40:C40"/>
    <mergeCell ref="D40:F40"/>
    <mergeCell ref="G40:I40"/>
    <mergeCell ref="B41:C41"/>
    <mergeCell ref="D41:F41"/>
    <mergeCell ref="G41:I41"/>
    <mergeCell ref="B39:C39"/>
    <mergeCell ref="D39:F39"/>
    <mergeCell ref="G39:I39"/>
    <mergeCell ref="B32:C32"/>
    <mergeCell ref="D32:H32"/>
    <mergeCell ref="B34:I34"/>
    <mergeCell ref="B36:C36"/>
    <mergeCell ref="D36:I36"/>
    <mergeCell ref="B37:C37"/>
    <mergeCell ref="D37:I37"/>
    <mergeCell ref="B38:I38"/>
    <mergeCell ref="J34:Q34"/>
    <mergeCell ref="B35:C35"/>
    <mergeCell ref="D35:I35"/>
    <mergeCell ref="B29:C29"/>
    <mergeCell ref="D29:H29"/>
    <mergeCell ref="B30:C30"/>
    <mergeCell ref="D30:H30"/>
    <mergeCell ref="B31:C31"/>
    <mergeCell ref="D31:H31"/>
    <mergeCell ref="B28:C28"/>
    <mergeCell ref="D28:H28"/>
    <mergeCell ref="B2:P2"/>
    <mergeCell ref="Q2:Y2"/>
    <mergeCell ref="D3:I3"/>
    <mergeCell ref="K3:P3"/>
    <mergeCell ref="B15:P15"/>
    <mergeCell ref="D16:I16"/>
    <mergeCell ref="K16:P16"/>
    <mergeCell ref="B26:C26"/>
    <mergeCell ref="D26:H26"/>
    <mergeCell ref="I26:P26"/>
    <mergeCell ref="B27:C27"/>
    <mergeCell ref="D27:H27"/>
  </mergeCells>
  <phoneticPr fontId="0" type="noConversion"/>
  <conditionalFormatting sqref="B5:B12">
    <cfRule type="dataBar" priority="49">
      <dataBar>
        <cfvo type="min"/>
        <cfvo type="max"/>
        <color rgb="FF638EC6"/>
      </dataBar>
      <extLst>
        <ext xmlns:x14="http://schemas.microsoft.com/office/spreadsheetml/2009/9/main" uri="{B025F937-C7B1-47D3-B67F-A62EFF666E3E}">
          <x14:id>{4644F602-CB8D-48E2-94CB-41063852A465}</x14:id>
        </ext>
      </extLst>
    </cfRule>
  </conditionalFormatting>
  <conditionalFormatting sqref="B18:B23">
    <cfRule type="dataBar" priority="34">
      <dataBar>
        <cfvo type="min"/>
        <cfvo type="max"/>
        <color rgb="FF638EC6"/>
      </dataBar>
      <extLst>
        <ext xmlns:x14="http://schemas.microsoft.com/office/spreadsheetml/2009/9/main" uri="{B025F937-C7B1-47D3-B67F-A62EFF666E3E}">
          <x14:id>{1E614751-AB5B-44BA-9F23-AA8DD798F39A}</x14:id>
        </ext>
      </extLst>
    </cfRule>
  </conditionalFormatting>
  <conditionalFormatting sqref="D5:D12">
    <cfRule type="dataBar" priority="40">
      <dataBar>
        <cfvo type="min"/>
        <cfvo type="max"/>
        <color rgb="FF63C384"/>
      </dataBar>
      <extLst>
        <ext xmlns:x14="http://schemas.microsoft.com/office/spreadsheetml/2009/9/main" uri="{B025F937-C7B1-47D3-B67F-A62EFF666E3E}">
          <x14:id>{B0DA1C02-174E-42F4-93E6-4BC3A6B3B52B}</x14:id>
        </ext>
      </extLst>
    </cfRule>
  </conditionalFormatting>
  <conditionalFormatting sqref="D18:D23 E20:I20">
    <cfRule type="dataBar" priority="7">
      <dataBar>
        <cfvo type="min"/>
        <cfvo type="max"/>
        <color rgb="FF63C384"/>
      </dataBar>
      <extLst>
        <ext xmlns:x14="http://schemas.microsoft.com/office/spreadsheetml/2009/9/main" uri="{B025F937-C7B1-47D3-B67F-A62EFF666E3E}">
          <x14:id>{08F94815-6849-49E3-A923-046A954A5631}</x14:id>
        </ext>
      </extLst>
    </cfRule>
  </conditionalFormatting>
  <conditionalFormatting sqref="D5:I10">
    <cfRule type="dataBar" priority="21">
      <dataBar>
        <cfvo type="min"/>
        <cfvo type="max"/>
        <color rgb="FF63C384"/>
      </dataBar>
      <extLst>
        <ext xmlns:x14="http://schemas.microsoft.com/office/spreadsheetml/2009/9/main" uri="{B025F937-C7B1-47D3-B67F-A62EFF666E3E}">
          <x14:id>{C1C5F4F0-BAD1-46E3-ADE9-A8834384D047}</x14:id>
        </ext>
      </extLst>
    </cfRule>
  </conditionalFormatting>
  <conditionalFormatting sqref="D18:I23">
    <cfRule type="dataBar" priority="1">
      <dataBar>
        <cfvo type="min"/>
        <cfvo type="max"/>
        <color rgb="FF63C384"/>
      </dataBar>
      <extLst>
        <ext xmlns:x14="http://schemas.microsoft.com/office/spreadsheetml/2009/9/main" uri="{B025F937-C7B1-47D3-B67F-A62EFF666E3E}">
          <x14:id>{E546E8AC-AA8B-4FFD-8003-CD5A59CB89F4}</x14:id>
        </ext>
      </extLst>
    </cfRule>
  </conditionalFormatting>
  <conditionalFormatting sqref="E5:E12 F5:I5">
    <cfRule type="dataBar" priority="39">
      <dataBar>
        <cfvo type="min"/>
        <cfvo type="max"/>
        <color rgb="FF63C384"/>
      </dataBar>
      <extLst>
        <ext xmlns:x14="http://schemas.microsoft.com/office/spreadsheetml/2009/9/main" uri="{B025F937-C7B1-47D3-B67F-A62EFF666E3E}">
          <x14:id>{C304E95A-1179-4785-98F0-B3C82D29E660}</x14:id>
        </ext>
      </extLst>
    </cfRule>
  </conditionalFormatting>
  <conditionalFormatting sqref="E18:E23">
    <cfRule type="dataBar" priority="6">
      <dataBar>
        <cfvo type="min"/>
        <cfvo type="max"/>
        <color rgb="FF63C384"/>
      </dataBar>
      <extLst>
        <ext xmlns:x14="http://schemas.microsoft.com/office/spreadsheetml/2009/9/main" uri="{B025F937-C7B1-47D3-B67F-A62EFF666E3E}">
          <x14:id>{9A68CAB5-7928-462C-B1DD-E00E737734E3}</x14:id>
        </ext>
      </extLst>
    </cfRule>
  </conditionalFormatting>
  <conditionalFormatting sqref="F5:F12">
    <cfRule type="dataBar" priority="38">
      <dataBar>
        <cfvo type="min"/>
        <cfvo type="max"/>
        <color rgb="FF63C384"/>
      </dataBar>
      <extLst>
        <ext xmlns:x14="http://schemas.microsoft.com/office/spreadsheetml/2009/9/main" uri="{B025F937-C7B1-47D3-B67F-A62EFF666E3E}">
          <x14:id>{F7362A00-AA1D-48EE-B80B-B9640362C6F3}</x14:id>
        </ext>
      </extLst>
    </cfRule>
  </conditionalFormatting>
  <conditionalFormatting sqref="F18:F23">
    <cfRule type="dataBar" priority="5">
      <dataBar>
        <cfvo type="min"/>
        <cfvo type="max"/>
        <color rgb="FF63C384"/>
      </dataBar>
      <extLst>
        <ext xmlns:x14="http://schemas.microsoft.com/office/spreadsheetml/2009/9/main" uri="{B025F937-C7B1-47D3-B67F-A62EFF666E3E}">
          <x14:id>{3660E398-3199-4BB0-BDB6-6ADB0ED8939B}</x14:id>
        </ext>
      </extLst>
    </cfRule>
  </conditionalFormatting>
  <conditionalFormatting sqref="G5:G12">
    <cfRule type="dataBar" priority="37">
      <dataBar>
        <cfvo type="min"/>
        <cfvo type="max"/>
        <color rgb="FF63C384"/>
      </dataBar>
      <extLst>
        <ext xmlns:x14="http://schemas.microsoft.com/office/spreadsheetml/2009/9/main" uri="{B025F937-C7B1-47D3-B67F-A62EFF666E3E}">
          <x14:id>{2EC92D06-6B04-4B2F-BDD6-F48B91DBE939}</x14:id>
        </ext>
      </extLst>
    </cfRule>
  </conditionalFormatting>
  <conditionalFormatting sqref="G18:G23">
    <cfRule type="dataBar" priority="4">
      <dataBar>
        <cfvo type="min"/>
        <cfvo type="max"/>
        <color rgb="FF63C384"/>
      </dataBar>
      <extLst>
        <ext xmlns:x14="http://schemas.microsoft.com/office/spreadsheetml/2009/9/main" uri="{B025F937-C7B1-47D3-B67F-A62EFF666E3E}">
          <x14:id>{5BCEAA63-A8D4-4D25-AD93-B88B45600EDF}</x14:id>
        </ext>
      </extLst>
    </cfRule>
  </conditionalFormatting>
  <conditionalFormatting sqref="H5:H12">
    <cfRule type="dataBar" priority="36">
      <dataBar>
        <cfvo type="min"/>
        <cfvo type="max"/>
        <color rgb="FF63C384"/>
      </dataBar>
      <extLst>
        <ext xmlns:x14="http://schemas.microsoft.com/office/spreadsheetml/2009/9/main" uri="{B025F937-C7B1-47D3-B67F-A62EFF666E3E}">
          <x14:id>{760A35A7-2615-4AE7-A04B-1FC0A6A80C37}</x14:id>
        </ext>
      </extLst>
    </cfRule>
  </conditionalFormatting>
  <conditionalFormatting sqref="H18:H23">
    <cfRule type="dataBar" priority="3">
      <dataBar>
        <cfvo type="min"/>
        <cfvo type="max"/>
        <color rgb="FF63C384"/>
      </dataBar>
      <extLst>
        <ext xmlns:x14="http://schemas.microsoft.com/office/spreadsheetml/2009/9/main" uri="{B025F937-C7B1-47D3-B67F-A62EFF666E3E}">
          <x14:id>{572890F1-188F-4253-81E8-A5316FD7C85B}</x14:id>
        </ext>
      </extLst>
    </cfRule>
  </conditionalFormatting>
  <conditionalFormatting sqref="I5:I12">
    <cfRule type="dataBar" priority="35">
      <dataBar>
        <cfvo type="min"/>
        <cfvo type="max"/>
        <color rgb="FF63C384"/>
      </dataBar>
      <extLst>
        <ext xmlns:x14="http://schemas.microsoft.com/office/spreadsheetml/2009/9/main" uri="{B025F937-C7B1-47D3-B67F-A62EFF666E3E}">
          <x14:id>{6C80B6A3-1687-4387-B759-6913DDED679E}</x14:id>
        </ext>
      </extLst>
    </cfRule>
  </conditionalFormatting>
  <conditionalFormatting sqref="I18:I23 D18:H18">
    <cfRule type="dataBar" priority="2">
      <dataBar>
        <cfvo type="min"/>
        <cfvo type="max"/>
        <color rgb="FF63C384"/>
      </dataBar>
      <extLst>
        <ext xmlns:x14="http://schemas.microsoft.com/office/spreadsheetml/2009/9/main" uri="{B025F937-C7B1-47D3-B67F-A62EFF666E3E}">
          <x14:id>{1B79C624-9748-44CE-B169-FDCC43C8F338}</x14:id>
        </ext>
      </extLst>
    </cfRule>
  </conditionalFormatting>
  <conditionalFormatting sqref="K5:K12">
    <cfRule type="dataBar" priority="46">
      <dataBar>
        <cfvo type="min"/>
        <cfvo type="max"/>
        <color rgb="FF63C384"/>
      </dataBar>
      <extLst>
        <ext xmlns:x14="http://schemas.microsoft.com/office/spreadsheetml/2009/9/main" uri="{B025F937-C7B1-47D3-B67F-A62EFF666E3E}">
          <x14:id>{4C763036-D1C0-4B33-9FE0-6739A0C0B4B4}</x14:id>
        </ext>
      </extLst>
    </cfRule>
  </conditionalFormatting>
  <conditionalFormatting sqref="K18:K22">
    <cfRule type="dataBar" priority="14">
      <dataBar>
        <cfvo type="min"/>
        <cfvo type="max"/>
        <color rgb="FF63C384"/>
      </dataBar>
      <extLst>
        <ext xmlns:x14="http://schemas.microsoft.com/office/spreadsheetml/2009/9/main" uri="{B025F937-C7B1-47D3-B67F-A62EFF666E3E}">
          <x14:id>{9AF9FA1A-1B05-413B-9272-E0601F45E99C}</x14:id>
        </ext>
      </extLst>
    </cfRule>
  </conditionalFormatting>
  <conditionalFormatting sqref="K18:O22">
    <cfRule type="dataBar" priority="32">
      <dataBar>
        <cfvo type="min"/>
        <cfvo type="max"/>
        <color rgb="FF63C384"/>
      </dataBar>
      <extLst>
        <ext xmlns:x14="http://schemas.microsoft.com/office/spreadsheetml/2009/9/main" uri="{B025F937-C7B1-47D3-B67F-A62EFF666E3E}">
          <x14:id>{CE4264AC-767A-45AD-BF4D-A9482FC93C72}</x14:id>
        </ext>
      </extLst>
    </cfRule>
  </conditionalFormatting>
  <conditionalFormatting sqref="K18:O23">
    <cfRule type="dataBar" priority="24">
      <dataBar>
        <cfvo type="min"/>
        <cfvo type="max"/>
        <color rgb="FF63C384"/>
      </dataBar>
      <extLst>
        <ext xmlns:x14="http://schemas.microsoft.com/office/spreadsheetml/2009/9/main" uri="{B025F937-C7B1-47D3-B67F-A62EFF666E3E}">
          <x14:id>{8DB3EF22-4946-4F06-A094-AC884B0F9926}</x14:id>
        </ext>
      </extLst>
    </cfRule>
    <cfRule type="dataBar" priority="48">
      <dataBar>
        <cfvo type="min"/>
        <cfvo type="max"/>
        <color rgb="FF63C384"/>
      </dataBar>
      <extLst>
        <ext xmlns:x14="http://schemas.microsoft.com/office/spreadsheetml/2009/9/main" uri="{B025F937-C7B1-47D3-B67F-A62EFF666E3E}">
          <x14:id>{A13C663D-7723-4EEC-B104-759B3E26520B}</x14:id>
        </ext>
      </extLst>
    </cfRule>
  </conditionalFormatting>
  <conditionalFormatting sqref="K5:P10">
    <cfRule type="dataBar" priority="27">
      <dataBar>
        <cfvo type="min"/>
        <cfvo type="max"/>
        <color rgb="FF63C384"/>
      </dataBar>
      <extLst>
        <ext xmlns:x14="http://schemas.microsoft.com/office/spreadsheetml/2009/9/main" uri="{B025F937-C7B1-47D3-B67F-A62EFF666E3E}">
          <x14:id>{EABB97F8-6531-46E8-908F-5F79F503651E}</x14:id>
        </ext>
      </extLst>
    </cfRule>
    <cfRule type="dataBar" priority="28">
      <dataBar>
        <cfvo type="min"/>
        <cfvo type="max"/>
        <color rgb="FF63C384"/>
      </dataBar>
      <extLst>
        <ext xmlns:x14="http://schemas.microsoft.com/office/spreadsheetml/2009/9/main" uri="{B025F937-C7B1-47D3-B67F-A62EFF666E3E}">
          <x14:id>{52255E31-F8F4-4246-B017-2AFA82290895}</x14:id>
        </ext>
      </extLst>
    </cfRule>
  </conditionalFormatting>
  <conditionalFormatting sqref="K18:P22">
    <cfRule type="dataBar" priority="8">
      <dataBar>
        <cfvo type="min"/>
        <cfvo type="max"/>
        <color rgb="FF63C384"/>
      </dataBar>
      <extLst>
        <ext xmlns:x14="http://schemas.microsoft.com/office/spreadsheetml/2009/9/main" uri="{B025F937-C7B1-47D3-B67F-A62EFF666E3E}">
          <x14:id>{0AD6818D-27FA-4D87-89BA-5F59D726CC1F}</x14:id>
        </ext>
      </extLst>
    </cfRule>
    <cfRule type="dataBar" priority="23">
      <dataBar>
        <cfvo type="min"/>
        <cfvo type="max"/>
        <color rgb="FF63C384"/>
      </dataBar>
      <extLst>
        <ext xmlns:x14="http://schemas.microsoft.com/office/spreadsheetml/2009/9/main" uri="{B025F937-C7B1-47D3-B67F-A62EFF666E3E}">
          <x14:id>{766DBC49-1B01-4A45-B02F-226FE53EF433}</x14:id>
        </ext>
      </extLst>
    </cfRule>
    <cfRule type="dataBar" priority="25">
      <dataBar>
        <cfvo type="min"/>
        <cfvo type="max"/>
        <color rgb="FF63C384"/>
      </dataBar>
      <extLst>
        <ext xmlns:x14="http://schemas.microsoft.com/office/spreadsheetml/2009/9/main" uri="{B025F937-C7B1-47D3-B67F-A62EFF666E3E}">
          <x14:id>{48CADC90-E291-404C-ACE2-3AEDA4A65187}</x14:id>
        </ext>
      </extLst>
    </cfRule>
    <cfRule type="dataBar" priority="30">
      <dataBar>
        <cfvo type="min"/>
        <cfvo type="max"/>
        <color rgb="FF63C384"/>
      </dataBar>
      <extLst>
        <ext xmlns:x14="http://schemas.microsoft.com/office/spreadsheetml/2009/9/main" uri="{B025F937-C7B1-47D3-B67F-A62EFF666E3E}">
          <x14:id>{5590DF2A-84EB-4D2E-AA34-78B7B0B11030}</x14:id>
        </ext>
      </extLst>
    </cfRule>
  </conditionalFormatting>
  <conditionalFormatting sqref="K18:P23">
    <cfRule type="dataBar" priority="26">
      <dataBar>
        <cfvo type="min"/>
        <cfvo type="max"/>
        <color rgb="FF63C384"/>
      </dataBar>
      <extLst>
        <ext xmlns:x14="http://schemas.microsoft.com/office/spreadsheetml/2009/9/main" uri="{B025F937-C7B1-47D3-B67F-A62EFF666E3E}">
          <x14:id>{2FC35CA4-B397-4D6A-91B7-BA79BED8AFAA}</x14:id>
        </ext>
      </extLst>
    </cfRule>
  </conditionalFormatting>
  <conditionalFormatting sqref="K23:P23">
    <cfRule type="dataBar" priority="15">
      <dataBar>
        <cfvo type="min"/>
        <cfvo type="max"/>
        <color rgb="FF63C384"/>
      </dataBar>
      <extLst>
        <ext xmlns:x14="http://schemas.microsoft.com/office/spreadsheetml/2009/9/main" uri="{B025F937-C7B1-47D3-B67F-A62EFF666E3E}">
          <x14:id>{F871EEB9-5E68-412C-85AF-2BA665EB0181}</x14:id>
        </ext>
      </extLst>
    </cfRule>
    <cfRule type="dataBar" priority="22">
      <dataBar>
        <cfvo type="min"/>
        <cfvo type="max"/>
        <color rgb="FF63C384"/>
      </dataBar>
      <extLst>
        <ext xmlns:x14="http://schemas.microsoft.com/office/spreadsheetml/2009/9/main" uri="{B025F937-C7B1-47D3-B67F-A62EFF666E3E}">
          <x14:id>{E47EC594-1C67-4C87-94FA-BF1E17055C76}</x14:id>
        </ext>
      </extLst>
    </cfRule>
    <cfRule type="dataBar" priority="29">
      <dataBar>
        <cfvo type="min"/>
        <cfvo type="max"/>
        <color rgb="FF63C384"/>
      </dataBar>
      <extLst>
        <ext xmlns:x14="http://schemas.microsoft.com/office/spreadsheetml/2009/9/main" uri="{B025F937-C7B1-47D3-B67F-A62EFF666E3E}">
          <x14:id>{D06432F2-3555-4BE1-8517-4B3288071223}</x14:id>
        </ext>
      </extLst>
    </cfRule>
    <cfRule type="dataBar" priority="31">
      <dataBar>
        <cfvo type="min"/>
        <cfvo type="max"/>
        <color rgb="FF63C384"/>
      </dataBar>
      <extLst>
        <ext xmlns:x14="http://schemas.microsoft.com/office/spreadsheetml/2009/9/main" uri="{B025F937-C7B1-47D3-B67F-A62EFF666E3E}">
          <x14:id>{F3375147-F291-416C-AEA3-7B2B8BEAD7E4}</x14:id>
        </ext>
      </extLst>
    </cfRule>
  </conditionalFormatting>
  <conditionalFormatting sqref="L5:L12">
    <cfRule type="dataBar" priority="45">
      <dataBar>
        <cfvo type="min"/>
        <cfvo type="max"/>
        <color rgb="FF63C384"/>
      </dataBar>
      <extLst>
        <ext xmlns:x14="http://schemas.microsoft.com/office/spreadsheetml/2009/9/main" uri="{B025F937-C7B1-47D3-B67F-A62EFF666E3E}">
          <x14:id>{FC7B2907-A29F-4B31-83C8-D2D944A99F08}</x14:id>
        </ext>
      </extLst>
    </cfRule>
  </conditionalFormatting>
  <conditionalFormatting sqref="L18:L22">
    <cfRule type="dataBar" priority="13">
      <dataBar>
        <cfvo type="min"/>
        <cfvo type="max"/>
        <color rgb="FF63C384"/>
      </dataBar>
      <extLst>
        <ext xmlns:x14="http://schemas.microsoft.com/office/spreadsheetml/2009/9/main" uri="{B025F937-C7B1-47D3-B67F-A62EFF666E3E}">
          <x14:id>{7CAADE33-A19D-4838-8536-2B267B9778DE}</x14:id>
        </ext>
      </extLst>
    </cfRule>
  </conditionalFormatting>
  <conditionalFormatting sqref="M11:M12">
    <cfRule type="dataBar" priority="44">
      <dataBar>
        <cfvo type="min"/>
        <cfvo type="max"/>
        <color rgb="FF63C384"/>
      </dataBar>
      <extLst>
        <ext xmlns:x14="http://schemas.microsoft.com/office/spreadsheetml/2009/9/main" uri="{B025F937-C7B1-47D3-B67F-A62EFF666E3E}">
          <x14:id>{031A5A31-35C4-4C6C-9E5D-694B5FEE6A76}</x14:id>
        </ext>
      </extLst>
    </cfRule>
  </conditionalFormatting>
  <conditionalFormatting sqref="M20:M22">
    <cfRule type="dataBar" priority="12">
      <dataBar>
        <cfvo type="min"/>
        <cfvo type="max"/>
        <color rgb="FF63C384"/>
      </dataBar>
      <extLst>
        <ext xmlns:x14="http://schemas.microsoft.com/office/spreadsheetml/2009/9/main" uri="{B025F937-C7B1-47D3-B67F-A62EFF666E3E}">
          <x14:id>{D7B22658-5269-4F46-867D-9D9575F95FA8}</x14:id>
        </ext>
      </extLst>
    </cfRule>
  </conditionalFormatting>
  <conditionalFormatting sqref="M5:P10">
    <cfRule type="dataBar" priority="33">
      <dataBar>
        <cfvo type="min"/>
        <cfvo type="max"/>
        <color rgb="FF63C384"/>
      </dataBar>
      <extLst>
        <ext xmlns:x14="http://schemas.microsoft.com/office/spreadsheetml/2009/9/main" uri="{B025F937-C7B1-47D3-B67F-A62EFF666E3E}">
          <x14:id>{EB43B20A-D1A6-44C7-9772-814651CD4DF8}</x14:id>
        </ext>
      </extLst>
    </cfRule>
  </conditionalFormatting>
  <conditionalFormatting sqref="N11:N12">
    <cfRule type="dataBar" priority="43">
      <dataBar>
        <cfvo type="min"/>
        <cfvo type="max"/>
        <color rgb="FF63C384"/>
      </dataBar>
      <extLst>
        <ext xmlns:x14="http://schemas.microsoft.com/office/spreadsheetml/2009/9/main" uri="{B025F937-C7B1-47D3-B67F-A62EFF666E3E}">
          <x14:id>{99D1C3E0-D7D1-4632-9C46-B3C36A91D359}</x14:id>
        </ext>
      </extLst>
    </cfRule>
  </conditionalFormatting>
  <conditionalFormatting sqref="N18:N22">
    <cfRule type="dataBar" priority="11">
      <dataBar>
        <cfvo type="min"/>
        <cfvo type="max"/>
        <color rgb="FF63C384"/>
      </dataBar>
      <extLst>
        <ext xmlns:x14="http://schemas.microsoft.com/office/spreadsheetml/2009/9/main" uri="{B025F937-C7B1-47D3-B67F-A62EFF666E3E}">
          <x14:id>{11B1A7BE-F51E-410B-9B12-9A3DF0DCB1C8}</x14:id>
        </ext>
      </extLst>
    </cfRule>
  </conditionalFormatting>
  <conditionalFormatting sqref="O11:O12">
    <cfRule type="dataBar" priority="42">
      <dataBar>
        <cfvo type="min"/>
        <cfvo type="max"/>
        <color rgb="FF63C384"/>
      </dataBar>
      <extLst>
        <ext xmlns:x14="http://schemas.microsoft.com/office/spreadsheetml/2009/9/main" uri="{B025F937-C7B1-47D3-B67F-A62EFF666E3E}">
          <x14:id>{3F7074F6-3B3B-49DC-A8CB-210AF967206E}</x14:id>
        </ext>
      </extLst>
    </cfRule>
  </conditionalFormatting>
  <conditionalFormatting sqref="O18:O22">
    <cfRule type="dataBar" priority="10">
      <dataBar>
        <cfvo type="min"/>
        <cfvo type="max"/>
        <color rgb="FF63C384"/>
      </dataBar>
      <extLst>
        <ext xmlns:x14="http://schemas.microsoft.com/office/spreadsheetml/2009/9/main" uri="{B025F937-C7B1-47D3-B67F-A62EFF666E3E}">
          <x14:id>{F49E58FE-8E2F-483B-BEA8-C65BAFA1884D}</x14:id>
        </ext>
      </extLst>
    </cfRule>
  </conditionalFormatting>
  <conditionalFormatting sqref="P11:P12">
    <cfRule type="dataBar" priority="41">
      <dataBar>
        <cfvo type="min"/>
        <cfvo type="max"/>
        <color rgb="FF63C384"/>
      </dataBar>
      <extLst>
        <ext xmlns:x14="http://schemas.microsoft.com/office/spreadsheetml/2009/9/main" uri="{B025F937-C7B1-47D3-B67F-A62EFF666E3E}">
          <x14:id>{EA1C8A09-79DB-440B-91D1-D1B49135AA77}</x14:id>
        </ext>
      </extLst>
    </cfRule>
  </conditionalFormatting>
  <conditionalFormatting sqref="P18:P22">
    <cfRule type="dataBar" priority="9">
      <dataBar>
        <cfvo type="min"/>
        <cfvo type="max"/>
        <color rgb="FF63C384"/>
      </dataBar>
      <extLst>
        <ext xmlns:x14="http://schemas.microsoft.com/office/spreadsheetml/2009/9/main" uri="{B025F937-C7B1-47D3-B67F-A62EFF666E3E}">
          <x14:id>{F8AA8329-A7FA-487E-9EFB-0167401883D2}</x14:id>
        </ext>
      </extLst>
    </cfRule>
  </conditionalFormatting>
  <conditionalFormatting sqref="P18:P23">
    <cfRule type="dataBar" priority="47">
      <dataBar>
        <cfvo type="min"/>
        <cfvo type="max"/>
        <color rgb="FF63C384"/>
      </dataBar>
      <extLst>
        <ext xmlns:x14="http://schemas.microsoft.com/office/spreadsheetml/2009/9/main" uri="{B025F937-C7B1-47D3-B67F-A62EFF666E3E}">
          <x14:id>{641C2A6A-85FD-4B52-9377-5D2EAB6415D1}</x14:id>
        </ext>
      </extLst>
    </cfRule>
  </conditionalFormatting>
  <conditionalFormatting sqref="P23">
    <cfRule type="dataBar" priority="16">
      <dataBar>
        <cfvo type="min"/>
        <cfvo type="max"/>
        <color rgb="FF63C384"/>
      </dataBar>
      <extLst>
        <ext xmlns:x14="http://schemas.microsoft.com/office/spreadsheetml/2009/9/main" uri="{B025F937-C7B1-47D3-B67F-A62EFF666E3E}">
          <x14:id>{9C67937D-F218-480F-8C10-C41AC0571BBF}</x14:id>
        </ext>
      </extLst>
    </cfRule>
    <cfRule type="dataBar" priority="17">
      <dataBar>
        <cfvo type="min"/>
        <cfvo type="max"/>
        <color rgb="FF63C384"/>
      </dataBar>
      <extLst>
        <ext xmlns:x14="http://schemas.microsoft.com/office/spreadsheetml/2009/9/main" uri="{B025F937-C7B1-47D3-B67F-A62EFF666E3E}">
          <x14:id>{F52FA75F-96C1-48EF-A41E-4E9DCBCA2FA5}</x14:id>
        </ext>
      </extLst>
    </cfRule>
    <cfRule type="dataBar" priority="18">
      <dataBar>
        <cfvo type="min"/>
        <cfvo type="max"/>
        <color rgb="FF63C384"/>
      </dataBar>
      <extLst>
        <ext xmlns:x14="http://schemas.microsoft.com/office/spreadsheetml/2009/9/main" uri="{B025F937-C7B1-47D3-B67F-A62EFF666E3E}">
          <x14:id>{DA0F5DE2-9C91-4B7F-A28E-2F0B9EEA1157}</x14:id>
        </ext>
      </extLst>
    </cfRule>
    <cfRule type="dataBar" priority="19">
      <dataBar>
        <cfvo type="min"/>
        <cfvo type="max"/>
        <color rgb="FF63C384"/>
      </dataBar>
      <extLst>
        <ext xmlns:x14="http://schemas.microsoft.com/office/spreadsheetml/2009/9/main" uri="{B025F937-C7B1-47D3-B67F-A62EFF666E3E}">
          <x14:id>{1D17384C-9FDE-4F5F-8DDB-B1C4CEE179E1}</x14:id>
        </ext>
      </extLst>
    </cfRule>
    <cfRule type="dataBar" priority="20">
      <dataBar>
        <cfvo type="min"/>
        <cfvo type="max"/>
        <color rgb="FF63C384"/>
      </dataBar>
      <extLst>
        <ext xmlns:x14="http://schemas.microsoft.com/office/spreadsheetml/2009/9/main" uri="{B025F937-C7B1-47D3-B67F-A62EFF666E3E}">
          <x14:id>{3792AEC1-505F-427D-B927-5207FD0BFFA0}</x14:id>
        </ext>
      </extLst>
    </cfRule>
  </conditionalFormatting>
  <hyperlinks>
    <hyperlink ref="B40" r:id="rId1" xr:uid="{2BBA0621-9F7A-436C-8362-3B87170A8D2D}"/>
    <hyperlink ref="B41" r:id="rId2" xr:uid="{BFC75C18-D623-49DC-A5E1-A0E9D57CDFF7}"/>
    <hyperlink ref="B42" r:id="rId3" xr:uid="{AC5AF216-5778-4B21-B4F7-1C2EA016595F}"/>
  </hyperlinks>
  <pageMargins left="0.75" right="0.75" top="1" bottom="1" header="0" footer="0"/>
  <pageSetup orientation="landscape" r:id="rId4"/>
  <headerFooter alignWithMargins="0"/>
  <drawing r:id="rId5"/>
  <legacyDrawing r:id="rId6"/>
  <extLst>
    <ext xmlns:x14="http://schemas.microsoft.com/office/spreadsheetml/2009/9/main" uri="{78C0D931-6437-407d-A8EE-F0AAD7539E65}">
      <x14:conditionalFormattings>
        <x14:conditionalFormatting xmlns:xm="http://schemas.microsoft.com/office/excel/2006/main">
          <x14:cfRule type="dataBar" id="{4644F602-CB8D-48E2-94CB-41063852A465}">
            <x14:dataBar minLength="0" maxLength="100" border="1" negativeBarBorderColorSameAsPositive="0">
              <x14:cfvo type="autoMin"/>
              <x14:cfvo type="autoMax"/>
              <x14:borderColor rgb="FF638EC6"/>
              <x14:negativeFillColor rgb="FFFF0000"/>
              <x14:negativeBorderColor rgb="FFFF0000"/>
              <x14:axisColor rgb="FF000000"/>
            </x14:dataBar>
          </x14:cfRule>
          <xm:sqref>B5:B12</xm:sqref>
        </x14:conditionalFormatting>
        <x14:conditionalFormatting xmlns:xm="http://schemas.microsoft.com/office/excel/2006/main">
          <x14:cfRule type="dataBar" id="{1E614751-AB5B-44BA-9F23-AA8DD798F39A}">
            <x14:dataBar minLength="0" maxLength="100" border="1" negativeBarBorderColorSameAsPositive="0">
              <x14:cfvo type="autoMin"/>
              <x14:cfvo type="autoMax"/>
              <x14:borderColor rgb="FF638EC6"/>
              <x14:negativeFillColor rgb="FFFF0000"/>
              <x14:negativeBorderColor rgb="FFFF0000"/>
              <x14:axisColor rgb="FF000000"/>
            </x14:dataBar>
          </x14:cfRule>
          <xm:sqref>B18:B23</xm:sqref>
        </x14:conditionalFormatting>
        <x14:conditionalFormatting xmlns:xm="http://schemas.microsoft.com/office/excel/2006/main">
          <x14:cfRule type="dataBar" id="{B0DA1C02-174E-42F4-93E6-4BC3A6B3B52B}">
            <x14:dataBar minLength="0" maxLength="100" gradient="0">
              <x14:cfvo type="autoMin"/>
              <x14:cfvo type="autoMax"/>
              <x14:negativeFillColor rgb="FFFF0000"/>
              <x14:axisColor rgb="FF000000"/>
            </x14:dataBar>
          </x14:cfRule>
          <xm:sqref>D5:D12</xm:sqref>
        </x14:conditionalFormatting>
        <x14:conditionalFormatting xmlns:xm="http://schemas.microsoft.com/office/excel/2006/main">
          <x14:cfRule type="dataBar" id="{08F94815-6849-49E3-A923-046A954A5631}">
            <x14:dataBar minLength="0" maxLength="100" gradient="0">
              <x14:cfvo type="autoMin"/>
              <x14:cfvo type="autoMax"/>
              <x14:negativeFillColor rgb="FFFF0000"/>
              <x14:axisColor rgb="FF000000"/>
            </x14:dataBar>
          </x14:cfRule>
          <xm:sqref>D18:D23 E20:I20</xm:sqref>
        </x14:conditionalFormatting>
        <x14:conditionalFormatting xmlns:xm="http://schemas.microsoft.com/office/excel/2006/main">
          <x14:cfRule type="dataBar" id="{C1C5F4F0-BAD1-46E3-ADE9-A8834384D047}">
            <x14:dataBar minLength="0" maxLength="100" gradient="0">
              <x14:cfvo type="autoMin"/>
              <x14:cfvo type="autoMax"/>
              <x14:negativeFillColor rgb="FFFF0000"/>
              <x14:axisColor rgb="FF000000"/>
            </x14:dataBar>
          </x14:cfRule>
          <xm:sqref>D5:I10</xm:sqref>
        </x14:conditionalFormatting>
        <x14:conditionalFormatting xmlns:xm="http://schemas.microsoft.com/office/excel/2006/main">
          <x14:cfRule type="dataBar" id="{E546E8AC-AA8B-4FFD-8003-CD5A59CB89F4}">
            <x14:dataBar minLength="0" maxLength="100" gradient="0">
              <x14:cfvo type="autoMin"/>
              <x14:cfvo type="autoMax"/>
              <x14:negativeFillColor rgb="FFFF0000"/>
              <x14:axisColor rgb="FF000000"/>
            </x14:dataBar>
          </x14:cfRule>
          <xm:sqref>D18:I23</xm:sqref>
        </x14:conditionalFormatting>
        <x14:conditionalFormatting xmlns:xm="http://schemas.microsoft.com/office/excel/2006/main">
          <x14:cfRule type="dataBar" id="{C304E95A-1179-4785-98F0-B3C82D29E660}">
            <x14:dataBar minLength="0" maxLength="100" gradient="0">
              <x14:cfvo type="autoMin"/>
              <x14:cfvo type="autoMax"/>
              <x14:negativeFillColor rgb="FFFF0000"/>
              <x14:axisColor rgb="FF000000"/>
            </x14:dataBar>
          </x14:cfRule>
          <xm:sqref>E5:E12 F5:I5</xm:sqref>
        </x14:conditionalFormatting>
        <x14:conditionalFormatting xmlns:xm="http://schemas.microsoft.com/office/excel/2006/main">
          <x14:cfRule type="dataBar" id="{9A68CAB5-7928-462C-B1DD-E00E737734E3}">
            <x14:dataBar minLength="0" maxLength="100" gradient="0">
              <x14:cfvo type="autoMin"/>
              <x14:cfvo type="autoMax"/>
              <x14:negativeFillColor rgb="FFFF0000"/>
              <x14:axisColor rgb="FF000000"/>
            </x14:dataBar>
          </x14:cfRule>
          <xm:sqref>E18:E23</xm:sqref>
        </x14:conditionalFormatting>
        <x14:conditionalFormatting xmlns:xm="http://schemas.microsoft.com/office/excel/2006/main">
          <x14:cfRule type="dataBar" id="{F7362A00-AA1D-48EE-B80B-B9640362C6F3}">
            <x14:dataBar minLength="0" maxLength="100" gradient="0">
              <x14:cfvo type="autoMin"/>
              <x14:cfvo type="autoMax"/>
              <x14:negativeFillColor rgb="FFFF0000"/>
              <x14:axisColor rgb="FF000000"/>
            </x14:dataBar>
          </x14:cfRule>
          <xm:sqref>F5:F12</xm:sqref>
        </x14:conditionalFormatting>
        <x14:conditionalFormatting xmlns:xm="http://schemas.microsoft.com/office/excel/2006/main">
          <x14:cfRule type="dataBar" id="{3660E398-3199-4BB0-BDB6-6ADB0ED8939B}">
            <x14:dataBar minLength="0" maxLength="100" gradient="0">
              <x14:cfvo type="autoMin"/>
              <x14:cfvo type="autoMax"/>
              <x14:negativeFillColor rgb="FFFF0000"/>
              <x14:axisColor rgb="FF000000"/>
            </x14:dataBar>
          </x14:cfRule>
          <xm:sqref>F18:F23</xm:sqref>
        </x14:conditionalFormatting>
        <x14:conditionalFormatting xmlns:xm="http://schemas.microsoft.com/office/excel/2006/main">
          <x14:cfRule type="dataBar" id="{2EC92D06-6B04-4B2F-BDD6-F48B91DBE939}">
            <x14:dataBar minLength="0" maxLength="100" gradient="0">
              <x14:cfvo type="autoMin"/>
              <x14:cfvo type="autoMax"/>
              <x14:negativeFillColor rgb="FFFF0000"/>
              <x14:axisColor rgb="FF000000"/>
            </x14:dataBar>
          </x14:cfRule>
          <xm:sqref>G5:G12</xm:sqref>
        </x14:conditionalFormatting>
        <x14:conditionalFormatting xmlns:xm="http://schemas.microsoft.com/office/excel/2006/main">
          <x14:cfRule type="dataBar" id="{5BCEAA63-A8D4-4D25-AD93-B88B45600EDF}">
            <x14:dataBar minLength="0" maxLength="100" gradient="0">
              <x14:cfvo type="autoMin"/>
              <x14:cfvo type="autoMax"/>
              <x14:negativeFillColor rgb="FFFF0000"/>
              <x14:axisColor rgb="FF000000"/>
            </x14:dataBar>
          </x14:cfRule>
          <xm:sqref>G18:G23</xm:sqref>
        </x14:conditionalFormatting>
        <x14:conditionalFormatting xmlns:xm="http://schemas.microsoft.com/office/excel/2006/main">
          <x14:cfRule type="dataBar" id="{760A35A7-2615-4AE7-A04B-1FC0A6A80C37}">
            <x14:dataBar minLength="0" maxLength="100" gradient="0">
              <x14:cfvo type="autoMin"/>
              <x14:cfvo type="autoMax"/>
              <x14:negativeFillColor rgb="FFFF0000"/>
              <x14:axisColor rgb="FF000000"/>
            </x14:dataBar>
          </x14:cfRule>
          <xm:sqref>H5:H12</xm:sqref>
        </x14:conditionalFormatting>
        <x14:conditionalFormatting xmlns:xm="http://schemas.microsoft.com/office/excel/2006/main">
          <x14:cfRule type="dataBar" id="{572890F1-188F-4253-81E8-A5316FD7C85B}">
            <x14:dataBar minLength="0" maxLength="100" gradient="0">
              <x14:cfvo type="autoMin"/>
              <x14:cfvo type="autoMax"/>
              <x14:negativeFillColor rgb="FFFF0000"/>
              <x14:axisColor rgb="FF000000"/>
            </x14:dataBar>
          </x14:cfRule>
          <xm:sqref>H18:H23</xm:sqref>
        </x14:conditionalFormatting>
        <x14:conditionalFormatting xmlns:xm="http://schemas.microsoft.com/office/excel/2006/main">
          <x14:cfRule type="dataBar" id="{6C80B6A3-1687-4387-B759-6913DDED679E}">
            <x14:dataBar minLength="0" maxLength="100" gradient="0">
              <x14:cfvo type="autoMin"/>
              <x14:cfvo type="autoMax"/>
              <x14:negativeFillColor rgb="FFFF0000"/>
              <x14:axisColor rgb="FF000000"/>
            </x14:dataBar>
          </x14:cfRule>
          <xm:sqref>I5:I12</xm:sqref>
        </x14:conditionalFormatting>
        <x14:conditionalFormatting xmlns:xm="http://schemas.microsoft.com/office/excel/2006/main">
          <x14:cfRule type="dataBar" id="{1B79C624-9748-44CE-B169-FDCC43C8F338}">
            <x14:dataBar minLength="0" maxLength="100" gradient="0">
              <x14:cfvo type="autoMin"/>
              <x14:cfvo type="autoMax"/>
              <x14:negativeFillColor rgb="FFFF0000"/>
              <x14:axisColor rgb="FF000000"/>
            </x14:dataBar>
          </x14:cfRule>
          <xm:sqref>I18:I23 D18:H18</xm:sqref>
        </x14:conditionalFormatting>
        <x14:conditionalFormatting xmlns:xm="http://schemas.microsoft.com/office/excel/2006/main">
          <x14:cfRule type="dataBar" id="{4C763036-D1C0-4B33-9FE0-6739A0C0B4B4}">
            <x14:dataBar minLength="0" maxLength="100" gradient="0">
              <x14:cfvo type="autoMin"/>
              <x14:cfvo type="autoMax"/>
              <x14:negativeFillColor rgb="FFFF0000"/>
              <x14:axisColor rgb="FF000000"/>
            </x14:dataBar>
          </x14:cfRule>
          <xm:sqref>K5:K12</xm:sqref>
        </x14:conditionalFormatting>
        <x14:conditionalFormatting xmlns:xm="http://schemas.microsoft.com/office/excel/2006/main">
          <x14:cfRule type="dataBar" id="{9AF9FA1A-1B05-413B-9272-E0601F45E99C}">
            <x14:dataBar minLength="0" maxLength="100" gradient="0">
              <x14:cfvo type="autoMin"/>
              <x14:cfvo type="autoMax"/>
              <x14:negativeFillColor rgb="FFFF0000"/>
              <x14:axisColor rgb="FF000000"/>
            </x14:dataBar>
          </x14:cfRule>
          <xm:sqref>K18:K22</xm:sqref>
        </x14:conditionalFormatting>
        <x14:conditionalFormatting xmlns:xm="http://schemas.microsoft.com/office/excel/2006/main">
          <x14:cfRule type="dataBar" id="{CE4264AC-767A-45AD-BF4D-A9482FC93C72}">
            <x14:dataBar minLength="0" maxLength="100" border="1" negativeBarBorderColorSameAsPositive="0">
              <x14:cfvo type="autoMin"/>
              <x14:cfvo type="autoMax"/>
              <x14:borderColor rgb="FF63C384"/>
              <x14:negativeFillColor rgb="FFFF0000"/>
              <x14:negativeBorderColor rgb="FFFF0000"/>
              <x14:axisColor rgb="FF000000"/>
            </x14:dataBar>
          </x14:cfRule>
          <xm:sqref>K18:O22</xm:sqref>
        </x14:conditionalFormatting>
        <x14:conditionalFormatting xmlns:xm="http://schemas.microsoft.com/office/excel/2006/main">
          <x14:cfRule type="dataBar" id="{8DB3EF22-4946-4F06-A094-AC884B0F9926}">
            <x14:dataBar minLength="0" maxLength="100" gradient="0">
              <x14:cfvo type="autoMin"/>
              <x14:cfvo type="autoMax"/>
              <x14:negativeFillColor rgb="FFFF0000"/>
              <x14:axisColor rgb="FF000000"/>
            </x14:dataBar>
          </x14:cfRule>
          <x14:cfRule type="dataBar" id="{A13C663D-7723-4EEC-B104-759B3E26520B}">
            <x14:dataBar minLength="0" maxLength="100" gradient="0">
              <x14:cfvo type="autoMin"/>
              <x14:cfvo type="autoMax"/>
              <x14:negativeFillColor rgb="FFFF0000"/>
              <x14:axisColor rgb="FF000000"/>
            </x14:dataBar>
          </x14:cfRule>
          <xm:sqref>K18:O23</xm:sqref>
        </x14:conditionalFormatting>
        <x14:conditionalFormatting xmlns:xm="http://schemas.microsoft.com/office/excel/2006/main">
          <x14:cfRule type="dataBar" id="{EABB97F8-6531-46E8-908F-5F79F503651E}">
            <x14:dataBar minLength="0" maxLength="100" gradient="0">
              <x14:cfvo type="autoMin"/>
              <x14:cfvo type="autoMax"/>
              <x14:negativeFillColor rgb="FFFF0000"/>
              <x14:axisColor rgb="FF000000"/>
            </x14:dataBar>
          </x14:cfRule>
          <x14:cfRule type="dataBar" id="{52255E31-F8F4-4246-B017-2AFA82290895}">
            <x14:dataBar minLength="0" maxLength="100" border="1" negativeBarBorderColorSameAsPositive="0">
              <x14:cfvo type="autoMin"/>
              <x14:cfvo type="autoMax"/>
              <x14:borderColor rgb="FF63C384"/>
              <x14:negativeFillColor rgb="FFFF0000"/>
              <x14:negativeBorderColor rgb="FFFF0000"/>
              <x14:axisColor rgb="FF000000"/>
            </x14:dataBar>
          </x14:cfRule>
          <xm:sqref>K5:P10</xm:sqref>
        </x14:conditionalFormatting>
        <x14:conditionalFormatting xmlns:xm="http://schemas.microsoft.com/office/excel/2006/main">
          <x14:cfRule type="dataBar" id="{0AD6818D-27FA-4D87-89BA-5F59D726CC1F}">
            <x14:dataBar minLength="0" maxLength="100" gradient="0">
              <x14:cfvo type="autoMin"/>
              <x14:cfvo type="autoMax"/>
              <x14:negativeFillColor rgb="FFFF0000"/>
              <x14:axisColor rgb="FF000000"/>
            </x14:dataBar>
          </x14:cfRule>
          <x14:cfRule type="dataBar" id="{766DBC49-1B01-4A45-B02F-226FE53EF433}">
            <x14:dataBar minLength="0" maxLength="100" gradient="0">
              <x14:cfvo type="autoMin"/>
              <x14:cfvo type="autoMax"/>
              <x14:negativeFillColor rgb="FFFF0000"/>
              <x14:axisColor rgb="FF000000"/>
            </x14:dataBar>
          </x14:cfRule>
          <x14:cfRule type="dataBar" id="{48CADC90-E291-404C-ACE2-3AEDA4A65187}">
            <x14:dataBar minLength="0" maxLength="100" gradient="0">
              <x14:cfvo type="autoMin"/>
              <x14:cfvo type="autoMax"/>
              <x14:negativeFillColor rgb="FFFF0000"/>
              <x14:axisColor rgb="FF000000"/>
            </x14:dataBar>
          </x14:cfRule>
          <x14:cfRule type="dataBar" id="{5590DF2A-84EB-4D2E-AA34-78B7B0B11030}">
            <x14:dataBar minLength="0" maxLength="100" border="1" negativeBarBorderColorSameAsPositive="0">
              <x14:cfvo type="autoMin"/>
              <x14:cfvo type="autoMax"/>
              <x14:borderColor rgb="FF63C384"/>
              <x14:negativeFillColor rgb="FFFF0000"/>
              <x14:negativeBorderColor rgb="FFFF0000"/>
              <x14:axisColor rgb="FF000000"/>
            </x14:dataBar>
          </x14:cfRule>
          <xm:sqref>K18:P22</xm:sqref>
        </x14:conditionalFormatting>
        <x14:conditionalFormatting xmlns:xm="http://schemas.microsoft.com/office/excel/2006/main">
          <x14:cfRule type="dataBar" id="{2FC35CA4-B397-4D6A-91B7-BA79BED8AFAA}">
            <x14:dataBar minLength="0" maxLength="100" gradient="0">
              <x14:cfvo type="autoMin"/>
              <x14:cfvo type="autoMax"/>
              <x14:negativeFillColor rgb="FFFF0000"/>
              <x14:axisColor rgb="FF000000"/>
            </x14:dataBar>
          </x14:cfRule>
          <xm:sqref>K18:P23</xm:sqref>
        </x14:conditionalFormatting>
        <x14:conditionalFormatting xmlns:xm="http://schemas.microsoft.com/office/excel/2006/main">
          <x14:cfRule type="dataBar" id="{F871EEB9-5E68-412C-85AF-2BA665EB0181}">
            <x14:dataBar minLength="0" maxLength="100" gradient="0">
              <x14:cfvo type="autoMin"/>
              <x14:cfvo type="autoMax"/>
              <x14:negativeFillColor rgb="FFFF0000"/>
              <x14:axisColor rgb="FF000000"/>
            </x14:dataBar>
          </x14:cfRule>
          <x14:cfRule type="dataBar" id="{E47EC594-1C67-4C87-94FA-BF1E17055C76}">
            <x14:dataBar minLength="0" maxLength="100" gradient="0">
              <x14:cfvo type="autoMin"/>
              <x14:cfvo type="autoMax"/>
              <x14:negativeFillColor rgb="FFFF0000"/>
              <x14:axisColor rgb="FF000000"/>
            </x14:dataBar>
          </x14:cfRule>
          <x14:cfRule type="dataBar" id="{D06432F2-3555-4BE1-8517-4B3288071223}">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F3375147-F291-416C-AEA3-7B2B8BEAD7E4}">
            <x14:dataBar minLength="0" maxLength="100" border="1" negativeBarBorderColorSameAsPositive="0">
              <x14:cfvo type="autoMin"/>
              <x14:cfvo type="autoMax"/>
              <x14:borderColor rgb="FF63C384"/>
              <x14:negativeFillColor rgb="FFFF0000"/>
              <x14:negativeBorderColor rgb="FFFF0000"/>
              <x14:axisColor rgb="FF000000"/>
            </x14:dataBar>
          </x14:cfRule>
          <xm:sqref>K23:P23</xm:sqref>
        </x14:conditionalFormatting>
        <x14:conditionalFormatting xmlns:xm="http://schemas.microsoft.com/office/excel/2006/main">
          <x14:cfRule type="dataBar" id="{FC7B2907-A29F-4B31-83C8-D2D944A99F08}">
            <x14:dataBar minLength="0" maxLength="100" gradient="0">
              <x14:cfvo type="autoMin"/>
              <x14:cfvo type="autoMax"/>
              <x14:negativeFillColor rgb="FFFF0000"/>
              <x14:axisColor rgb="FF000000"/>
            </x14:dataBar>
          </x14:cfRule>
          <xm:sqref>L5:L12</xm:sqref>
        </x14:conditionalFormatting>
        <x14:conditionalFormatting xmlns:xm="http://schemas.microsoft.com/office/excel/2006/main">
          <x14:cfRule type="dataBar" id="{7CAADE33-A19D-4838-8536-2B267B9778DE}">
            <x14:dataBar minLength="0" maxLength="100" gradient="0">
              <x14:cfvo type="autoMin"/>
              <x14:cfvo type="autoMax"/>
              <x14:negativeFillColor rgb="FFFF0000"/>
              <x14:axisColor rgb="FF000000"/>
            </x14:dataBar>
          </x14:cfRule>
          <xm:sqref>L18:L22</xm:sqref>
        </x14:conditionalFormatting>
        <x14:conditionalFormatting xmlns:xm="http://schemas.microsoft.com/office/excel/2006/main">
          <x14:cfRule type="dataBar" id="{031A5A31-35C4-4C6C-9E5D-694B5FEE6A76}">
            <x14:dataBar minLength="0" maxLength="100" gradient="0">
              <x14:cfvo type="autoMin"/>
              <x14:cfvo type="autoMax"/>
              <x14:negativeFillColor rgb="FFFF0000"/>
              <x14:axisColor rgb="FF000000"/>
            </x14:dataBar>
          </x14:cfRule>
          <xm:sqref>M11:M12</xm:sqref>
        </x14:conditionalFormatting>
        <x14:conditionalFormatting xmlns:xm="http://schemas.microsoft.com/office/excel/2006/main">
          <x14:cfRule type="dataBar" id="{D7B22658-5269-4F46-867D-9D9575F95FA8}">
            <x14:dataBar minLength="0" maxLength="100" gradient="0">
              <x14:cfvo type="autoMin"/>
              <x14:cfvo type="autoMax"/>
              <x14:negativeFillColor rgb="FFFF0000"/>
              <x14:axisColor rgb="FF000000"/>
            </x14:dataBar>
          </x14:cfRule>
          <xm:sqref>M20:M22</xm:sqref>
        </x14:conditionalFormatting>
        <x14:conditionalFormatting xmlns:xm="http://schemas.microsoft.com/office/excel/2006/main">
          <x14:cfRule type="dataBar" id="{EB43B20A-D1A6-44C7-9772-814651CD4DF8}">
            <x14:dataBar minLength="0" maxLength="100" gradient="0">
              <x14:cfvo type="autoMin"/>
              <x14:cfvo type="autoMax"/>
              <x14:negativeFillColor rgb="FFFF0000"/>
              <x14:axisColor rgb="FF000000"/>
            </x14:dataBar>
          </x14:cfRule>
          <xm:sqref>M5:P10</xm:sqref>
        </x14:conditionalFormatting>
        <x14:conditionalFormatting xmlns:xm="http://schemas.microsoft.com/office/excel/2006/main">
          <x14:cfRule type="dataBar" id="{99D1C3E0-D7D1-4632-9C46-B3C36A91D359}">
            <x14:dataBar minLength="0" maxLength="100" gradient="0">
              <x14:cfvo type="autoMin"/>
              <x14:cfvo type="autoMax"/>
              <x14:negativeFillColor rgb="FFFF0000"/>
              <x14:axisColor rgb="FF000000"/>
            </x14:dataBar>
          </x14:cfRule>
          <xm:sqref>N11:N12</xm:sqref>
        </x14:conditionalFormatting>
        <x14:conditionalFormatting xmlns:xm="http://schemas.microsoft.com/office/excel/2006/main">
          <x14:cfRule type="dataBar" id="{11B1A7BE-F51E-410B-9B12-9A3DF0DCB1C8}">
            <x14:dataBar minLength="0" maxLength="100" gradient="0">
              <x14:cfvo type="autoMin"/>
              <x14:cfvo type="autoMax"/>
              <x14:negativeFillColor rgb="FFFF0000"/>
              <x14:axisColor rgb="FF000000"/>
            </x14:dataBar>
          </x14:cfRule>
          <xm:sqref>N18:N22</xm:sqref>
        </x14:conditionalFormatting>
        <x14:conditionalFormatting xmlns:xm="http://schemas.microsoft.com/office/excel/2006/main">
          <x14:cfRule type="dataBar" id="{3F7074F6-3B3B-49DC-A8CB-210AF967206E}">
            <x14:dataBar minLength="0" maxLength="100" gradient="0">
              <x14:cfvo type="autoMin"/>
              <x14:cfvo type="autoMax"/>
              <x14:negativeFillColor rgb="FFFF0000"/>
              <x14:axisColor rgb="FF000000"/>
            </x14:dataBar>
          </x14:cfRule>
          <xm:sqref>O11:O12</xm:sqref>
        </x14:conditionalFormatting>
        <x14:conditionalFormatting xmlns:xm="http://schemas.microsoft.com/office/excel/2006/main">
          <x14:cfRule type="dataBar" id="{F49E58FE-8E2F-483B-BEA8-C65BAFA1884D}">
            <x14:dataBar minLength="0" maxLength="100" gradient="0">
              <x14:cfvo type="autoMin"/>
              <x14:cfvo type="autoMax"/>
              <x14:negativeFillColor rgb="FFFF0000"/>
              <x14:axisColor rgb="FF000000"/>
            </x14:dataBar>
          </x14:cfRule>
          <xm:sqref>O18:O22</xm:sqref>
        </x14:conditionalFormatting>
        <x14:conditionalFormatting xmlns:xm="http://schemas.microsoft.com/office/excel/2006/main">
          <x14:cfRule type="dataBar" id="{EA1C8A09-79DB-440B-91D1-D1B49135AA77}">
            <x14:dataBar minLength="0" maxLength="100" gradient="0">
              <x14:cfvo type="autoMin"/>
              <x14:cfvo type="autoMax"/>
              <x14:negativeFillColor rgb="FFFF0000"/>
              <x14:axisColor rgb="FF000000"/>
            </x14:dataBar>
          </x14:cfRule>
          <xm:sqref>P11:P12</xm:sqref>
        </x14:conditionalFormatting>
        <x14:conditionalFormatting xmlns:xm="http://schemas.microsoft.com/office/excel/2006/main">
          <x14:cfRule type="dataBar" id="{F8AA8329-A7FA-487E-9EFB-0167401883D2}">
            <x14:dataBar minLength="0" maxLength="100" gradient="0">
              <x14:cfvo type="autoMin"/>
              <x14:cfvo type="autoMax"/>
              <x14:negativeFillColor rgb="FFFF0000"/>
              <x14:axisColor rgb="FF000000"/>
            </x14:dataBar>
          </x14:cfRule>
          <xm:sqref>P18:P22</xm:sqref>
        </x14:conditionalFormatting>
        <x14:conditionalFormatting xmlns:xm="http://schemas.microsoft.com/office/excel/2006/main">
          <x14:cfRule type="dataBar" id="{641C2A6A-85FD-4B52-9377-5D2EAB6415D1}">
            <x14:dataBar minLength="0" maxLength="100" gradient="0">
              <x14:cfvo type="autoMin"/>
              <x14:cfvo type="autoMax"/>
              <x14:negativeFillColor rgb="FFFF0000"/>
              <x14:axisColor rgb="FF000000"/>
            </x14:dataBar>
          </x14:cfRule>
          <xm:sqref>P18:P23</xm:sqref>
        </x14:conditionalFormatting>
        <x14:conditionalFormatting xmlns:xm="http://schemas.microsoft.com/office/excel/2006/main">
          <x14:cfRule type="dataBar" id="{9C67937D-F218-480F-8C10-C41AC0571BBF}">
            <x14:dataBar minLength="0" maxLength="100" gradient="0">
              <x14:cfvo type="autoMin"/>
              <x14:cfvo type="autoMax"/>
              <x14:negativeFillColor rgb="FFFF0000"/>
              <x14:axisColor rgb="FF000000"/>
            </x14:dataBar>
          </x14:cfRule>
          <x14:cfRule type="dataBar" id="{F52FA75F-96C1-48EF-A41E-4E9DCBCA2FA5}">
            <x14:dataBar minLength="0" maxLength="100" gradient="0">
              <x14:cfvo type="autoMin"/>
              <x14:cfvo type="autoMax"/>
              <x14:negativeFillColor rgb="FFFF0000"/>
              <x14:axisColor rgb="FF000000"/>
            </x14:dataBar>
          </x14:cfRule>
          <x14:cfRule type="dataBar" id="{DA0F5DE2-9C91-4B7F-A28E-2F0B9EEA1157}">
            <x14:dataBar minLength="0" maxLength="100" gradient="0">
              <x14:cfvo type="autoMin"/>
              <x14:cfvo type="autoMax"/>
              <x14:negativeFillColor rgb="FFFF0000"/>
              <x14:axisColor rgb="FF000000"/>
            </x14:dataBar>
          </x14:cfRule>
          <x14:cfRule type="dataBar" id="{1D17384C-9FDE-4F5F-8DDB-B1C4CEE179E1}">
            <x14:dataBar minLength="0" maxLength="100" gradient="0">
              <x14:cfvo type="autoMin"/>
              <x14:cfvo type="autoMax"/>
              <x14:negativeFillColor rgb="FFFF0000"/>
              <x14:axisColor rgb="FF000000"/>
            </x14:dataBar>
          </x14:cfRule>
          <x14:cfRule type="dataBar" id="{3792AEC1-505F-427D-B927-5207FD0BFFA0}">
            <x14:dataBar minLength="0" maxLength="100" border="1" negativeBarBorderColorSameAsPositive="0">
              <x14:cfvo type="autoMin"/>
              <x14:cfvo type="autoMax"/>
              <x14:borderColor rgb="FF63C384"/>
              <x14:negativeFillColor rgb="FFFF0000"/>
              <x14:negativeBorderColor rgb="FFFF0000"/>
              <x14:axisColor rgb="FF000000"/>
            </x14:dataBar>
          </x14:cfRule>
          <xm:sqref>P23</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6"/>
  <sheetViews>
    <sheetView workbookViewId="0"/>
  </sheetViews>
  <sheetFormatPr defaultColWidth="11.42578125" defaultRowHeight="12.6"/>
  <cols>
    <col min="1" max="1" width="27.140625" bestFit="1" customWidth="1"/>
  </cols>
  <sheetData>
    <row r="1" spans="1:1">
      <c r="A1" t="s">
        <v>230</v>
      </c>
    </row>
    <row r="2" spans="1:1">
      <c r="A2" t="s">
        <v>231</v>
      </c>
    </row>
    <row r="3" spans="1:1">
      <c r="A3" t="s">
        <v>232</v>
      </c>
    </row>
    <row r="4" spans="1:1">
      <c r="A4" t="s">
        <v>233</v>
      </c>
    </row>
    <row r="5" spans="1:1">
      <c r="A5" t="s">
        <v>234</v>
      </c>
    </row>
    <row r="6" spans="1:1">
      <c r="A6" s="10" t="s">
        <v>235</v>
      </c>
    </row>
  </sheetData>
  <phoneticPr fontId="80"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F1C0F-2812-462C-B282-50A69C0E8C50}">
  <sheetPr>
    <tabColor theme="5"/>
  </sheetPr>
  <dimension ref="A1:N78"/>
  <sheetViews>
    <sheetView showGridLines="0" topLeftCell="A12" zoomScale="84" zoomScaleNormal="70" workbookViewId="0">
      <selection activeCell="D45" sqref="D45"/>
    </sheetView>
  </sheetViews>
  <sheetFormatPr defaultColWidth="11.42578125" defaultRowHeight="12.6"/>
  <cols>
    <col min="1" max="1" width="0.42578125" customWidth="1"/>
    <col min="2" max="2" width="31.7109375" bestFit="1" customWidth="1"/>
    <col min="3" max="4" width="32.140625" customWidth="1"/>
    <col min="5" max="5" width="33.42578125" customWidth="1"/>
    <col min="6" max="6" width="33.85546875" customWidth="1"/>
    <col min="7" max="7" width="32.140625" customWidth="1"/>
    <col min="8" max="8" width="33.140625" customWidth="1"/>
    <col min="9" max="9" width="15.42578125" customWidth="1"/>
    <col min="10" max="10" width="10.7109375" customWidth="1"/>
  </cols>
  <sheetData>
    <row r="1" spans="2:14" ht="14.1">
      <c r="B1" s="191" t="s">
        <v>236</v>
      </c>
      <c r="C1" s="192" t="s">
        <v>237</v>
      </c>
      <c r="D1" s="1073" t="s">
        <v>202</v>
      </c>
      <c r="E1" s="1073"/>
      <c r="F1" s="1073"/>
      <c r="G1" s="1073"/>
      <c r="H1" s="1073"/>
    </row>
    <row r="2" spans="2:14" ht="81.75" customHeight="1">
      <c r="B2" s="193"/>
      <c r="C2" s="346" t="e" vm="2">
        <v>#VALUE!</v>
      </c>
      <c r="D2" s="1074" t="s">
        <v>238</v>
      </c>
      <c r="E2" s="1075"/>
      <c r="F2" s="1075"/>
      <c r="G2" s="1075"/>
      <c r="H2" s="1076"/>
    </row>
    <row r="3" spans="2:14" ht="81.75" customHeight="1">
      <c r="B3" s="193"/>
      <c r="C3" s="347" t="e" vm="3">
        <v>#VALUE!</v>
      </c>
      <c r="D3" s="1074" t="s">
        <v>239</v>
      </c>
      <c r="E3" s="1075"/>
      <c r="F3" s="1075"/>
      <c r="G3" s="1075"/>
      <c r="H3" s="1076"/>
    </row>
    <row r="4" spans="2:14" ht="81.75" customHeight="1">
      <c r="B4" s="193"/>
      <c r="C4" s="348" t="e" vm="4">
        <v>#VALUE!</v>
      </c>
      <c r="D4" s="1074" t="s">
        <v>240</v>
      </c>
      <c r="E4" s="1075"/>
      <c r="F4" s="1075"/>
      <c r="G4" s="1075"/>
      <c r="H4" s="1076"/>
    </row>
    <row r="5" spans="2:14" ht="81.75" customHeight="1">
      <c r="B5" s="193"/>
      <c r="C5" s="349" t="e" vm="5">
        <v>#VALUE!</v>
      </c>
      <c r="D5" s="1074" t="s">
        <v>241</v>
      </c>
      <c r="E5" s="1075"/>
      <c r="F5" s="1075"/>
      <c r="G5" s="1075"/>
      <c r="H5" s="1076"/>
    </row>
    <row r="6" spans="2:14" ht="81.75" customHeight="1">
      <c r="B6" s="193"/>
      <c r="C6" s="350" t="e" vm="6">
        <v>#VALUE!</v>
      </c>
      <c r="D6" s="1074" t="s">
        <v>242</v>
      </c>
      <c r="E6" s="1075"/>
      <c r="F6" s="1075"/>
      <c r="G6" s="1075"/>
      <c r="H6" s="1076"/>
      <c r="L6" s="2"/>
    </row>
    <row r="7" spans="2:14">
      <c r="B7" s="10"/>
    </row>
    <row r="8" spans="2:14" ht="36" customHeight="1">
      <c r="B8" s="190" t="s">
        <v>243</v>
      </c>
      <c r="C8" s="340" t="e" vm="1">
        <f>OP!E2</f>
        <v>#VALUE!</v>
      </c>
      <c r="D8" s="341" t="e" vm="2">
        <f>C2</f>
        <v>#VALUE!</v>
      </c>
      <c r="E8" s="342" t="e" vm="3">
        <f>C3</f>
        <v>#VALUE!</v>
      </c>
      <c r="F8" s="343" t="e" vm="4">
        <f>C4</f>
        <v>#VALUE!</v>
      </c>
      <c r="G8" s="554" t="e" vm="5">
        <f>C5</f>
        <v>#VALUE!</v>
      </c>
      <c r="H8" s="345" t="e" vm="6">
        <f>C6</f>
        <v>#VALUE!</v>
      </c>
      <c r="I8" s="810" t="s">
        <v>244</v>
      </c>
      <c r="J8" s="524" t="s">
        <v>245</v>
      </c>
    </row>
    <row r="9" spans="2:14" ht="16.5" customHeight="1">
      <c r="B9" s="185" t="s">
        <v>246</v>
      </c>
      <c r="C9" s="173"/>
      <c r="D9" s="174"/>
      <c r="E9" s="174"/>
      <c r="F9" s="174"/>
      <c r="G9" s="174"/>
      <c r="H9" s="175"/>
      <c r="I9" s="176" t="str">
        <f>IFERROR(AVERAGE(C9:H9),"")</f>
        <v/>
      </c>
      <c r="J9" s="499"/>
      <c r="L9" s="1077" t="s">
        <v>247</v>
      </c>
      <c r="M9" s="1078"/>
      <c r="N9" s="1079"/>
    </row>
    <row r="10" spans="2:14" ht="13.5" customHeight="1">
      <c r="B10" s="184" t="s">
        <v>248</v>
      </c>
      <c r="C10" s="172" cm="1">
        <f t="array" aca="1" ref="C10" ca="1">_FV(C8,"Market cap",TRUE)/1000000</f>
        <v>2398.603936</v>
      </c>
      <c r="D10" s="172" cm="1">
        <f t="array" aca="1" ref="D10" ca="1">_FV(D8,"Market cap",TRUE)/1000000</f>
        <v>7024.4</v>
      </c>
      <c r="E10" s="172" cm="1">
        <f t="array" aca="1" ref="E10" ca="1">_FV(E8,"Market cap",TRUE)/1000000</f>
        <v>13877.7</v>
      </c>
      <c r="F10" s="172" cm="1">
        <f t="array" aca="1" ref="F10" ca="1">_FV(F8,"Market cap",TRUE)/1000000</f>
        <v>1127.1659999999999</v>
      </c>
      <c r="G10" s="172" cm="1">
        <f t="array" aca="1" ref="G10" ca="1">_FV(G8,"Market cap",TRUE)/1000000</f>
        <v>120264.7</v>
      </c>
      <c r="H10" s="172" cm="1">
        <f t="array" aca="1" ref="H10" ca="1">_FV(H8,"Market cap",TRUE)/1000000</f>
        <v>2923.712</v>
      </c>
      <c r="I10" s="464">
        <f ca="1">IFERROR(AVERAGE(C10:H10),"")</f>
        <v>24602.713655999996</v>
      </c>
      <c r="J10" s="500">
        <f ca="1">SQRT((C10-I10)^2)</f>
        <v>22204.109719999997</v>
      </c>
      <c r="L10" s="1080"/>
      <c r="M10" s="1069" t="s">
        <v>249</v>
      </c>
      <c r="N10" s="1070"/>
    </row>
    <row r="11" spans="2:14" ht="12.95">
      <c r="B11" s="439" t="s">
        <v>250</v>
      </c>
      <c r="C11" s="440">
        <f>C56</f>
        <v>2060</v>
      </c>
      <c r="D11" s="440">
        <f t="shared" ref="D11:H11" si="0">D56</f>
        <v>1257.4575392051966</v>
      </c>
      <c r="E11" s="440">
        <f t="shared" si="0"/>
        <v>3293.3651904252283</v>
      </c>
      <c r="F11" s="440">
        <f t="shared" si="0"/>
        <v>1243.4198183483657</v>
      </c>
      <c r="G11" s="440">
        <f t="shared" si="0"/>
        <v>2816.7492523148007</v>
      </c>
      <c r="H11" s="440">
        <f t="shared" si="0"/>
        <v>4631.7857261099589</v>
      </c>
      <c r="I11" s="465">
        <f t="shared" ref="I11:I40" si="1">IFERROR(AVERAGE(C11:H11),"")</f>
        <v>2550.4629210672588</v>
      </c>
      <c r="J11" s="501">
        <f t="shared" ref="J11:J50" si="2">SQRT((C11-I11)^2)</f>
        <v>490.46292106725878</v>
      </c>
      <c r="L11" s="1080"/>
      <c r="M11" s="1069"/>
      <c r="N11" s="1070"/>
    </row>
    <row r="12" spans="2:14" ht="16.5" customHeight="1">
      <c r="B12" s="185" t="s">
        <v>251</v>
      </c>
      <c r="C12" s="189"/>
      <c r="D12" s="189"/>
      <c r="E12" s="189"/>
      <c r="F12" s="189"/>
      <c r="G12" s="189"/>
      <c r="H12" s="189"/>
      <c r="I12" s="466" t="str">
        <f t="shared" si="1"/>
        <v/>
      </c>
      <c r="J12" s="502"/>
      <c r="L12" s="1081"/>
      <c r="M12" s="1069" t="s">
        <v>252</v>
      </c>
      <c r="N12" s="1070"/>
    </row>
    <row r="13" spans="2:14" ht="12.95">
      <c r="B13" s="184" t="s">
        <v>253</v>
      </c>
      <c r="C13" s="668">
        <f>C56/C55-1</f>
        <v>0.30959949141767318</v>
      </c>
      <c r="D13" s="448">
        <f t="shared" ref="D13:H13" si="3">D56/D55-1</f>
        <v>0.27754496495988956</v>
      </c>
      <c r="E13" s="448">
        <f t="shared" si="3"/>
        <v>0.18227064299041396</v>
      </c>
      <c r="F13" s="448">
        <f t="shared" si="3"/>
        <v>0.15377505289444615</v>
      </c>
      <c r="G13" s="448">
        <f t="shared" si="3"/>
        <v>4.8876729445725964E-2</v>
      </c>
      <c r="H13" s="448">
        <f t="shared" si="3"/>
        <v>0.18541237537034383</v>
      </c>
      <c r="I13" s="467">
        <f t="shared" si="1"/>
        <v>0.19291320951308211</v>
      </c>
      <c r="J13" s="503">
        <f t="shared" si="2"/>
        <v>0.11668628190459107</v>
      </c>
      <c r="L13" s="1081"/>
      <c r="M13" s="1069"/>
      <c r="N13" s="1070"/>
    </row>
    <row r="14" spans="2:14" ht="12.95">
      <c r="B14" s="441" t="s">
        <v>254</v>
      </c>
      <c r="C14" s="666">
        <f>C56/C54-1</f>
        <v>0.77892918825561308</v>
      </c>
      <c r="D14" s="442">
        <f>D56/D54-1</f>
        <v>0.8926132888390752</v>
      </c>
      <c r="E14" s="442">
        <f t="shared" ref="E14:H14" si="4">E56/E54-1</f>
        <v>0.87211230832365572</v>
      </c>
      <c r="F14" s="450">
        <f t="shared" si="4"/>
        <v>0.59804135498923028</v>
      </c>
      <c r="G14" s="442">
        <f t="shared" si="4"/>
        <v>0.94034995624817186</v>
      </c>
      <c r="H14" s="442">
        <f t="shared" si="4"/>
        <v>0.94887263748140938</v>
      </c>
      <c r="I14" s="468">
        <f t="shared" si="1"/>
        <v>0.83848645568952584</v>
      </c>
      <c r="J14" s="504">
        <f t="shared" si="2"/>
        <v>5.9557267433912764E-2</v>
      </c>
      <c r="L14" s="1067"/>
      <c r="M14" s="1069" t="s">
        <v>255</v>
      </c>
      <c r="N14" s="1070"/>
    </row>
    <row r="15" spans="2:14" ht="12.95">
      <c r="B15" s="449" t="s">
        <v>117</v>
      </c>
      <c r="C15" s="666">
        <f>C59/C56</f>
        <v>0.11683009708737864</v>
      </c>
      <c r="D15" s="450">
        <f t="shared" ref="D15:H15" si="5">D59/D56</f>
        <v>0.16447490828667216</v>
      </c>
      <c r="E15" s="450">
        <f t="shared" si="5"/>
        <v>0.29952211920245747</v>
      </c>
      <c r="F15" s="450">
        <f t="shared" si="5"/>
        <v>5.7292091949942323E-2</v>
      </c>
      <c r="G15" s="450">
        <f t="shared" si="5"/>
        <v>0.31681855990245816</v>
      </c>
      <c r="H15" s="450">
        <f t="shared" si="5"/>
        <v>9.7769120800571846E-2</v>
      </c>
      <c r="I15" s="468">
        <f>IFERROR(AVERAGE(C15:H15),"")</f>
        <v>0.17545114953824673</v>
      </c>
      <c r="J15" s="505">
        <f t="shared" si="2"/>
        <v>5.8621052450868086E-2</v>
      </c>
      <c r="L15" s="1068"/>
      <c r="M15" s="1071"/>
      <c r="N15" s="1072"/>
    </row>
    <row r="16" spans="2:14" ht="12.95">
      <c r="B16" s="441" t="s">
        <v>256</v>
      </c>
      <c r="C16" s="442">
        <f>C62/C56</f>
        <v>7.1359223300970873E-2</v>
      </c>
      <c r="D16" s="442">
        <f t="shared" ref="D16:H16" si="6">D62/D56</f>
        <v>0.10865966895438028</v>
      </c>
      <c r="E16" s="442">
        <f t="shared" si="6"/>
        <v>6.5578340985256778E-2</v>
      </c>
      <c r="F16" s="442">
        <f t="shared" si="6"/>
        <v>4.4393361143161447E-2</v>
      </c>
      <c r="G16" s="442">
        <f>G61/G56</f>
        <v>9.4771819282768233E-2</v>
      </c>
      <c r="H16" s="442">
        <f t="shared" si="6"/>
        <v>4.979747438646652E-2</v>
      </c>
      <c r="I16" s="468">
        <f t="shared" si="1"/>
        <v>7.2426648008834027E-2</v>
      </c>
      <c r="J16" s="504">
        <f t="shared" si="2"/>
        <v>1.0674247078631544E-3</v>
      </c>
    </row>
    <row r="17" spans="1:10" ht="12.95">
      <c r="B17" s="449" t="s">
        <v>257</v>
      </c>
      <c r="C17" s="450">
        <f>C62/C74</f>
        <v>0.15846323006273852</v>
      </c>
      <c r="D17" s="450">
        <f t="shared" ref="D17:H17" si="7">D62/D74</f>
        <v>0.27293970851805394</v>
      </c>
      <c r="E17" s="450">
        <f t="shared" si="7"/>
        <v>6.0881730472192731E-2</v>
      </c>
      <c r="F17" s="450">
        <f t="shared" si="7"/>
        <v>3.03078961831247E-2</v>
      </c>
      <c r="G17" s="450">
        <f>G61/G74</f>
        <v>8.5095859048132313E-2</v>
      </c>
      <c r="H17" s="450">
        <f t="shared" si="7"/>
        <v>0.15942028985507245</v>
      </c>
      <c r="I17" s="468">
        <f t="shared" si="1"/>
        <v>0.12785145235655246</v>
      </c>
      <c r="J17" s="505">
        <f t="shared" si="2"/>
        <v>3.0611777706186061E-2</v>
      </c>
    </row>
    <row r="18" spans="1:10" ht="12.95">
      <c r="B18" s="439" t="s">
        <v>258</v>
      </c>
      <c r="C18" s="443">
        <f>(1+C61/(C59+C60))*C59/(C73+C74-C65)</f>
        <v>0.17527185058100631</v>
      </c>
      <c r="D18" s="443">
        <f t="shared" ref="D18:H18" si="8">(1+D61/(D59+D60))*D59/(D73+D74-D65)</f>
        <v>0.20574799942139063</v>
      </c>
      <c r="E18" s="443">
        <f t="shared" si="8"/>
        <v>0.37380040253175162</v>
      </c>
      <c r="F18" s="443">
        <f>(1+F61/(F59+F60))*F59/(F73+F74-F65)</f>
        <v>3.3342610452967207E-2</v>
      </c>
      <c r="G18" s="443">
        <f t="shared" si="8"/>
        <v>0.21285129170489955</v>
      </c>
      <c r="H18" s="443">
        <f t="shared" si="8"/>
        <v>0.2014474420295207</v>
      </c>
      <c r="I18" s="469">
        <f t="shared" si="1"/>
        <v>0.200410266120256</v>
      </c>
      <c r="J18" s="506">
        <f t="shared" si="2"/>
        <v>2.5138415539249698E-2</v>
      </c>
    </row>
    <row r="19" spans="1:10" ht="15.6">
      <c r="B19" s="185" t="s">
        <v>259</v>
      </c>
      <c r="C19" s="189"/>
      <c r="D19" s="189"/>
      <c r="E19" s="189"/>
      <c r="F19" s="189"/>
      <c r="G19" s="189"/>
      <c r="H19" s="189"/>
      <c r="I19" s="470" t="str">
        <f t="shared" si="1"/>
        <v/>
      </c>
      <c r="J19" s="502"/>
    </row>
    <row r="20" spans="1:10" ht="12.95">
      <c r="B20" s="184" t="s">
        <v>63</v>
      </c>
      <c r="C20" s="451">
        <f>C73/C70</f>
        <v>0.36008265491246572</v>
      </c>
      <c r="D20" s="451">
        <f t="shared" ref="D20:H20" si="9">D73/D70</f>
        <v>0.57907934023248386</v>
      </c>
      <c r="E20" s="451">
        <f t="shared" si="9"/>
        <v>0.17055420451039857</v>
      </c>
      <c r="F20" s="451">
        <f t="shared" si="9"/>
        <v>0.3026649924812877</v>
      </c>
      <c r="G20" s="451">
        <f t="shared" si="9"/>
        <v>0.48676846686665565</v>
      </c>
      <c r="H20" s="451">
        <f t="shared" si="9"/>
        <v>0.36578341013824889</v>
      </c>
      <c r="I20" s="471">
        <f>IFERROR(AVERAGE(C20:H20),"")</f>
        <v>0.37748884485692341</v>
      </c>
      <c r="J20" s="507">
        <f t="shared" si="2"/>
        <v>1.7406189944457695E-2</v>
      </c>
    </row>
    <row r="21" spans="1:10" ht="12.95">
      <c r="B21" s="441" t="s">
        <v>260</v>
      </c>
      <c r="C21" s="447">
        <f>(C73-C65)/C58</f>
        <v>0.50330293159609119</v>
      </c>
      <c r="D21" s="444">
        <f t="shared" ref="D21:H21" si="10">(D73-D65)/D58</f>
        <v>2.1214218500479691</v>
      </c>
      <c r="E21" s="444" t="s">
        <v>18</v>
      </c>
      <c r="F21" s="444">
        <f t="shared" si="10"/>
        <v>4.4558659029322891</v>
      </c>
      <c r="G21" s="444">
        <f t="shared" si="10"/>
        <v>1.7049335983594858</v>
      </c>
      <c r="H21" s="444">
        <f t="shared" si="10"/>
        <v>1.5318456346388594</v>
      </c>
      <c r="I21" s="471">
        <f t="shared" si="1"/>
        <v>2.0634739835149389</v>
      </c>
      <c r="J21" s="508">
        <f t="shared" si="2"/>
        <v>1.5601710519188479</v>
      </c>
    </row>
    <row r="22" spans="1:10" ht="12.95">
      <c r="B22" s="452" t="s">
        <v>261</v>
      </c>
      <c r="C22" s="462" t="s">
        <v>18</v>
      </c>
      <c r="D22" s="462" t="s">
        <v>18</v>
      </c>
      <c r="E22" s="462" t="s">
        <v>18</v>
      </c>
      <c r="F22" s="462" t="s">
        <v>18</v>
      </c>
      <c r="G22" s="462" t="s">
        <v>18</v>
      </c>
      <c r="H22" s="462" t="s">
        <v>18</v>
      </c>
      <c r="I22" s="472" t="str">
        <f t="shared" si="1"/>
        <v/>
      </c>
      <c r="J22" s="509" t="e">
        <f t="shared" si="2"/>
        <v>#VALUE!</v>
      </c>
    </row>
    <row r="23" spans="1:10" ht="15.6">
      <c r="B23" s="185" t="s">
        <v>262</v>
      </c>
      <c r="C23" s="189"/>
      <c r="D23" s="189"/>
      <c r="E23" s="189"/>
      <c r="F23" s="189"/>
      <c r="G23" s="189"/>
      <c r="H23" s="189"/>
      <c r="I23" s="473"/>
      <c r="J23" s="502"/>
    </row>
    <row r="24" spans="1:10" ht="12.95">
      <c r="B24" s="445" t="s">
        <v>263</v>
      </c>
      <c r="C24" s="446">
        <f>C68/C72</f>
        <v>1.272218591367718</v>
      </c>
      <c r="D24" s="446">
        <f t="shared" ref="D24:H24" si="11">D68/D72</f>
        <v>1.242041823785095</v>
      </c>
      <c r="E24" s="446">
        <f t="shared" si="11"/>
        <v>1.887356101152774</v>
      </c>
      <c r="F24" s="446">
        <f t="shared" si="11"/>
        <v>1.6296659986639948</v>
      </c>
      <c r="G24" s="446">
        <f t="shared" si="11"/>
        <v>1.4502654556996604</v>
      </c>
      <c r="H24" s="446">
        <f t="shared" si="11"/>
        <v>1.6429691857222533</v>
      </c>
      <c r="I24" s="474">
        <f t="shared" si="1"/>
        <v>1.5207528593985824</v>
      </c>
      <c r="J24" s="510">
        <f t="shared" si="2"/>
        <v>0.24853426803086442</v>
      </c>
    </row>
    <row r="25" spans="1:10" ht="12.95">
      <c r="B25" s="452" t="s">
        <v>264</v>
      </c>
      <c r="C25" s="453">
        <f>(C65+C66)/C72</f>
        <v>0.53716751568976784</v>
      </c>
      <c r="D25" s="453">
        <f t="shared" ref="D25:H25" si="12">(D65+D66)/D72</f>
        <v>0.43681833412777443</v>
      </c>
      <c r="E25" s="453">
        <f t="shared" si="12"/>
        <v>1.3107334288700276</v>
      </c>
      <c r="F25" s="453">
        <f t="shared" si="12"/>
        <v>0.42581607659763976</v>
      </c>
      <c r="G25" s="453">
        <f t="shared" si="12"/>
        <v>0.80764566876200372</v>
      </c>
      <c r="H25" s="453">
        <f t="shared" si="12"/>
        <v>0.45315114333519241</v>
      </c>
      <c r="I25" s="472">
        <f t="shared" si="1"/>
        <v>0.66188869456373423</v>
      </c>
      <c r="J25" s="511">
        <f t="shared" si="2"/>
        <v>0.12472117887396639</v>
      </c>
    </row>
    <row r="26" spans="1:10" ht="15.6">
      <c r="B26" s="185" t="s">
        <v>265</v>
      </c>
      <c r="C26" s="189"/>
      <c r="D26" s="189"/>
      <c r="E26" s="189"/>
      <c r="F26" s="189"/>
      <c r="G26" s="189"/>
      <c r="H26" s="189"/>
      <c r="I26" s="473" t="str">
        <f t="shared" si="1"/>
        <v/>
      </c>
      <c r="J26" s="502"/>
    </row>
    <row r="27" spans="1:10" ht="12.95">
      <c r="B27" s="445" t="s">
        <v>266</v>
      </c>
      <c r="C27" s="667">
        <f>C57/C67</f>
        <v>1.275684575389948</v>
      </c>
      <c r="D27" s="446">
        <f t="shared" ref="D27:H27" si="13">D57/D67</f>
        <v>2.7327030780637052</v>
      </c>
      <c r="E27" s="446">
        <f t="shared" si="13"/>
        <v>1.5079880311930411</v>
      </c>
      <c r="F27" s="446">
        <f t="shared" si="13"/>
        <v>2.1705545847599295</v>
      </c>
      <c r="G27" s="446">
        <f t="shared" si="13"/>
        <v>2.1642331127028602</v>
      </c>
      <c r="H27" s="446">
        <f t="shared" si="13"/>
        <v>1.3744955065665987</v>
      </c>
      <c r="I27" s="474">
        <f t="shared" si="1"/>
        <v>1.8709431481126801</v>
      </c>
      <c r="J27" s="510">
        <f t="shared" si="2"/>
        <v>0.59525857272273219</v>
      </c>
    </row>
    <row r="28" spans="1:10" ht="12.95">
      <c r="B28" s="449" t="s">
        <v>267</v>
      </c>
      <c r="C28" s="453">
        <f>C56/C66</f>
        <v>7.5457875457875456</v>
      </c>
      <c r="D28" s="453">
        <f t="shared" ref="D28:H28" si="14">D56/D66</f>
        <v>14.576180120250736</v>
      </c>
      <c r="E28" s="453">
        <f>E56/E66</f>
        <v>9.1650604407754113</v>
      </c>
      <c r="F28" s="453">
        <f t="shared" si="14"/>
        <v>10.587594087410846</v>
      </c>
      <c r="G28" s="453">
        <f>G56/G66</f>
        <v>3.5249628492036749</v>
      </c>
      <c r="H28" s="453">
        <f t="shared" si="14"/>
        <v>11.162234042553191</v>
      </c>
      <c r="I28" s="471">
        <f t="shared" si="1"/>
        <v>9.4269698476635693</v>
      </c>
      <c r="J28" s="511">
        <f t="shared" si="2"/>
        <v>1.8811823018760236</v>
      </c>
    </row>
    <row r="29" spans="1:10" ht="12.95">
      <c r="A29" s="10" t="s">
        <v>268</v>
      </c>
      <c r="B29" s="441" t="s">
        <v>269</v>
      </c>
      <c r="C29" s="669">
        <f>C57/C71</f>
        <v>2.30021875</v>
      </c>
      <c r="D29" s="444">
        <f t="shared" ref="D29:H29" si="15">D57/D71</f>
        <v>4.722462164048026</v>
      </c>
      <c r="E29" s="444">
        <f t="shared" si="15"/>
        <v>1.2688539991756191</v>
      </c>
      <c r="F29" s="444">
        <f t="shared" si="15"/>
        <v>5.5193572082269649</v>
      </c>
      <c r="G29" s="444">
        <f t="shared" si="15"/>
        <v>1.3326668814030878</v>
      </c>
      <c r="H29" s="444">
        <f t="shared" si="15"/>
        <v>2.561559807692297</v>
      </c>
      <c r="I29" s="471">
        <f t="shared" si="1"/>
        <v>2.9508531350909988</v>
      </c>
      <c r="J29" s="508">
        <f t="shared" si="2"/>
        <v>0.6506343850909988</v>
      </c>
    </row>
    <row r="30" spans="1:10" ht="12.95">
      <c r="B30" s="449" t="s">
        <v>270</v>
      </c>
      <c r="C30" s="453">
        <f>C56/C69</f>
        <v>2.691368024980076</v>
      </c>
      <c r="D30" s="453">
        <f t="shared" ref="D30:H30" si="16">D56/D69</f>
        <v>1.472529801598379</v>
      </c>
      <c r="E30" s="453">
        <f t="shared" si="16"/>
        <v>2.7568333826029119</v>
      </c>
      <c r="F30" s="453">
        <f t="shared" si="16"/>
        <v>1.5395820295099081</v>
      </c>
      <c r="G30" s="453">
        <f t="shared" si="16"/>
        <v>3.1116964404364085</v>
      </c>
      <c r="H30" s="453">
        <f t="shared" si="16"/>
        <v>7.6744531386186985</v>
      </c>
      <c r="I30" s="471">
        <f t="shared" si="1"/>
        <v>3.2077438029577308</v>
      </c>
      <c r="J30" s="511">
        <f t="shared" si="2"/>
        <v>0.51637577797765477</v>
      </c>
    </row>
    <row r="31" spans="1:10" ht="12.95">
      <c r="B31" s="439" t="s">
        <v>271</v>
      </c>
      <c r="C31" s="447">
        <f>C56/C70</f>
        <v>0.67460031568674972</v>
      </c>
      <c r="D31" s="454">
        <f t="shared" ref="D31:H31" si="17">D56/D70</f>
        <v>0.82573847001188516</v>
      </c>
      <c r="E31" s="454">
        <f t="shared" si="17"/>
        <v>0.59779748478571793</v>
      </c>
      <c r="F31" s="454">
        <f t="shared" si="17"/>
        <v>0.53666973257966799</v>
      </c>
      <c r="G31" s="454">
        <f t="shared" si="17"/>
        <v>0.53768812356748008</v>
      </c>
      <c r="H31" s="454">
        <f t="shared" si="17"/>
        <v>1.2088133640552996</v>
      </c>
      <c r="I31" s="471">
        <f t="shared" si="1"/>
        <v>0.73021791511446665</v>
      </c>
      <c r="J31" s="512">
        <f t="shared" si="2"/>
        <v>5.5617599427716935E-2</v>
      </c>
    </row>
    <row r="32" spans="1:10" ht="15.6">
      <c r="B32" s="186" t="s">
        <v>102</v>
      </c>
      <c r="C32" s="189"/>
      <c r="D32" s="189"/>
      <c r="E32" s="189"/>
      <c r="F32" s="189"/>
      <c r="G32" s="189"/>
      <c r="H32" s="189"/>
      <c r="I32" s="475" t="str">
        <f t="shared" si="1"/>
        <v/>
      </c>
      <c r="J32" s="502"/>
    </row>
    <row r="33" spans="2:11" ht="12.95">
      <c r="B33" s="184" t="s">
        <v>272</v>
      </c>
      <c r="C33" s="673">
        <f ca="1">C10/C62</f>
        <v>16.317033578231293</v>
      </c>
      <c r="D33" s="461">
        <f ca="1">D10/D62</f>
        <v>51.409990969961584</v>
      </c>
      <c r="E33" s="461">
        <f t="shared" ref="E33:H33" ca="1" si="18">E10/E62</f>
        <v>64.256516612161207</v>
      </c>
      <c r="F33" s="461">
        <f t="shared" ca="1" si="18"/>
        <v>20.419827413730971</v>
      </c>
      <c r="G33" s="461">
        <f ca="1">G10/G61</f>
        <v>450.51656790689805</v>
      </c>
      <c r="H33" s="461">
        <f t="shared" ca="1" si="18"/>
        <v>12.675900261052581</v>
      </c>
      <c r="I33" s="474">
        <f t="shared" ca="1" si="1"/>
        <v>102.5993061236726</v>
      </c>
      <c r="J33" s="513">
        <f t="shared" ca="1" si="2"/>
        <v>86.282272545441316</v>
      </c>
    </row>
    <row r="34" spans="2:11" ht="12.95">
      <c r="B34" s="441" t="s">
        <v>268</v>
      </c>
      <c r="C34" s="447">
        <f ca="1">C10/C56</f>
        <v>1.1643708427184465</v>
      </c>
      <c r="D34" s="447">
        <f t="shared" ref="D34:H34" ca="1" si="19">D10/D56</f>
        <v>5.5861925997437059</v>
      </c>
      <c r="E34" s="447">
        <f t="shared" ca="1" si="19"/>
        <v>4.2138357569171241</v>
      </c>
      <c r="F34" s="447">
        <f t="shared" ca="1" si="19"/>
        <v>0.90650477285878739</v>
      </c>
      <c r="G34" s="447">
        <f t="shared" ca="1" si="19"/>
        <v>42.696274757565526</v>
      </c>
      <c r="H34" s="447">
        <f t="shared" ca="1" si="19"/>
        <v>0.63122781857517019</v>
      </c>
      <c r="I34" s="471">
        <f t="shared" ca="1" si="1"/>
        <v>9.1997344247297921</v>
      </c>
      <c r="J34" s="514">
        <f t="shared" ca="1" si="2"/>
        <v>8.035363582011346</v>
      </c>
    </row>
    <row r="35" spans="2:11" ht="12.95">
      <c r="B35" s="449" t="s">
        <v>273</v>
      </c>
      <c r="C35" s="463">
        <f ca="1">C10/C74</f>
        <v>2.5856498458486947</v>
      </c>
      <c r="D35" s="463">
        <f t="shared" ref="D35:H35" ca="1" si="20">D10/D74</f>
        <v>14.0318279502571</v>
      </c>
      <c r="E35" s="463">
        <f t="shared" ca="1" si="20"/>
        <v>3.9120479254635736</v>
      </c>
      <c r="F35" s="463">
        <f t="shared" ca="1" si="20"/>
        <v>0.618882009332682</v>
      </c>
      <c r="G35" s="463">
        <f t="shared" ca="1" si="20"/>
        <v>38.33709436145373</v>
      </c>
      <c r="H35" s="463">
        <f t="shared" ca="1" si="20"/>
        <v>2.020795693790991</v>
      </c>
      <c r="I35" s="471">
        <f t="shared" ca="1" si="1"/>
        <v>10.251049631024463</v>
      </c>
      <c r="J35" s="515">
        <f t="shared" ca="1" si="2"/>
        <v>7.6653997851757687</v>
      </c>
    </row>
    <row r="36" spans="2:11" ht="12.95">
      <c r="B36" s="441" t="s">
        <v>274</v>
      </c>
      <c r="C36" s="447">
        <f ca="1">(C73+C10-C65)/C56</f>
        <v>1.5394048233009709</v>
      </c>
      <c r="D36" s="447">
        <f t="shared" ref="D36:G36" ca="1" si="21">(D73+D10-D65)/D56</f>
        <v>6.193620940478465</v>
      </c>
      <c r="E36" s="447">
        <f t="shared" ca="1" si="21"/>
        <v>4.1644462520654324</v>
      </c>
      <c r="F36" s="447">
        <f ca="1">(F73+F10-F65)/F56</f>
        <v>1.3951944528978373</v>
      </c>
      <c r="G36" s="447">
        <f t="shared" ca="1" si="21"/>
        <v>43.513408322398753</v>
      </c>
      <c r="H36" s="447">
        <f ca="1">(H73+H10-H65)/H56</f>
        <v>0.90570959126995221</v>
      </c>
      <c r="I36" s="471">
        <f t="shared" ca="1" si="1"/>
        <v>9.6186307304019021</v>
      </c>
      <c r="J36" s="514">
        <f t="shared" ca="1" si="2"/>
        <v>8.0792259071009305</v>
      </c>
    </row>
    <row r="37" spans="2:11" ht="12.95">
      <c r="B37" s="452" t="s">
        <v>275</v>
      </c>
      <c r="C37" s="826">
        <f ca="1">(C73+C10-C65)/C58</f>
        <v>2.065911358957655</v>
      </c>
      <c r="D37" s="460">
        <f t="shared" ref="D37:H37" ca="1" si="22">(D73+D10-D65)/D58</f>
        <v>21.631000585438738</v>
      </c>
      <c r="E37" s="460">
        <f t="shared" ca="1" si="22"/>
        <v>13.328197613761837</v>
      </c>
      <c r="F37" s="460">
        <f t="shared" ca="1" si="22"/>
        <v>12.721364179679373</v>
      </c>
      <c r="G37" s="460">
        <f t="shared" ca="1" si="22"/>
        <v>90.78989656132245</v>
      </c>
      <c r="H37" s="460">
        <f t="shared" ca="1" si="22"/>
        <v>5.0546426817936281</v>
      </c>
      <c r="I37" s="472">
        <f t="shared" ca="1" si="1"/>
        <v>24.265168830158952</v>
      </c>
      <c r="J37" s="516">
        <f t="shared" ca="1" si="2"/>
        <v>22.199257471201296</v>
      </c>
    </row>
    <row r="38" spans="2:11" ht="15.6">
      <c r="B38" s="186" t="s">
        <v>276</v>
      </c>
      <c r="C38" s="189"/>
      <c r="D38" s="189"/>
      <c r="E38" s="189"/>
      <c r="F38" s="189"/>
      <c r="G38" s="189"/>
      <c r="H38" s="189"/>
      <c r="I38" s="476" t="str">
        <f t="shared" si="1"/>
        <v/>
      </c>
      <c r="J38" s="502"/>
    </row>
    <row r="39" spans="2:11" ht="12.95">
      <c r="B39" s="184" t="s">
        <v>41</v>
      </c>
      <c r="C39" s="672" t="str">
        <f>OP!M20</f>
        <v>59.07M</v>
      </c>
      <c r="D39" s="635">
        <v>33.92</v>
      </c>
      <c r="E39" s="635">
        <v>219.57</v>
      </c>
      <c r="F39" s="635">
        <v>6.17</v>
      </c>
      <c r="G39" s="635">
        <v>512.35</v>
      </c>
      <c r="H39" s="635">
        <v>47.9</v>
      </c>
      <c r="I39" s="467">
        <f t="shared" si="1"/>
        <v>163.982</v>
      </c>
      <c r="J39" s="517" t="e">
        <f t="shared" si="2"/>
        <v>#VALUE!</v>
      </c>
    </row>
    <row r="40" spans="2:11" ht="12.95">
      <c r="B40" s="455" t="s">
        <v>277</v>
      </c>
      <c r="C40" s="456">
        <f>OP!M22</f>
        <v>0.66</v>
      </c>
      <c r="D40" s="456">
        <v>1.03</v>
      </c>
      <c r="E40" s="456">
        <v>1.02</v>
      </c>
      <c r="F40" s="456">
        <v>0.89</v>
      </c>
      <c r="G40" s="456">
        <v>1.17</v>
      </c>
      <c r="H40" s="456">
        <v>1.34</v>
      </c>
      <c r="I40" s="477">
        <f t="shared" si="1"/>
        <v>1.0183333333333333</v>
      </c>
      <c r="J40" s="518">
        <f t="shared" si="2"/>
        <v>0.35833333333333328</v>
      </c>
    </row>
    <row r="41" spans="2:11" ht="12.95">
      <c r="B41" s="452" t="s">
        <v>278</v>
      </c>
      <c r="C41" s="824">
        <f ca="1">OP!M32</f>
        <v>1.1285731501442846E-2</v>
      </c>
      <c r="D41" s="459">
        <v>1.09E-2</v>
      </c>
      <c r="E41" s="459">
        <v>2.4E-2</v>
      </c>
      <c r="F41" s="459" t="s">
        <v>18</v>
      </c>
      <c r="G41" s="459">
        <v>2.1700000000000001E-2</v>
      </c>
      <c r="H41" s="459">
        <v>3.5700000000000003E-2</v>
      </c>
      <c r="I41" s="468">
        <f ca="1">IFERROR(AVERAGE(C41:H41),"")</f>
        <v>2.0717146300288571E-2</v>
      </c>
      <c r="J41" s="519">
        <f t="shared" ca="1" si="2"/>
        <v>9.4314147988457248E-3</v>
      </c>
    </row>
    <row r="42" spans="2:11" ht="15.6">
      <c r="B42" s="186" t="s">
        <v>279</v>
      </c>
      <c r="C42" s="189"/>
      <c r="D42" s="189"/>
      <c r="E42" s="189"/>
      <c r="F42" s="189"/>
      <c r="G42" s="189"/>
      <c r="H42" s="189"/>
      <c r="I42" s="478"/>
      <c r="J42" s="502"/>
    </row>
    <row r="43" spans="2:11" ht="12.95">
      <c r="B43" s="187" t="s">
        <v>280</v>
      </c>
      <c r="C43" s="671">
        <v>-0.28189999999999998</v>
      </c>
      <c r="D43" s="558">
        <v>0.3579</v>
      </c>
      <c r="E43" s="558">
        <v>3.1399999999999997E-2</v>
      </c>
      <c r="F43" s="558">
        <v>-0.1179</v>
      </c>
      <c r="G43" s="558">
        <v>0.19420000000000001</v>
      </c>
      <c r="H43" s="558">
        <v>-0.31659999999999999</v>
      </c>
      <c r="I43" s="467">
        <f>IFERROR(AVERAGE(C43:H43),"")</f>
        <v>-2.2149999999999993E-2</v>
      </c>
      <c r="J43" s="493">
        <f t="shared" si="2"/>
        <v>0.25974999999999998</v>
      </c>
    </row>
    <row r="44" spans="2:11" ht="12.95">
      <c r="B44" s="441" t="s">
        <v>281</v>
      </c>
      <c r="C44" s="559">
        <f>7.61/10.45-1</f>
        <v>-0.27177033492822955</v>
      </c>
      <c r="D44" s="559">
        <f>91.1/56.1-1</f>
        <v>0.62388591800356497</v>
      </c>
      <c r="E44" s="559">
        <f>50.48/64.68-1</f>
        <v>-0.21954236239950542</v>
      </c>
      <c r="F44" s="559">
        <f>37.65/60.49-1</f>
        <v>-0.37758307158207971</v>
      </c>
      <c r="G44" s="559">
        <f>14.89/13.09-1</f>
        <v>0.13750954927425529</v>
      </c>
      <c r="H44" s="559">
        <f>43/52.16-1</f>
        <v>-0.17561349693251527</v>
      </c>
      <c r="I44" s="467">
        <f t="shared" ref="I44:I47" si="23">IFERROR(AVERAGE(C44:H44),"")</f>
        <v>-4.7185633094084946E-2</v>
      </c>
      <c r="J44" s="520">
        <f t="shared" si="2"/>
        <v>0.22458470183414461</v>
      </c>
    </row>
    <row r="45" spans="2:11" ht="12.95">
      <c r="B45" s="188" t="s">
        <v>282</v>
      </c>
      <c r="C45" s="589" cm="1">
        <f t="array" aca="1" ref="C45" ca="1">_FV(C8,"Price")</f>
        <v>9.44</v>
      </c>
      <c r="D45" s="589" cm="1">
        <f t="array" aca="1" ref="D45" ca="1">_FV(D8,"Price")</f>
        <v>106.45</v>
      </c>
      <c r="E45" s="589" cm="1">
        <f t="array" aca="1" ref="E45" ca="1">_FV(E8,"Price")</f>
        <v>52.18</v>
      </c>
      <c r="F45" s="589" cm="1">
        <f t="array" aca="1" ref="F45" ca="1">_FV(F8,"Price")</f>
        <v>37.65</v>
      </c>
      <c r="G45" s="589" cm="1">
        <f t="array" aca="1" ref="G45" ca="1">_FV(G8,"Price")</f>
        <v>5.78</v>
      </c>
      <c r="H45" s="589" cm="1">
        <f t="array" aca="1" ref="H45" ca="1">_FV(H8,"Price")</f>
        <v>41.46</v>
      </c>
      <c r="I45" s="467">
        <f t="shared" ca="1" si="23"/>
        <v>42.160000000000004</v>
      </c>
      <c r="J45" s="521">
        <f t="shared" ca="1" si="2"/>
        <v>32.720000000000006</v>
      </c>
    </row>
    <row r="46" spans="2:11" ht="12.95">
      <c r="B46" s="441" t="s">
        <v>283</v>
      </c>
      <c r="C46" s="690">
        <v>10.68</v>
      </c>
      <c r="D46" s="690">
        <v>109.2</v>
      </c>
      <c r="E46" s="690">
        <v>67.8</v>
      </c>
      <c r="F46" s="690" t="s">
        <v>18</v>
      </c>
      <c r="G46" s="690" t="s">
        <v>18</v>
      </c>
      <c r="H46" s="690">
        <v>55</v>
      </c>
      <c r="I46" s="467">
        <f t="shared" si="23"/>
        <v>60.67</v>
      </c>
      <c r="J46" s="522">
        <f t="shared" si="2"/>
        <v>49.99</v>
      </c>
    </row>
    <row r="47" spans="2:11" ht="12.95">
      <c r="B47" s="457" t="s">
        <v>284</v>
      </c>
      <c r="C47" s="458">
        <f ca="1">C46/C45-1</f>
        <v>0.13135593220338992</v>
      </c>
      <c r="D47" s="458">
        <f t="shared" ref="D47:H47" ca="1" si="24">D46/D45-1</f>
        <v>2.5833724753405285E-2</v>
      </c>
      <c r="E47" s="458">
        <f t="shared" ca="1" si="24"/>
        <v>0.29934840935224227</v>
      </c>
      <c r="F47" s="458" t="s">
        <v>199</v>
      </c>
      <c r="G47" s="458" t="s">
        <v>199</v>
      </c>
      <c r="H47" s="458">
        <f t="shared" ca="1" si="24"/>
        <v>0.32657983598649287</v>
      </c>
      <c r="I47" s="479">
        <f t="shared" ca="1" si="23"/>
        <v>0.19577947557388259</v>
      </c>
      <c r="J47" s="523">
        <f t="shared" ca="1" si="2"/>
        <v>6.4423543370492664E-2</v>
      </c>
    </row>
    <row r="48" spans="2:11" ht="15.6">
      <c r="B48" s="186" t="s">
        <v>285</v>
      </c>
      <c r="C48" s="186"/>
      <c r="D48" s="186"/>
      <c r="E48" s="186"/>
      <c r="F48" s="186"/>
      <c r="G48" s="186"/>
      <c r="H48" s="186"/>
      <c r="I48" s="186" t="str">
        <f>IFERROR(AVERAGE(C48:H48),"")</f>
        <v/>
      </c>
      <c r="J48" s="492"/>
      <c r="K48" s="497"/>
    </row>
    <row r="49" spans="2:11" ht="12.95">
      <c r="B49" s="187" t="s">
        <v>286</v>
      </c>
      <c r="C49" s="670">
        <f>(Inputs!B59-Inputs!E59)/Inputs!E59</f>
        <v>2.6790123456790123</v>
      </c>
      <c r="D49" s="392">
        <f>((E76*209.048)-(E78*36.462))/(E78*36.462)</f>
        <v>4.1807526164332671</v>
      </c>
      <c r="E49" s="392">
        <f>((E76*804.442)-(E78*242.287 ))/(E78*242.287 )</f>
        <v>2.000212038461199</v>
      </c>
      <c r="F49" s="392">
        <f>((E76*160.316)-(E78*28.935))/(E78*28.935)</f>
        <v>4.0065747699961616</v>
      </c>
      <c r="G49" s="392">
        <f>((E76*1092.278)-(E78*133.818))/(E78*133.818)</f>
        <v>6.3757464085575748</v>
      </c>
      <c r="H49" s="392">
        <f>((E76*393.643)-(E78*239.912))/(E78*239.912)</f>
        <v>0.48264742124514831</v>
      </c>
      <c r="I49" s="479">
        <f>IFERROR(AVERAGE(C49:H49),"")</f>
        <v>3.2874909333953943</v>
      </c>
      <c r="J49" s="493">
        <f t="shared" si="2"/>
        <v>0.60847858771638208</v>
      </c>
      <c r="K49" s="392"/>
    </row>
    <row r="50" spans="2:11" ht="12.95">
      <c r="B50" s="494" t="s">
        <v>287</v>
      </c>
      <c r="C50" s="495" t="s">
        <v>199</v>
      </c>
      <c r="D50" s="495" t="s">
        <v>199</v>
      </c>
      <c r="E50" s="495" t="s">
        <v>199</v>
      </c>
      <c r="F50" s="495" t="s">
        <v>199</v>
      </c>
      <c r="G50" s="495">
        <f t="shared" ref="C50:H50" si="25">G63/G11</f>
        <v>5.9004654942266727E-2</v>
      </c>
      <c r="H50" s="495">
        <f t="shared" si="25"/>
        <v>3.2165832737669764E-2</v>
      </c>
      <c r="I50" s="479">
        <f>IFERROR(AVERAGE(C50:H50),"")</f>
        <v>4.5585243839968245E-2</v>
      </c>
      <c r="J50" s="496" t="e">
        <f t="shared" si="2"/>
        <v>#VALUE!</v>
      </c>
      <c r="K50" s="498"/>
    </row>
    <row r="52" spans="2:11" ht="15.6">
      <c r="B52" s="433" t="s">
        <v>288</v>
      </c>
      <c r="C52" s="432" t="e" vm="1">
        <f>OP!E2</f>
        <v>#VALUE!</v>
      </c>
      <c r="D52" s="341" t="e" vm="2">
        <f>D8</f>
        <v>#VALUE!</v>
      </c>
      <c r="E52" s="342" t="e" vm="3">
        <f>E8</f>
        <v>#VALUE!</v>
      </c>
      <c r="F52" s="343" t="e" vm="4">
        <f>F8</f>
        <v>#VALUE!</v>
      </c>
      <c r="G52" s="344" t="e" vm="5">
        <f>G8</f>
        <v>#VALUE!</v>
      </c>
      <c r="H52" s="555" t="e" vm="6">
        <f>H8</f>
        <v>#VALUE!</v>
      </c>
    </row>
    <row r="53" spans="2:11" ht="12.95">
      <c r="B53" s="179" t="s">
        <v>289</v>
      </c>
      <c r="C53" s="180"/>
      <c r="D53" s="180"/>
      <c r="E53" s="180"/>
      <c r="F53" s="180"/>
      <c r="G53" s="180"/>
      <c r="H53" s="181"/>
    </row>
    <row r="54" spans="2:11" ht="12.95">
      <c r="B54" s="177" t="s">
        <v>290</v>
      </c>
      <c r="C54" s="194">
        <f>'Fin. Data'!E5</f>
        <v>1158</v>
      </c>
      <c r="D54" s="629">
        <f>E78*544.013</f>
        <v>664.40278456277679</v>
      </c>
      <c r="E54" s="629">
        <f>E78*1440.409</f>
        <v>1759.1707376648808</v>
      </c>
      <c r="F54" s="629">
        <f>E78*637.1</f>
        <v>778.08988764045182</v>
      </c>
      <c r="G54" s="629">
        <f>E78*1188.628</f>
        <v>1451.6707376648797</v>
      </c>
      <c r="H54" s="631">
        <f>E78*1946</f>
        <v>2376.6487542745554</v>
      </c>
    </row>
    <row r="55" spans="2:11" ht="12.95">
      <c r="B55" s="177" t="s">
        <v>291</v>
      </c>
      <c r="C55" s="194">
        <f>'Fin. Data'!C5</f>
        <v>1573</v>
      </c>
      <c r="D55" s="629">
        <f>E77*919.708</f>
        <v>984.27654109589503</v>
      </c>
      <c r="E55" s="629">
        <f>E77*2602.89</f>
        <v>2785.6271404109721</v>
      </c>
      <c r="F55" s="629">
        <f>E77*1007</f>
        <v>1077.6969178082243</v>
      </c>
      <c r="G55" s="629">
        <f>E77*2509.323</f>
        <v>2685.4912243150811</v>
      </c>
      <c r="H55" s="631">
        <f>E77*3651</f>
        <v>3907.3202054794706</v>
      </c>
    </row>
    <row r="56" spans="2:11" ht="12.95">
      <c r="B56" s="177" t="s">
        <v>250</v>
      </c>
      <c r="C56" s="194">
        <f>'Fin. Data'!B5</f>
        <v>2060</v>
      </c>
      <c r="D56" s="629">
        <f>E76*1139.42</f>
        <v>1257.4575392051966</v>
      </c>
      <c r="E56" s="629">
        <f>E76*2984.217</f>
        <v>3293.3651904252283</v>
      </c>
      <c r="F56" s="629">
        <f>E76*1126.7</f>
        <v>1243.4198183483657</v>
      </c>
      <c r="G56" s="629">
        <f>E76*2552.341</f>
        <v>2816.7492523148007</v>
      </c>
      <c r="H56" s="631">
        <f>E76*4197</f>
        <v>4631.7857261099589</v>
      </c>
    </row>
    <row r="57" spans="2:11" ht="12.95">
      <c r="B57" s="177" t="s">
        <v>292</v>
      </c>
      <c r="C57" s="194">
        <f>Inputs!B6-Inputs!B7</f>
        <v>736.06999999999994</v>
      </c>
      <c r="D57" s="629">
        <f>E76*(114.343+475.769+194.969)</f>
        <v>866.4110006290523</v>
      </c>
      <c r="E57" s="629">
        <f>E76*683.387</f>
        <v>754.18207100526718</v>
      </c>
      <c r="F57" s="629">
        <f>E76*(265.19+328.445+68.966+254.098)</f>
        <v>1011.6638892874133</v>
      </c>
      <c r="G57" s="629">
        <v>819.274</v>
      </c>
      <c r="H57" s="631">
        <v>1617</v>
      </c>
    </row>
    <row r="58" spans="2:11" ht="12.95">
      <c r="B58" s="177" t="s">
        <v>48</v>
      </c>
      <c r="C58" s="194">
        <v>1535</v>
      </c>
      <c r="D58" s="629">
        <f>E76*326.251</f>
        <v>360.04877887279014</v>
      </c>
      <c r="E58" s="629">
        <f>E76*932.43</f>
        <v>1029.0245329036713</v>
      </c>
      <c r="F58" s="629">
        <v>136.37</v>
      </c>
      <c r="G58" s="629">
        <v>1350</v>
      </c>
      <c r="H58" s="631">
        <f>E76*752.034</f>
        <v>829.940516261467</v>
      </c>
    </row>
    <row r="59" spans="2:11" ht="12.95">
      <c r="B59" s="177" t="s">
        <v>293</v>
      </c>
      <c r="C59" s="431">
        <f>Inputs!B8</f>
        <v>240.67</v>
      </c>
      <c r="D59" s="629">
        <f>E76*187.406</f>
        <v>206.82021343515916</v>
      </c>
      <c r="E59" s="629">
        <f>E76*893.839</f>
        <v>986.43572114376934</v>
      </c>
      <c r="F59" s="629">
        <f>E76*64.551</f>
        <v>71.238122565195141</v>
      </c>
      <c r="G59" s="629">
        <f>E76*808.629</f>
        <v>892.398441724701</v>
      </c>
      <c r="H59" s="631">
        <f>E76*410.337</f>
        <v>452.84561817840893</v>
      </c>
    </row>
    <row r="60" spans="2:11" ht="12.95">
      <c r="B60" s="177" t="s">
        <v>294</v>
      </c>
      <c r="C60" s="431">
        <v>7</v>
      </c>
      <c r="D60" s="629">
        <f>E76*(5.355-0.676)</f>
        <v>5.1637182302760305</v>
      </c>
      <c r="E60" s="629">
        <f>E76*(22.201-0.578)</f>
        <v>23.863021862205301</v>
      </c>
      <c r="F60" s="629">
        <f>E76*(7.787-0.779)</f>
        <v>7.7339896041407181</v>
      </c>
      <c r="G60" s="629">
        <f>E76*(5.853-0.627)</f>
        <v>5.767384370896032</v>
      </c>
      <c r="H60" s="631">
        <f>E76*(5.603-0)</f>
        <v>6.1834394623288302</v>
      </c>
    </row>
    <row r="61" spans="2:11" ht="12.95">
      <c r="B61" s="177" t="s">
        <v>295</v>
      </c>
      <c r="C61" s="431">
        <v>59</v>
      </c>
      <c r="D61" s="629">
        <f>E76*49.532</f>
        <v>54.663238166709192</v>
      </c>
      <c r="E61" s="629">
        <f>E76*258.733</f>
        <v>285.53629170207483</v>
      </c>
      <c r="F61" s="629">
        <f>E76*9.793</f>
        <v>10.807500027589903</v>
      </c>
      <c r="G61" s="629">
        <f>E76*241.89</f>
        <v>266.94845110525085</v>
      </c>
      <c r="H61" s="631">
        <f>E76*87</f>
        <v>96.012713407568839</v>
      </c>
    </row>
    <row r="62" spans="2:11" ht="12.95">
      <c r="B62" s="177" t="s">
        <v>60</v>
      </c>
      <c r="C62" s="431">
        <v>147</v>
      </c>
      <c r="D62" s="629">
        <f>E76*123.809</f>
        <v>136.63491993422633</v>
      </c>
      <c r="E62" s="629">
        <f>E76*195.7</f>
        <v>215.97342544668072</v>
      </c>
      <c r="F62" s="629">
        <f>E76*50.018</f>
        <v>55.199585048503202</v>
      </c>
      <c r="G62" s="629">
        <f>E76*566.74</f>
        <v>625.45109421385712</v>
      </c>
      <c r="H62" s="631">
        <f>E76*209</f>
        <v>230.65123105956192</v>
      </c>
    </row>
    <row r="63" spans="2:11" ht="12.95">
      <c r="B63" s="177" t="s">
        <v>296</v>
      </c>
      <c r="C63" s="431" t="s">
        <v>199</v>
      </c>
      <c r="D63" s="629" t="s">
        <v>199</v>
      </c>
      <c r="E63" s="629" t="s">
        <v>199</v>
      </c>
      <c r="F63" s="629" t="s">
        <v>199</v>
      </c>
      <c r="G63" s="629">
        <f>E76*150.6</f>
        <v>166.20131769172261</v>
      </c>
      <c r="H63" s="631">
        <f>E76*135</f>
        <v>148.98524494277925</v>
      </c>
    </row>
    <row r="64" spans="2:11" ht="12.95">
      <c r="B64" s="182" t="s">
        <v>297</v>
      </c>
      <c r="C64" s="183"/>
      <c r="D64" s="627"/>
      <c r="E64" s="627"/>
      <c r="F64" s="627"/>
      <c r="G64" s="627"/>
      <c r="H64" s="628"/>
    </row>
    <row r="65" spans="2:8" ht="12.95">
      <c r="B65" s="177" t="s">
        <v>298</v>
      </c>
      <c r="C65" s="194">
        <f>'Fin. Data'!B39</f>
        <v>327</v>
      </c>
      <c r="D65" s="629">
        <f>E76*106.944</f>
        <v>118.02280026044876</v>
      </c>
      <c r="E65" s="629">
        <f>E76*998.799</f>
        <v>1102.2689901007627</v>
      </c>
      <c r="F65" s="629">
        <f>E76*84.817</f>
        <v>93.603566817123749</v>
      </c>
      <c r="G65" s="629">
        <f>E76*225.028</f>
        <v>248.33964221469427</v>
      </c>
      <c r="H65" s="633">
        <f>E76*118</f>
        <v>130.2241400240589</v>
      </c>
    </row>
    <row r="66" spans="2:8" ht="12.95">
      <c r="B66" s="177" t="s">
        <v>299</v>
      </c>
      <c r="C66" s="194">
        <f>'Fin. Data'!B40</f>
        <v>273</v>
      </c>
      <c r="D66" s="629">
        <f>E76*78.17</f>
        <v>86.267974793904102</v>
      </c>
      <c r="E66" s="629">
        <f>E76*325.608</f>
        <v>359.33916766909971</v>
      </c>
      <c r="F66" s="629">
        <f>E76*106.417</f>
        <v>117.44120600796843</v>
      </c>
      <c r="G66" s="629">
        <f>E76*724.076</f>
        <v>799.0862238310209</v>
      </c>
      <c r="H66" s="633">
        <f>E76*376</f>
        <v>414.95149702581477</v>
      </c>
    </row>
    <row r="67" spans="2:8" ht="12.95">
      <c r="B67" s="177" t="s">
        <v>300</v>
      </c>
      <c r="C67" s="194">
        <f>'Fin. Data'!B41</f>
        <v>577</v>
      </c>
      <c r="D67" s="629">
        <f>E76*287.291</f>
        <v>317.05274077671106</v>
      </c>
      <c r="E67" s="629">
        <f>E76*453.178</f>
        <v>500.12470616799118</v>
      </c>
      <c r="F67" s="629">
        <f>E76*422.334</f>
        <v>466.08544027899057</v>
      </c>
      <c r="G67" s="629">
        <f>E76*343.017</f>
        <v>378.55164270027632</v>
      </c>
      <c r="H67" s="633">
        <f>E76*1066</f>
        <v>1176.4316378444641</v>
      </c>
    </row>
    <row r="68" spans="2:8" ht="12.95">
      <c r="B68" s="177" t="s">
        <v>301</v>
      </c>
      <c r="C68" s="194">
        <f>Inputs!B27</f>
        <v>1421.03</v>
      </c>
      <c r="D68" s="629">
        <f>E76*526.35</f>
        <v>580.87691611579157</v>
      </c>
      <c r="E68" s="629">
        <f>E76*1907.045</f>
        <v>2104.6041958659439</v>
      </c>
      <c r="F68" s="629">
        <f>E76*731.883</f>
        <v>807.70198536634155</v>
      </c>
      <c r="G68" s="629">
        <f>E76*1704.278</f>
        <v>1880.8316687451106</v>
      </c>
      <c r="H68" s="633">
        <f>E76*1791.073</f>
        <v>1976.6181452992478</v>
      </c>
    </row>
    <row r="69" spans="2:8" ht="12.95">
      <c r="B69" s="177" t="s">
        <v>302</v>
      </c>
      <c r="C69" s="194">
        <f>'Fin. Data'!B42</f>
        <v>765.41</v>
      </c>
      <c r="D69" s="629">
        <f>E76*773.784</f>
        <v>853.94369461335918</v>
      </c>
      <c r="E69" s="629">
        <f>E76*1082.48</f>
        <v>1194.618873671553</v>
      </c>
      <c r="F69" s="629">
        <f>E76*731.822</f>
        <v>807.6346661075155</v>
      </c>
      <c r="G69" s="629">
        <f>E76*820.241</f>
        <v>905.21337997859393</v>
      </c>
      <c r="H69" s="633">
        <v>603.53300000000002</v>
      </c>
    </row>
    <row r="70" spans="2:8" ht="12.95">
      <c r="B70" s="177" t="s">
        <v>37</v>
      </c>
      <c r="C70" s="194">
        <f>'Fin. Data'!B44</f>
        <v>3053.66</v>
      </c>
      <c r="D70" s="629">
        <f>E76*1379.88</f>
        <v>1522.8278503084609</v>
      </c>
      <c r="E70" s="629">
        <f>E76*4992.02</f>
        <v>5509.1653515500211</v>
      </c>
      <c r="F70" s="629">
        <f>E76*2099.429</f>
        <v>2316.9181022590674</v>
      </c>
      <c r="G70" s="629">
        <f>E76*4746.88</f>
        <v>5238.6302186220737</v>
      </c>
      <c r="H70" s="633">
        <f>E76*3472</f>
        <v>3831.6797810468852</v>
      </c>
    </row>
    <row r="71" spans="2:8" ht="12.95">
      <c r="B71" s="177" t="s">
        <v>303</v>
      </c>
      <c r="C71" s="194">
        <f>Inputs!B43</f>
        <v>320</v>
      </c>
      <c r="D71" s="629">
        <f>E76*166.244</f>
        <v>183.46594859457326</v>
      </c>
      <c r="E71" s="629">
        <f>E76*538.586</f>
        <v>594.38049727964221</v>
      </c>
      <c r="F71" s="629">
        <f>E76*166.088</f>
        <v>183.29378786708384</v>
      </c>
      <c r="G71" s="629">
        <f>E76*557.055</f>
        <v>614.7627823822213</v>
      </c>
      <c r="H71" s="633">
        <f>E76*572</f>
        <v>631.25600079459059</v>
      </c>
    </row>
    <row r="72" spans="2:8" ht="12.95">
      <c r="B72" s="177" t="s">
        <v>304</v>
      </c>
      <c r="C72" s="194">
        <f>Inputs!B42</f>
        <v>1116.97</v>
      </c>
      <c r="D72" s="629">
        <f>E76*423.778</f>
        <v>467.67903060267486</v>
      </c>
      <c r="E72" s="629">
        <f>E76*1010.432</f>
        <v>1115.1071038372024</v>
      </c>
      <c r="F72" s="629">
        <f>E76*449.1</f>
        <v>495.62424817631228</v>
      </c>
      <c r="G72" s="629">
        <f>E76*1175.149</f>
        <v>1296.8878637723117</v>
      </c>
      <c r="H72" s="633">
        <f>E76*1090.144</f>
        <v>1203.076821206675</v>
      </c>
    </row>
    <row r="73" spans="2:8" ht="12.95">
      <c r="B73" s="177" t="s">
        <v>305</v>
      </c>
      <c r="C73" s="194">
        <f>'Fin. Data'!B58</f>
        <v>1099.57</v>
      </c>
      <c r="D73" s="629">
        <f>E76*799.06</f>
        <v>881.83814684427534</v>
      </c>
      <c r="E73" s="629">
        <f>E76*851.41</f>
        <v>939.61131404986418</v>
      </c>
      <c r="F73" s="629">
        <v>701.25</v>
      </c>
      <c r="G73" s="629">
        <v>2550</v>
      </c>
      <c r="H73" s="633">
        <f>E76*1270</f>
        <v>1401.5648968691085</v>
      </c>
    </row>
    <row r="74" spans="2:8" ht="12.95">
      <c r="B74" s="178" t="s">
        <v>306</v>
      </c>
      <c r="C74" s="195">
        <f>'Fin. Data'!B64</f>
        <v>927.65999999999985</v>
      </c>
      <c r="D74" s="630">
        <f>E76*453.613</f>
        <v>500.60476973502904</v>
      </c>
      <c r="E74" s="630">
        <f>E76*3214.429</f>
        <v>3547.4258660457253</v>
      </c>
      <c r="F74" s="630">
        <f>E76*1650.329</f>
        <v>1821.2938540827549</v>
      </c>
      <c r="G74" s="630">
        <f>E76*2842.559</f>
        <v>3137.0322139207528</v>
      </c>
      <c r="H74" s="634">
        <f>E76*1311</f>
        <v>1446.8122675554339</v>
      </c>
    </row>
    <row r="76" spans="2:8" ht="12.95">
      <c r="D76" s="632" t="s">
        <v>307</v>
      </c>
      <c r="E76">
        <v>1.1035944069835499</v>
      </c>
    </row>
    <row r="77" spans="2:8" ht="12.95">
      <c r="D77" s="632" t="s">
        <v>308</v>
      </c>
      <c r="E77">
        <v>1.0702054794520599</v>
      </c>
    </row>
    <row r="78" spans="2:8" ht="12.95">
      <c r="D78" s="632" t="s">
        <v>309</v>
      </c>
      <c r="E78">
        <v>1.2212994626282401</v>
      </c>
    </row>
  </sheetData>
  <mergeCells count="13">
    <mergeCell ref="L14:L15"/>
    <mergeCell ref="M14:N15"/>
    <mergeCell ref="D1:H1"/>
    <mergeCell ref="D2:H2"/>
    <mergeCell ref="D3:H3"/>
    <mergeCell ref="D4:H4"/>
    <mergeCell ref="D5:H5"/>
    <mergeCell ref="D6:H6"/>
    <mergeCell ref="L9:N9"/>
    <mergeCell ref="L10:L11"/>
    <mergeCell ref="M10:N11"/>
    <mergeCell ref="L12:L13"/>
    <mergeCell ref="M12:N13"/>
  </mergeCells>
  <phoneticPr fontId="80" type="noConversion"/>
  <pageMargins left="0.7" right="0.7" top="0.75" bottom="0.75" header="0.3" footer="0.3"/>
  <pageSetup orientation="portrait"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A82E0-A099-472F-B885-77443363F881}">
  <sheetPr>
    <tabColor rgb="FF00B050"/>
  </sheetPr>
  <dimension ref="A1:AA100"/>
  <sheetViews>
    <sheetView showGridLines="0" zoomScale="80" zoomScaleNormal="80" workbookViewId="0">
      <selection activeCell="H8" sqref="H8"/>
    </sheetView>
  </sheetViews>
  <sheetFormatPr defaultColWidth="11.42578125" defaultRowHeight="12.6"/>
  <cols>
    <col min="1" max="1" width="1.140625" style="72" customWidth="1"/>
    <col min="2" max="2" width="59.42578125" style="72" customWidth="1"/>
    <col min="3" max="4" width="12.85546875" style="72" customWidth="1"/>
    <col min="5" max="5" width="12.85546875" style="72" bestFit="1" customWidth="1"/>
    <col min="6" max="6" width="11" style="72" customWidth="1"/>
    <col min="7" max="7" width="10.42578125" style="72" customWidth="1"/>
    <col min="8" max="8" width="20.28515625" style="420" customWidth="1"/>
    <col min="9" max="9" width="22.42578125" style="420" customWidth="1"/>
    <col min="10" max="10" width="64.140625" style="72" customWidth="1"/>
    <col min="11" max="11" width="34.7109375" style="72" bestFit="1" customWidth="1"/>
    <col min="12" max="12" width="21.28515625" style="72" customWidth="1"/>
    <col min="13" max="13" width="19.85546875" style="72" customWidth="1"/>
    <col min="14" max="14" width="20.85546875" style="72" bestFit="1" customWidth="1"/>
    <col min="15" max="15" width="19.85546875" style="72" bestFit="1" customWidth="1"/>
    <col min="16" max="16" width="19.85546875" style="72" customWidth="1"/>
    <col min="17" max="17" width="22.28515625" style="72" bestFit="1" customWidth="1"/>
    <col min="18" max="18" width="11.42578125" style="72" customWidth="1"/>
    <col min="19" max="19" width="10.42578125" style="72" customWidth="1"/>
    <col min="20" max="20" width="12.28515625" style="72" bestFit="1" customWidth="1"/>
    <col min="21" max="21" width="15.42578125" style="72" customWidth="1"/>
    <col min="22" max="22" width="18.140625" style="72" bestFit="1" customWidth="1"/>
    <col min="23" max="23" width="18.28515625" style="72" bestFit="1" customWidth="1"/>
    <col min="24" max="24" width="17.28515625" style="72" bestFit="1" customWidth="1"/>
    <col min="25" max="30" width="11.42578125" style="72"/>
    <col min="31" max="31" width="13" style="72" bestFit="1" customWidth="1"/>
    <col min="32" max="16384" width="11.42578125" style="72"/>
  </cols>
  <sheetData>
    <row r="1" spans="1:24" ht="12.95">
      <c r="B1" s="211" t="s">
        <v>310</v>
      </c>
      <c r="C1" s="76"/>
      <c r="D1" s="76"/>
      <c r="E1" s="76"/>
      <c r="F1" s="76"/>
      <c r="G1" s="76"/>
      <c r="H1" s="415"/>
      <c r="I1" s="415"/>
      <c r="J1" s="76"/>
      <c r="T1" s="86" t="s">
        <v>12</v>
      </c>
    </row>
    <row r="2" spans="1:24" ht="13.5" thickBot="1">
      <c r="B2" s="82" t="s">
        <v>311</v>
      </c>
      <c r="C2" s="212" t="s">
        <v>312</v>
      </c>
      <c r="D2" s="76"/>
      <c r="E2" s="76"/>
      <c r="F2" s="76"/>
      <c r="G2" s="76"/>
      <c r="H2" s="415"/>
      <c r="I2" s="415"/>
      <c r="J2" s="76"/>
      <c r="T2" s="86" t="s">
        <v>15</v>
      </c>
    </row>
    <row r="3" spans="1:24" ht="20.45" thickBot="1">
      <c r="B3" s="1083" t="s">
        <v>313</v>
      </c>
      <c r="C3" s="1083"/>
      <c r="D3" s="1083"/>
      <c r="E3" s="1083"/>
      <c r="F3" s="1083"/>
      <c r="G3" s="1083"/>
      <c r="H3" s="1083"/>
      <c r="I3" s="1083"/>
      <c r="J3" s="1083"/>
      <c r="K3" s="1084" t="s">
        <v>314</v>
      </c>
      <c r="L3" s="1084"/>
      <c r="M3" s="1084"/>
      <c r="N3" s="1084"/>
      <c r="O3" s="1084"/>
      <c r="P3" s="1084"/>
      <c r="Q3" s="1084"/>
    </row>
    <row r="4" spans="1:24" ht="31.5" thickBot="1">
      <c r="B4" s="202" t="s">
        <v>315</v>
      </c>
      <c r="C4" s="234" t="s">
        <v>316</v>
      </c>
      <c r="D4" s="234" t="s">
        <v>317</v>
      </c>
      <c r="E4" s="234" t="s">
        <v>318</v>
      </c>
      <c r="F4" s="234" t="s">
        <v>319</v>
      </c>
      <c r="G4" s="234" t="s">
        <v>320</v>
      </c>
      <c r="H4" s="203" t="s">
        <v>321</v>
      </c>
      <c r="I4" s="203" t="s">
        <v>322</v>
      </c>
      <c r="J4" s="204" t="s">
        <v>323</v>
      </c>
      <c r="K4" s="202" t="s">
        <v>315</v>
      </c>
      <c r="L4" s="237" t="e" vm="1">
        <f>OP!E2</f>
        <v>#VALUE!</v>
      </c>
      <c r="M4" s="237" t="e" vm="2">
        <f>Peers!C2</f>
        <v>#VALUE!</v>
      </c>
      <c r="N4" s="237" t="e" vm="3">
        <f>Peers!C3</f>
        <v>#VALUE!</v>
      </c>
      <c r="O4" s="237" t="e" vm="4">
        <f>Peers!C4</f>
        <v>#VALUE!</v>
      </c>
      <c r="P4" s="237" t="e" vm="5">
        <f>Peers!C5</f>
        <v>#VALUE!</v>
      </c>
      <c r="Q4" s="237" t="e" vm="6">
        <f>Peers!C6</f>
        <v>#VALUE!</v>
      </c>
      <c r="R4" s="553" t="s">
        <v>244</v>
      </c>
    </row>
    <row r="5" spans="1:24" ht="14.45" thickBot="1">
      <c r="B5" s="213" t="s">
        <v>324</v>
      </c>
      <c r="C5" s="214"/>
      <c r="D5" s="215"/>
      <c r="E5" s="215"/>
      <c r="F5" s="215"/>
      <c r="G5" s="215"/>
      <c r="H5" s="416"/>
      <c r="I5" s="416"/>
      <c r="J5" s="216"/>
      <c r="K5" s="213" t="s">
        <v>325</v>
      </c>
      <c r="L5" s="215"/>
      <c r="M5" s="215"/>
      <c r="N5" s="215"/>
      <c r="O5" s="215"/>
      <c r="P5" s="216"/>
      <c r="Q5" s="216"/>
      <c r="R5" s="216"/>
    </row>
    <row r="6" spans="1:24" ht="18" thickBot="1">
      <c r="A6" s="72">
        <v>1</v>
      </c>
      <c r="B6" s="207" t="s">
        <v>326</v>
      </c>
      <c r="C6" s="205" t="str">
        <f>VLOOKUP($B$2,'Sector Impact'!$K$4:$AA$16,A6+1,FALSE)</f>
        <v>Low</v>
      </c>
      <c r="D6" s="205"/>
      <c r="E6" s="205"/>
      <c r="F6" s="217"/>
      <c r="G6" s="288"/>
      <c r="H6" s="206"/>
      <c r="I6" s="206"/>
      <c r="J6" s="206"/>
      <c r="K6" s="207" t="s">
        <v>327</v>
      </c>
      <c r="L6" s="403">
        <f>L12/L$11</f>
        <v>217.56699029126213</v>
      </c>
      <c r="M6" s="403">
        <f t="shared" ref="M6:O6" si="0">M12/M$11</f>
        <v>74.285588906441987</v>
      </c>
      <c r="N6" s="403">
        <f t="shared" si="0"/>
        <v>357.7595831782657</v>
      </c>
      <c r="O6" s="403">
        <f t="shared" si="0"/>
        <v>128.00892764455517</v>
      </c>
      <c r="P6" s="403">
        <f t="shared" ref="P6:Q9" si="1">P12/P$11</f>
        <v>70.230952380952374</v>
      </c>
      <c r="Q6" s="403">
        <f t="shared" si="1"/>
        <v>289.70227334976721</v>
      </c>
      <c r="R6" s="467">
        <f t="shared" ref="R6:R9" si="2">IFERROR(AVERAGE(L6:Q6),"")</f>
        <v>189.59238595854075</v>
      </c>
    </row>
    <row r="7" spans="1:24" s="76" customFormat="1" ht="18" thickBot="1">
      <c r="A7" s="76">
        <v>2</v>
      </c>
      <c r="B7" s="207" t="s">
        <v>328</v>
      </c>
      <c r="C7" s="205" t="str">
        <f>VLOOKUP($B$2,'Sector Impact'!$K$4:$AA$16,A7+1,FALSE)</f>
        <v>Low</v>
      </c>
      <c r="D7" s="205"/>
      <c r="E7" s="205"/>
      <c r="F7" s="217"/>
      <c r="G7" s="288"/>
      <c r="H7" s="206"/>
      <c r="I7" s="206"/>
      <c r="J7" s="206"/>
      <c r="K7" s="207" t="s">
        <v>329</v>
      </c>
      <c r="L7" s="403">
        <f t="shared" ref="L7:O9" si="3">L13/L$11</f>
        <v>217.96116504854368</v>
      </c>
      <c r="M7" s="403">
        <f t="shared" si="3"/>
        <v>30.731086536773738</v>
      </c>
      <c r="N7" s="403">
        <f t="shared" si="3"/>
        <v>105.79828805359136</v>
      </c>
      <c r="O7" s="403">
        <f t="shared" si="3"/>
        <v>128.40236686390534</v>
      </c>
      <c r="P7" s="403">
        <f t="shared" si="1"/>
        <v>61.03404761904762</v>
      </c>
      <c r="Q7" s="403">
        <f t="shared" si="1"/>
        <v>54.431114763078611</v>
      </c>
      <c r="R7" s="468">
        <f t="shared" si="2"/>
        <v>99.726344814156732</v>
      </c>
    </row>
    <row r="8" spans="1:24" ht="24.95">
      <c r="A8" s="72">
        <v>3</v>
      </c>
      <c r="B8" s="207" t="s">
        <v>330</v>
      </c>
      <c r="C8" s="205" t="str">
        <f>VLOOKUP($B$2,'Sector Impact'!$K$4:$AA$16,A8+1,FALSE)</f>
        <v>Medium</v>
      </c>
      <c r="D8" s="205" t="s">
        <v>12</v>
      </c>
      <c r="E8" s="205" t="s">
        <v>331</v>
      </c>
      <c r="F8" s="217" t="s">
        <v>12</v>
      </c>
      <c r="G8" s="288"/>
      <c r="H8" s="206"/>
      <c r="I8" s="206"/>
      <c r="J8" s="206" t="s">
        <v>332</v>
      </c>
      <c r="K8" s="207" t="s">
        <v>333</v>
      </c>
      <c r="L8" s="403">
        <f t="shared" si="3"/>
        <v>172.61504854368931</v>
      </c>
      <c r="M8" s="403">
        <f t="shared" si="3"/>
        <v>71.089169738458835</v>
      </c>
      <c r="N8" s="403">
        <f t="shared" si="3"/>
        <v>301.9367324153331</v>
      </c>
      <c r="O8" s="403">
        <f t="shared" si="3"/>
        <v>151.30177514792899</v>
      </c>
      <c r="P8" s="403">
        <f t="shared" si="1"/>
        <v>91.480476190476196</v>
      </c>
      <c r="Q8" s="403">
        <f t="shared" si="1"/>
        <v>36.251164064639823</v>
      </c>
      <c r="R8" s="468">
        <f>IFERROR(AVERAGE(L8:Q8),"")</f>
        <v>137.44572768342104</v>
      </c>
    </row>
    <row r="9" spans="1:24" ht="24.95">
      <c r="A9" s="72">
        <v>4</v>
      </c>
      <c r="B9" s="207" t="s">
        <v>334</v>
      </c>
      <c r="C9" s="205" t="str">
        <f>VLOOKUP($B$2,'Sector Impact'!$K$4:$AA$16,A9+1,FALSE)</f>
        <v>Medium</v>
      </c>
      <c r="D9" s="205" t="s">
        <v>12</v>
      </c>
      <c r="E9" s="205" t="s">
        <v>331</v>
      </c>
      <c r="F9" s="217" t="s">
        <v>12</v>
      </c>
      <c r="G9" s="285"/>
      <c r="H9" s="206"/>
      <c r="I9" s="206"/>
      <c r="J9" s="208" t="s">
        <v>335</v>
      </c>
      <c r="K9" s="207" t="s">
        <v>336</v>
      </c>
      <c r="L9" s="403">
        <f t="shared" si="3"/>
        <v>0.58980582524271841</v>
      </c>
      <c r="M9" s="403">
        <f t="shared" si="3"/>
        <v>0.48058627347726873</v>
      </c>
      <c r="N9" s="403">
        <f t="shared" si="3"/>
        <v>2.6938593226646819</v>
      </c>
      <c r="O9" s="403">
        <f t="shared" si="3"/>
        <v>2.8755320253295964</v>
      </c>
      <c r="P9" s="403">
        <f t="shared" si="1"/>
        <v>0.54166666666666663</v>
      </c>
      <c r="Q9" s="403">
        <f t="shared" si="1"/>
        <v>2.4420706655710762</v>
      </c>
      <c r="R9" s="468">
        <f t="shared" si="2"/>
        <v>1.6039201298253347</v>
      </c>
    </row>
    <row r="10" spans="1:24" ht="14.45" thickBot="1">
      <c r="A10" s="72">
        <v>5</v>
      </c>
      <c r="B10" s="207" t="s">
        <v>337</v>
      </c>
      <c r="C10" s="205" t="str">
        <f>VLOOKUP($B$2,'Sector Impact'!$K$4:$AA$16,A10+1,FALSE)</f>
        <v>Low</v>
      </c>
      <c r="D10" s="205"/>
      <c r="E10" s="205"/>
      <c r="F10" s="217"/>
      <c r="G10" s="285"/>
      <c r="H10" s="206"/>
      <c r="I10" s="206"/>
      <c r="J10" s="208"/>
      <c r="K10" s="213" t="s">
        <v>338</v>
      </c>
      <c r="L10" s="215"/>
      <c r="M10" s="215"/>
      <c r="N10" s="215"/>
      <c r="O10" s="215"/>
      <c r="P10" s="215"/>
      <c r="Q10" s="216"/>
      <c r="S10"/>
      <c r="V10" s="76"/>
      <c r="W10" s="76"/>
      <c r="X10" s="76"/>
    </row>
    <row r="11" spans="1:24" ht="14.1">
      <c r="B11" s="213" t="s">
        <v>339</v>
      </c>
      <c r="C11" s="210"/>
      <c r="D11" s="210"/>
      <c r="E11" s="219"/>
      <c r="F11" s="219"/>
      <c r="G11" s="220"/>
      <c r="H11" s="417"/>
      <c r="I11" s="417"/>
      <c r="J11" s="221"/>
      <c r="K11" s="207" t="s">
        <v>340</v>
      </c>
      <c r="L11" s="404">
        <v>2060</v>
      </c>
      <c r="M11" s="404">
        <v>1139.4000000000001</v>
      </c>
      <c r="N11" s="404">
        <v>671.75</v>
      </c>
      <c r="O11" s="404">
        <v>963.3</v>
      </c>
      <c r="P11" s="404">
        <v>4200</v>
      </c>
      <c r="Q11" s="404">
        <v>3651</v>
      </c>
      <c r="S11"/>
    </row>
    <row r="12" spans="1:24">
      <c r="A12" s="72">
        <v>6</v>
      </c>
      <c r="B12" s="207" t="s">
        <v>341</v>
      </c>
      <c r="C12" s="205" t="str">
        <f>VLOOKUP($B$2,'Sector Impact'!$K$4:$AA$16,A12+1,FALSE)</f>
        <v>Medium</v>
      </c>
      <c r="D12" s="205" t="s">
        <v>15</v>
      </c>
      <c r="E12" s="205"/>
      <c r="F12" s="217"/>
      <c r="G12" s="218"/>
      <c r="H12" s="206"/>
      <c r="I12" s="206"/>
      <c r="J12" s="222" t="s">
        <v>342</v>
      </c>
      <c r="K12" s="207" t="s">
        <v>343</v>
      </c>
      <c r="L12" s="662">
        <v>448188</v>
      </c>
      <c r="M12" s="662">
        <v>84641</v>
      </c>
      <c r="N12" s="662">
        <v>240325</v>
      </c>
      <c r="O12" s="662">
        <v>123311</v>
      </c>
      <c r="P12" s="662">
        <v>294970</v>
      </c>
      <c r="Q12" s="662">
        <v>1057703</v>
      </c>
      <c r="S12"/>
    </row>
    <row r="13" spans="1:24" ht="24.95">
      <c r="A13" s="72">
        <v>7</v>
      </c>
      <c r="B13" s="207" t="s">
        <v>344</v>
      </c>
      <c r="C13" s="205" t="str">
        <f>VLOOKUP($B$2,'Sector Impact'!$K$4:$AA$16,A13+1,FALSE)</f>
        <v>Medium</v>
      </c>
      <c r="D13" s="205" t="s">
        <v>12</v>
      </c>
      <c r="E13" s="205" t="s">
        <v>345</v>
      </c>
      <c r="F13" s="223" t="s">
        <v>15</v>
      </c>
      <c r="G13" s="288"/>
      <c r="H13" s="206"/>
      <c r="I13" s="206"/>
      <c r="J13" s="224" t="s">
        <v>346</v>
      </c>
      <c r="K13" s="207" t="s">
        <v>347</v>
      </c>
      <c r="L13" s="662">
        <v>449000</v>
      </c>
      <c r="M13" s="662">
        <v>35015</v>
      </c>
      <c r="N13" s="662">
        <v>71070</v>
      </c>
      <c r="O13" s="662">
        <v>123690</v>
      </c>
      <c r="P13" s="662">
        <v>256343</v>
      </c>
      <c r="Q13" s="662">
        <v>198728</v>
      </c>
      <c r="S13"/>
    </row>
    <row r="14" spans="1:24">
      <c r="A14" s="72">
        <v>8</v>
      </c>
      <c r="B14" s="225" t="s">
        <v>348</v>
      </c>
      <c r="C14" s="205" t="str">
        <f>VLOOKUP($B$2,'Sector Impact'!$K$4:$AA$16,A14+1,FALSE)</f>
        <v>Low</v>
      </c>
      <c r="D14" s="205"/>
      <c r="E14" s="205"/>
      <c r="F14" s="217"/>
      <c r="G14" s="434"/>
      <c r="H14" s="206"/>
      <c r="I14" s="206"/>
      <c r="J14" s="224"/>
      <c r="K14" s="207" t="s">
        <v>349</v>
      </c>
      <c r="L14" s="662">
        <v>355587</v>
      </c>
      <c r="M14" s="662">
        <v>80999</v>
      </c>
      <c r="N14" s="662">
        <v>202826</v>
      </c>
      <c r="O14" s="662">
        <v>145749</v>
      </c>
      <c r="P14" s="662">
        <v>384218</v>
      </c>
      <c r="Q14" s="662">
        <v>132353</v>
      </c>
      <c r="S14"/>
    </row>
    <row r="15" spans="1:24">
      <c r="A15" s="72">
        <v>9</v>
      </c>
      <c r="B15" s="225" t="s">
        <v>350</v>
      </c>
      <c r="C15" s="205" t="str">
        <f>VLOOKUP($B$2,'Sector Impact'!$K$4:$AA$16,A15+1,FALSE)</f>
        <v>Low</v>
      </c>
      <c r="D15" s="205"/>
      <c r="E15" s="205"/>
      <c r="F15" s="217" t="s">
        <v>12</v>
      </c>
      <c r="G15" s="218"/>
      <c r="H15" s="418"/>
      <c r="I15" s="418"/>
      <c r="J15" s="224"/>
      <c r="K15" s="207" t="s">
        <v>351</v>
      </c>
      <c r="L15" s="662">
        <v>1215</v>
      </c>
      <c r="M15" s="683">
        <v>547.58000000000004</v>
      </c>
      <c r="N15" s="663">
        <v>1809.6</v>
      </c>
      <c r="O15" s="662">
        <v>2770</v>
      </c>
      <c r="P15" s="662">
        <v>2275</v>
      </c>
      <c r="Q15" s="662">
        <v>8916</v>
      </c>
      <c r="S15"/>
    </row>
    <row r="16" spans="1:24" ht="42" customHeight="1">
      <c r="A16" s="72">
        <v>10</v>
      </c>
      <c r="B16" s="207" t="s">
        <v>352</v>
      </c>
      <c r="C16" s="205" t="str">
        <f>VLOOKUP($B$2,'Sector Impact'!$K$4:$AA$16,A16+1,FALSE)</f>
        <v>Medium</v>
      </c>
      <c r="D16" s="205" t="s">
        <v>15</v>
      </c>
      <c r="E16" s="205" t="s">
        <v>353</v>
      </c>
      <c r="F16" s="217" t="s">
        <v>15</v>
      </c>
      <c r="G16" s="289"/>
      <c r="H16" s="206"/>
      <c r="I16" s="665" t="s">
        <v>354</v>
      </c>
      <c r="J16" s="224" t="s">
        <v>355</v>
      </c>
      <c r="K16" s="213" t="s">
        <v>356</v>
      </c>
      <c r="L16" s="215"/>
      <c r="M16" s="215"/>
      <c r="N16" s="215"/>
      <c r="O16" s="215"/>
      <c r="P16" s="216"/>
      <c r="Q16" s="216"/>
      <c r="S16"/>
    </row>
    <row r="17" spans="1:19" ht="24.95">
      <c r="A17" s="72">
        <v>11</v>
      </c>
      <c r="B17" s="207" t="s">
        <v>357</v>
      </c>
      <c r="C17" s="205" t="str">
        <f>VLOOKUP($B$2,'Sector Impact'!$K$4:$AA$16,A17+1,FALSE)</f>
        <v>Medium</v>
      </c>
      <c r="D17" s="226" t="s">
        <v>15</v>
      </c>
      <c r="E17" s="226" t="s">
        <v>353</v>
      </c>
      <c r="F17" s="226" t="s">
        <v>15</v>
      </c>
      <c r="G17" s="289"/>
      <c r="H17" s="206"/>
      <c r="I17" s="665" t="s">
        <v>354</v>
      </c>
      <c r="J17" s="224" t="s">
        <v>358</v>
      </c>
      <c r="K17" s="207" t="s">
        <v>359</v>
      </c>
      <c r="L17" s="235" t="s">
        <v>360</v>
      </c>
      <c r="M17" s="235" t="s">
        <v>361</v>
      </c>
      <c r="N17" s="235" t="s">
        <v>362</v>
      </c>
      <c r="O17" s="235"/>
      <c r="P17" s="235" t="s">
        <v>363</v>
      </c>
      <c r="Q17" s="235" t="s">
        <v>364</v>
      </c>
      <c r="S17"/>
    </row>
    <row r="18" spans="1:19">
      <c r="A18" s="72">
        <v>12</v>
      </c>
      <c r="B18" s="207" t="s">
        <v>365</v>
      </c>
      <c r="C18" s="205" t="str">
        <f>VLOOKUP($B$2,'Sector Impact'!$K$4:$AA$16,A18+1,FALSE)</f>
        <v>Medium</v>
      </c>
      <c r="D18" s="205" t="s">
        <v>15</v>
      </c>
      <c r="E18" s="205" t="s">
        <v>345</v>
      </c>
      <c r="F18" s="217" t="s">
        <v>15</v>
      </c>
      <c r="G18" s="288"/>
      <c r="H18" s="665" t="s">
        <v>354</v>
      </c>
      <c r="I18" s="665" t="s">
        <v>354</v>
      </c>
      <c r="J18" s="227" t="s">
        <v>366</v>
      </c>
      <c r="K18" s="207" t="s">
        <v>367</v>
      </c>
      <c r="L18" s="235"/>
      <c r="M18" s="235" t="s">
        <v>368</v>
      </c>
      <c r="N18" s="235" t="s">
        <v>369</v>
      </c>
      <c r="O18" s="235" t="s">
        <v>370</v>
      </c>
      <c r="P18" s="235" t="s">
        <v>371</v>
      </c>
      <c r="Q18" s="235" t="s">
        <v>372</v>
      </c>
    </row>
    <row r="19" spans="1:19" ht="24.95">
      <c r="A19" s="72">
        <v>13</v>
      </c>
      <c r="B19" s="207" t="s">
        <v>373</v>
      </c>
      <c r="C19" s="205" t="str">
        <f>VLOOKUP($B$2,'Sector Impact'!$K$4:$AA$16,A19+1,FALSE)</f>
        <v>High</v>
      </c>
      <c r="D19" s="205" t="s">
        <v>12</v>
      </c>
      <c r="E19" s="205" t="s">
        <v>353</v>
      </c>
      <c r="F19" s="217" t="s">
        <v>15</v>
      </c>
      <c r="G19" s="289"/>
      <c r="H19" s="206"/>
      <c r="I19" s="665" t="s">
        <v>354</v>
      </c>
      <c r="J19" s="224" t="s">
        <v>374</v>
      </c>
      <c r="K19" s="207" t="s">
        <v>375</v>
      </c>
      <c r="L19" s="236" t="s">
        <v>376</v>
      </c>
      <c r="M19" s="236" t="s">
        <v>377</v>
      </c>
      <c r="N19" s="236" t="s">
        <v>376</v>
      </c>
      <c r="O19" s="236" t="s">
        <v>377</v>
      </c>
      <c r="P19" s="236" t="s">
        <v>378</v>
      </c>
      <c r="Q19" s="236" t="s">
        <v>379</v>
      </c>
    </row>
    <row r="20" spans="1:19">
      <c r="A20" s="72">
        <v>14</v>
      </c>
      <c r="B20" s="207" t="s">
        <v>380</v>
      </c>
      <c r="C20" s="205" t="str">
        <f>VLOOKUP($B$2,'Sector Impact'!$K$4:$AA$16,A20+1,FALSE)</f>
        <v>Low</v>
      </c>
      <c r="D20" s="205"/>
      <c r="E20" s="205"/>
      <c r="F20" s="217"/>
      <c r="G20" s="218"/>
      <c r="H20" s="418"/>
      <c r="I20" s="418"/>
      <c r="J20" s="224"/>
      <c r="K20" s="207" t="s">
        <v>381</v>
      </c>
      <c r="L20" s="235" t="s">
        <v>382</v>
      </c>
      <c r="M20" s="235" t="s">
        <v>383</v>
      </c>
      <c r="N20" s="235" t="s">
        <v>384</v>
      </c>
      <c r="O20" s="235" t="s">
        <v>385</v>
      </c>
      <c r="P20" s="235" t="s">
        <v>386</v>
      </c>
      <c r="Q20" s="235" t="s">
        <v>387</v>
      </c>
    </row>
    <row r="21" spans="1:19">
      <c r="A21" s="72">
        <v>15</v>
      </c>
      <c r="B21" s="207" t="s">
        <v>388</v>
      </c>
      <c r="C21" s="205" t="str">
        <f>VLOOKUP($B$2,'Sector Impact'!$K$4:$AA$16,A21+1,FALSE)</f>
        <v>High</v>
      </c>
      <c r="D21" s="205" t="s">
        <v>15</v>
      </c>
      <c r="E21" s="205"/>
      <c r="F21" s="217"/>
      <c r="G21" s="218"/>
      <c r="H21" s="206"/>
      <c r="I21" s="665" t="s">
        <v>354</v>
      </c>
      <c r="J21" s="224" t="s">
        <v>342</v>
      </c>
    </row>
    <row r="22" spans="1:19" ht="12.95" thickBot="1">
      <c r="A22" s="72">
        <v>16</v>
      </c>
      <c r="B22" s="207" t="s">
        <v>389</v>
      </c>
      <c r="C22" s="209" t="str">
        <f>VLOOKUP($B$2,'Sector Impact'!$K$4:$AA$16,A22+1,FALSE)</f>
        <v>Low</v>
      </c>
      <c r="D22" s="205" t="s">
        <v>12</v>
      </c>
      <c r="E22" s="205"/>
      <c r="F22" s="217"/>
      <c r="G22" s="218"/>
      <c r="H22" s="418"/>
      <c r="I22" s="418"/>
      <c r="J22" s="208"/>
    </row>
    <row r="23" spans="1:19" ht="14.45" thickBot="1">
      <c r="B23" s="213" t="s">
        <v>390</v>
      </c>
      <c r="C23" s="228"/>
      <c r="D23" s="210"/>
      <c r="E23" s="219"/>
      <c r="F23" s="219"/>
      <c r="G23" s="220"/>
      <c r="H23" s="417"/>
      <c r="I23" s="417"/>
      <c r="J23" s="221"/>
      <c r="K23" s="1086" t="s">
        <v>391</v>
      </c>
      <c r="L23" s="1087"/>
      <c r="M23" s="1088"/>
    </row>
    <row r="24" spans="1:19" ht="12.95">
      <c r="A24" s="72">
        <v>17</v>
      </c>
      <c r="B24" s="207" t="s">
        <v>392</v>
      </c>
      <c r="C24" s="229"/>
      <c r="D24" s="230"/>
      <c r="E24" s="223" t="s">
        <v>331</v>
      </c>
      <c r="F24" s="223" t="s">
        <v>15</v>
      </c>
      <c r="G24" s="285"/>
      <c r="H24" s="206"/>
      <c r="I24" s="665" t="s">
        <v>354</v>
      </c>
      <c r="J24" s="231" t="s">
        <v>393</v>
      </c>
      <c r="K24" s="254" t="s">
        <v>394</v>
      </c>
      <c r="L24" s="73" t="s">
        <v>395</v>
      </c>
      <c r="M24" s="74" t="s">
        <v>396</v>
      </c>
      <c r="O24" s="525" t="s">
        <v>247</v>
      </c>
    </row>
    <row r="25" spans="1:19" ht="15.75" customHeight="1">
      <c r="A25" s="72">
        <v>18</v>
      </c>
      <c r="B25" s="207" t="s">
        <v>397</v>
      </c>
      <c r="C25" s="229"/>
      <c r="D25" s="230"/>
      <c r="E25" s="223" t="s">
        <v>331</v>
      </c>
      <c r="F25" s="223" t="s">
        <v>15</v>
      </c>
      <c r="G25" s="285"/>
      <c r="H25" s="206"/>
      <c r="I25" s="665" t="s">
        <v>354</v>
      </c>
      <c r="J25" s="224" t="s">
        <v>398</v>
      </c>
      <c r="K25" s="196" t="s">
        <v>399</v>
      </c>
      <c r="L25" s="197" t="s">
        <v>353</v>
      </c>
      <c r="M25" s="1089" t="s">
        <v>400</v>
      </c>
      <c r="O25" s="526"/>
    </row>
    <row r="26" spans="1:19" ht="15.75" customHeight="1">
      <c r="A26" s="72">
        <v>19</v>
      </c>
      <c r="B26" s="207" t="s">
        <v>401</v>
      </c>
      <c r="C26" s="229"/>
      <c r="D26" s="230"/>
      <c r="E26" s="223" t="s">
        <v>353</v>
      </c>
      <c r="F26" s="223" t="s">
        <v>15</v>
      </c>
      <c r="G26" s="290"/>
      <c r="H26" s="206"/>
      <c r="I26" s="665" t="s">
        <v>354</v>
      </c>
      <c r="J26" s="231" t="s">
        <v>402</v>
      </c>
      <c r="K26" s="196" t="s">
        <v>331</v>
      </c>
      <c r="L26" s="197" t="s">
        <v>403</v>
      </c>
      <c r="M26" s="1090"/>
      <c r="O26" s="527"/>
    </row>
    <row r="27" spans="1:19">
      <c r="A27" s="72">
        <v>20</v>
      </c>
      <c r="B27" s="207" t="s">
        <v>404</v>
      </c>
      <c r="C27" s="229"/>
      <c r="D27" s="230"/>
      <c r="E27" s="223" t="s">
        <v>353</v>
      </c>
      <c r="F27" s="223" t="s">
        <v>15</v>
      </c>
      <c r="G27" s="290"/>
      <c r="H27" s="206"/>
      <c r="I27" s="665" t="s">
        <v>354</v>
      </c>
      <c r="J27" s="231" t="s">
        <v>405</v>
      </c>
      <c r="K27" s="198" t="s">
        <v>406</v>
      </c>
      <c r="L27" s="199" t="s">
        <v>331</v>
      </c>
      <c r="M27" s="1090"/>
      <c r="O27" s="528"/>
    </row>
    <row r="28" spans="1:19">
      <c r="A28" s="72">
        <v>21</v>
      </c>
      <c r="B28" s="207" t="s">
        <v>407</v>
      </c>
      <c r="C28" s="229"/>
      <c r="D28" s="230"/>
      <c r="E28" s="223" t="s">
        <v>345</v>
      </c>
      <c r="F28" s="223" t="s">
        <v>15</v>
      </c>
      <c r="G28" s="288"/>
      <c r="H28" s="206"/>
      <c r="I28" s="665" t="s">
        <v>354</v>
      </c>
      <c r="J28" s="224" t="s">
        <v>408</v>
      </c>
      <c r="K28" s="200" t="s">
        <v>409</v>
      </c>
      <c r="L28" s="201" t="s">
        <v>345</v>
      </c>
      <c r="M28" s="1091"/>
    </row>
    <row r="29" spans="1:19">
      <c r="A29" s="72">
        <v>22</v>
      </c>
      <c r="B29" s="207" t="s">
        <v>410</v>
      </c>
      <c r="C29" s="229"/>
      <c r="D29" s="230"/>
      <c r="E29" s="223" t="s">
        <v>331</v>
      </c>
      <c r="F29" s="223" t="s">
        <v>15</v>
      </c>
      <c r="G29" s="285"/>
      <c r="H29" s="206"/>
      <c r="I29" s="665" t="s">
        <v>354</v>
      </c>
      <c r="J29" s="224" t="s">
        <v>411</v>
      </c>
    </row>
    <row r="30" spans="1:19" ht="26.1" customHeight="1">
      <c r="A30" s="72">
        <v>23</v>
      </c>
      <c r="B30" s="207" t="s">
        <v>412</v>
      </c>
      <c r="C30" s="229"/>
      <c r="D30" s="230"/>
      <c r="E30" s="223" t="s">
        <v>353</v>
      </c>
      <c r="F30" s="223" t="s">
        <v>15</v>
      </c>
      <c r="G30" s="289"/>
      <c r="H30" s="206"/>
      <c r="I30" s="665" t="s">
        <v>354</v>
      </c>
      <c r="J30" s="231" t="s">
        <v>413</v>
      </c>
    </row>
    <row r="31" spans="1:19" ht="20.25" customHeight="1">
      <c r="A31" s="72">
        <v>24</v>
      </c>
      <c r="B31" s="232" t="s">
        <v>414</v>
      </c>
      <c r="C31" s="229"/>
      <c r="D31" s="230"/>
      <c r="E31" s="223" t="s">
        <v>353</v>
      </c>
      <c r="F31" s="223" t="s">
        <v>15</v>
      </c>
      <c r="G31" s="289"/>
      <c r="H31" s="206"/>
      <c r="I31" s="665" t="s">
        <v>354</v>
      </c>
      <c r="J31" s="222" t="s">
        <v>415</v>
      </c>
      <c r="L31" s="490"/>
    </row>
    <row r="32" spans="1:19" ht="13.5" customHeight="1">
      <c r="A32" s="72">
        <v>25</v>
      </c>
      <c r="B32" s="207" t="s">
        <v>416</v>
      </c>
      <c r="C32" s="229"/>
      <c r="D32" s="223" t="s">
        <v>12</v>
      </c>
      <c r="E32" s="223" t="s">
        <v>331</v>
      </c>
      <c r="F32" s="223" t="s">
        <v>15</v>
      </c>
      <c r="G32" s="285"/>
      <c r="H32" s="206"/>
      <c r="I32" s="665" t="s">
        <v>354</v>
      </c>
      <c r="J32" s="224" t="s">
        <v>417</v>
      </c>
      <c r="L32" s="491"/>
    </row>
    <row r="33" spans="1:27" ht="13.5" customHeight="1">
      <c r="A33" s="72">
        <v>26</v>
      </c>
      <c r="B33" s="207" t="s">
        <v>418</v>
      </c>
      <c r="C33" s="229"/>
      <c r="D33" s="223" t="s">
        <v>15</v>
      </c>
      <c r="E33" s="223" t="s">
        <v>345</v>
      </c>
      <c r="F33" s="223" t="s">
        <v>15</v>
      </c>
      <c r="G33" s="288"/>
      <c r="H33" s="206"/>
      <c r="I33" s="665" t="s">
        <v>354</v>
      </c>
      <c r="J33" s="224" t="s">
        <v>419</v>
      </c>
      <c r="L33" s="286"/>
      <c r="N33" s="286"/>
    </row>
    <row r="34" spans="1:27" ht="70.5" customHeight="1">
      <c r="A34" s="72">
        <v>27</v>
      </c>
      <c r="B34" s="207" t="s">
        <v>420</v>
      </c>
      <c r="C34" s="229"/>
      <c r="D34" s="233" t="s">
        <v>12</v>
      </c>
      <c r="E34" s="223" t="s">
        <v>353</v>
      </c>
      <c r="F34" s="223" t="s">
        <v>15</v>
      </c>
      <c r="G34" s="289"/>
      <c r="H34" s="206"/>
      <c r="I34" s="665" t="s">
        <v>354</v>
      </c>
      <c r="J34" s="224" t="s">
        <v>421</v>
      </c>
      <c r="L34" s="287"/>
      <c r="N34" s="287"/>
    </row>
    <row r="35" spans="1:27" ht="12.95">
      <c r="B35" s="79"/>
      <c r="C35" s="79"/>
      <c r="D35" s="79"/>
      <c r="E35" s="79"/>
      <c r="F35" s="79"/>
      <c r="G35" s="79"/>
      <c r="H35" s="419"/>
      <c r="I35" s="419"/>
      <c r="J35" s="79"/>
      <c r="T35" s="80"/>
    </row>
    <row r="36" spans="1:27" ht="18">
      <c r="B36" s="81"/>
      <c r="T36" s="80"/>
    </row>
    <row r="37" spans="1:27">
      <c r="K37"/>
      <c r="T37" s="80"/>
    </row>
    <row r="38" spans="1:27">
      <c r="C38"/>
      <c r="D38"/>
      <c r="E38"/>
      <c r="F38"/>
      <c r="G38"/>
      <c r="H38" s="421"/>
      <c r="I38" s="421"/>
      <c r="J38"/>
      <c r="K38"/>
      <c r="L38"/>
      <c r="M38"/>
      <c r="N38"/>
      <c r="O38"/>
      <c r="P38"/>
      <c r="Q38"/>
      <c r="R38"/>
      <c r="S38"/>
      <c r="T38"/>
      <c r="U38"/>
      <c r="V38"/>
      <c r="W38"/>
      <c r="X38"/>
      <c r="Y38"/>
      <c r="Z38"/>
      <c r="AA38"/>
    </row>
    <row r="39" spans="1:27">
      <c r="C39"/>
      <c r="D39"/>
      <c r="E39"/>
      <c r="F39"/>
      <c r="G39"/>
      <c r="H39" s="421"/>
      <c r="I39" s="421"/>
      <c r="J39"/>
      <c r="M39"/>
      <c r="N39"/>
      <c r="O39"/>
      <c r="P39"/>
      <c r="Q39"/>
      <c r="R39"/>
      <c r="S39"/>
      <c r="T39"/>
      <c r="U39"/>
      <c r="V39"/>
      <c r="W39"/>
      <c r="X39"/>
      <c r="Y39"/>
      <c r="Z39"/>
      <c r="AA39"/>
    </row>
    <row r="54" spans="14:19">
      <c r="N54" s="1085"/>
      <c r="O54" s="1085"/>
      <c r="P54" s="1085"/>
      <c r="Q54" s="1085"/>
      <c r="R54" s="1085"/>
      <c r="S54" s="1085"/>
    </row>
    <row r="55" spans="14:19">
      <c r="O55" s="422"/>
      <c r="P55" s="422"/>
      <c r="Q55" s="422"/>
      <c r="R55" s="422"/>
      <c r="S55" s="422"/>
    </row>
    <row r="56" spans="14:19">
      <c r="N56" s="423"/>
      <c r="O56" s="423"/>
      <c r="P56" s="423"/>
      <c r="Q56" s="423"/>
      <c r="R56" s="423"/>
      <c r="S56" s="423"/>
    </row>
    <row r="57" spans="14:19">
      <c r="N57" s="423"/>
      <c r="O57" s="423"/>
      <c r="P57" s="423"/>
      <c r="Q57" s="423"/>
      <c r="R57" s="423"/>
      <c r="S57" s="423"/>
    </row>
    <row r="58" spans="14:19">
      <c r="N58" s="423"/>
      <c r="O58" s="423"/>
      <c r="P58" s="423"/>
      <c r="Q58" s="423"/>
      <c r="R58" s="423"/>
      <c r="S58" s="423"/>
    </row>
    <row r="59" spans="14:19">
      <c r="N59" s="423"/>
      <c r="O59" s="423"/>
      <c r="P59" s="423"/>
      <c r="Q59" s="423"/>
      <c r="R59" s="423"/>
      <c r="S59" s="423"/>
    </row>
    <row r="60" spans="14:19">
      <c r="N60" s="423"/>
      <c r="O60" s="423"/>
      <c r="P60" s="423"/>
      <c r="Q60" s="423"/>
      <c r="R60" s="423"/>
      <c r="S60" s="423"/>
    </row>
    <row r="61" spans="14:19">
      <c r="N61" s="423"/>
      <c r="O61" s="423"/>
      <c r="P61" s="423"/>
      <c r="Q61" s="423"/>
      <c r="R61" s="423"/>
      <c r="S61" s="423"/>
    </row>
    <row r="62" spans="14:19">
      <c r="N62" s="423"/>
      <c r="O62" s="423"/>
      <c r="P62" s="423"/>
      <c r="Q62" s="423"/>
      <c r="R62" s="423"/>
      <c r="S62" s="423"/>
    </row>
    <row r="63" spans="14:19">
      <c r="N63" s="423"/>
      <c r="O63" s="423"/>
      <c r="P63" s="423"/>
      <c r="Q63" s="423"/>
      <c r="R63" s="423"/>
      <c r="S63" s="423"/>
    </row>
    <row r="64" spans="14:19">
      <c r="N64" s="423"/>
      <c r="O64" s="423"/>
      <c r="P64" s="423"/>
      <c r="Q64" s="423"/>
      <c r="R64" s="423"/>
      <c r="S64" s="423"/>
    </row>
    <row r="65" spans="14:19">
      <c r="N65" s="423"/>
      <c r="O65" s="423"/>
      <c r="P65" s="423"/>
      <c r="Q65" s="423"/>
      <c r="R65" s="423"/>
      <c r="S65" s="423"/>
    </row>
    <row r="66" spans="14:19">
      <c r="N66" s="1082"/>
      <c r="O66" s="1082"/>
      <c r="P66" s="1082"/>
      <c r="Q66" s="1082"/>
      <c r="R66" s="1082"/>
      <c r="S66" s="1082"/>
    </row>
    <row r="67" spans="14:19">
      <c r="N67" s="423"/>
      <c r="O67" s="423"/>
      <c r="P67" s="423"/>
      <c r="Q67" s="423"/>
      <c r="R67" s="423"/>
      <c r="S67" s="423"/>
    </row>
    <row r="68" spans="14:19">
      <c r="N68" s="423"/>
      <c r="O68" s="423"/>
      <c r="P68" s="423"/>
      <c r="Q68" s="423"/>
      <c r="R68" s="423"/>
      <c r="S68" s="423"/>
    </row>
    <row r="69" spans="14:19">
      <c r="N69" s="423"/>
      <c r="O69" s="423"/>
      <c r="P69" s="423"/>
      <c r="Q69" s="423"/>
      <c r="R69" s="423"/>
      <c r="S69" s="423"/>
    </row>
    <row r="70" spans="14:19">
      <c r="N70" s="423"/>
      <c r="O70" s="423"/>
      <c r="P70" s="423"/>
      <c r="Q70" s="423"/>
      <c r="R70" s="423"/>
      <c r="S70" s="423"/>
    </row>
    <row r="71" spans="14:19">
      <c r="N71" s="423"/>
      <c r="O71" s="423"/>
      <c r="P71" s="423"/>
      <c r="Q71" s="423"/>
      <c r="R71" s="423"/>
      <c r="S71" s="423"/>
    </row>
    <row r="72" spans="14:19">
      <c r="N72" s="423"/>
      <c r="O72" s="423"/>
      <c r="P72" s="423"/>
      <c r="Q72" s="423"/>
      <c r="R72" s="423"/>
      <c r="S72" s="423"/>
    </row>
    <row r="73" spans="14:19">
      <c r="N73" s="423"/>
      <c r="O73" s="423"/>
      <c r="P73" s="423"/>
      <c r="Q73" s="423"/>
      <c r="R73" s="423"/>
      <c r="S73" s="423"/>
    </row>
    <row r="74" spans="14:19">
      <c r="N74" s="424"/>
      <c r="O74" s="423"/>
      <c r="P74" s="423"/>
      <c r="Q74" s="423"/>
      <c r="R74" s="423"/>
      <c r="S74" s="423"/>
    </row>
    <row r="75" spans="14:19">
      <c r="N75" s="424"/>
      <c r="O75" s="423"/>
      <c r="P75" s="423"/>
      <c r="Q75" s="423"/>
      <c r="R75" s="423"/>
      <c r="S75" s="423"/>
    </row>
    <row r="76" spans="14:19">
      <c r="N76" s="424"/>
      <c r="O76" s="423"/>
      <c r="P76" s="423"/>
      <c r="Q76" s="423"/>
      <c r="R76" s="423"/>
      <c r="S76" s="423"/>
    </row>
    <row r="77" spans="14:19">
      <c r="N77" s="423"/>
      <c r="O77" s="423"/>
      <c r="P77" s="423"/>
      <c r="Q77" s="423"/>
      <c r="R77" s="423"/>
      <c r="S77" s="423"/>
    </row>
    <row r="78" spans="14:19">
      <c r="N78" s="1082"/>
      <c r="O78" s="1082"/>
      <c r="P78" s="1082"/>
      <c r="Q78" s="1082"/>
      <c r="R78" s="1082"/>
      <c r="S78" s="1082"/>
    </row>
    <row r="79" spans="14:19">
      <c r="N79" s="423"/>
      <c r="O79" s="423"/>
      <c r="P79" s="423"/>
      <c r="Q79" s="423"/>
      <c r="R79" s="423"/>
      <c r="S79" s="423"/>
    </row>
    <row r="80" spans="14:19">
      <c r="N80" s="423"/>
      <c r="O80" s="423"/>
      <c r="P80" s="423"/>
      <c r="Q80" s="423"/>
      <c r="R80" s="423"/>
      <c r="S80" s="423"/>
    </row>
    <row r="81" spans="14:19">
      <c r="N81" s="423"/>
      <c r="O81" s="423"/>
      <c r="P81" s="423"/>
      <c r="Q81" s="423"/>
      <c r="R81" s="423"/>
      <c r="S81" s="423"/>
    </row>
    <row r="82" spans="14:19">
      <c r="N82" s="423"/>
      <c r="O82" s="423"/>
      <c r="P82" s="423"/>
      <c r="Q82" s="423"/>
      <c r="R82" s="423"/>
      <c r="S82" s="423"/>
    </row>
    <row r="83" spans="14:19">
      <c r="N83" s="423"/>
      <c r="O83" s="423"/>
      <c r="P83" s="423"/>
      <c r="Q83" s="423"/>
      <c r="R83" s="423"/>
      <c r="S83" s="423"/>
    </row>
    <row r="84" spans="14:19">
      <c r="N84" s="423"/>
      <c r="O84" s="423"/>
      <c r="P84" s="423"/>
      <c r="Q84" s="423"/>
      <c r="R84" s="423"/>
      <c r="S84" s="423"/>
    </row>
    <row r="85" spans="14:19">
      <c r="N85" s="423"/>
      <c r="O85" s="423"/>
      <c r="P85" s="423"/>
      <c r="Q85" s="423"/>
      <c r="R85" s="423"/>
      <c r="S85" s="423"/>
    </row>
    <row r="86" spans="14:19">
      <c r="N86" s="424"/>
      <c r="O86" s="423"/>
      <c r="P86" s="423"/>
      <c r="Q86" s="423"/>
      <c r="R86" s="423"/>
      <c r="S86" s="423"/>
    </row>
    <row r="87" spans="14:19">
      <c r="N87" s="424"/>
      <c r="O87" s="423"/>
      <c r="P87" s="423"/>
      <c r="Q87" s="423"/>
      <c r="R87" s="423"/>
      <c r="S87" s="423"/>
    </row>
    <row r="88" spans="14:19">
      <c r="N88" s="424"/>
      <c r="O88" s="423"/>
      <c r="P88" s="423"/>
      <c r="Q88" s="423"/>
      <c r="R88" s="423"/>
      <c r="S88" s="423"/>
    </row>
    <row r="89" spans="14:19">
      <c r="N89" s="423"/>
      <c r="O89" s="423"/>
      <c r="P89" s="423"/>
      <c r="Q89" s="423"/>
      <c r="R89" s="423"/>
      <c r="S89" s="423"/>
    </row>
    <row r="90" spans="14:19">
      <c r="N90" s="1082"/>
      <c r="O90" s="1082"/>
      <c r="P90" s="1082"/>
      <c r="Q90" s="1082"/>
      <c r="R90" s="1082"/>
      <c r="S90" s="1082"/>
    </row>
    <row r="91" spans="14:19">
      <c r="N91" s="423"/>
      <c r="O91" s="423"/>
      <c r="P91" s="423"/>
      <c r="Q91" s="423"/>
      <c r="R91" s="423"/>
      <c r="S91" s="423"/>
    </row>
    <row r="92" spans="14:19">
      <c r="N92" s="424"/>
      <c r="O92" s="423"/>
      <c r="P92" s="423"/>
      <c r="Q92" s="423"/>
      <c r="R92" s="423"/>
      <c r="S92" s="423"/>
    </row>
    <row r="93" spans="14:19">
      <c r="N93" s="424"/>
      <c r="O93" s="423"/>
      <c r="P93" s="423"/>
      <c r="Q93" s="423"/>
      <c r="R93" s="423"/>
      <c r="S93" s="423"/>
    </row>
    <row r="94" spans="14:19">
      <c r="N94" s="424"/>
      <c r="O94" s="423"/>
      <c r="P94" s="423"/>
      <c r="Q94" s="423"/>
      <c r="R94" s="423"/>
      <c r="S94" s="423"/>
    </row>
    <row r="95" spans="14:19">
      <c r="N95" s="424"/>
      <c r="O95" s="423"/>
      <c r="P95" s="423"/>
      <c r="Q95" s="423"/>
      <c r="R95" s="423"/>
      <c r="S95" s="423"/>
    </row>
    <row r="96" spans="14:19">
      <c r="N96" s="424"/>
      <c r="O96" s="423"/>
      <c r="P96" s="423"/>
      <c r="Q96" s="423"/>
      <c r="R96" s="423"/>
      <c r="S96" s="423"/>
    </row>
    <row r="97" spans="14:19">
      <c r="N97" s="424"/>
      <c r="O97" s="423"/>
      <c r="P97" s="423"/>
      <c r="Q97" s="423"/>
      <c r="R97" s="423"/>
      <c r="S97" s="423"/>
    </row>
    <row r="98" spans="14:19">
      <c r="N98" s="424"/>
      <c r="O98" s="423"/>
      <c r="P98" s="423"/>
      <c r="Q98" s="423"/>
      <c r="R98" s="423"/>
      <c r="S98" s="423"/>
    </row>
    <row r="99" spans="14:19">
      <c r="N99" s="424"/>
      <c r="O99" s="423"/>
      <c r="P99" s="423"/>
      <c r="Q99" s="423"/>
      <c r="R99" s="423"/>
      <c r="S99" s="423"/>
    </row>
    <row r="100" spans="14:19">
      <c r="N100" s="424"/>
      <c r="O100" s="423"/>
      <c r="P100" s="423"/>
      <c r="Q100" s="423"/>
      <c r="R100" s="423"/>
      <c r="S100" s="423"/>
    </row>
  </sheetData>
  <mergeCells count="8">
    <mergeCell ref="N90:S90"/>
    <mergeCell ref="B3:J3"/>
    <mergeCell ref="K3:Q3"/>
    <mergeCell ref="N54:S54"/>
    <mergeCell ref="N66:S66"/>
    <mergeCell ref="N78:S78"/>
    <mergeCell ref="K23:M23"/>
    <mergeCell ref="M25:M28"/>
  </mergeCells>
  <phoneticPr fontId="80" type="noConversion"/>
  <conditionalFormatting sqref="C10:G10">
    <cfRule type="expression" dxfId="37" priority="30">
      <formula>$C$10="Low"</formula>
    </cfRule>
  </conditionalFormatting>
  <conditionalFormatting sqref="D6:F6 H6:J6">
    <cfRule type="expression" dxfId="36" priority="47">
      <formula>$C$6="Low"</formula>
    </cfRule>
  </conditionalFormatting>
  <conditionalFormatting sqref="D12:F12 J12">
    <cfRule type="expression" dxfId="35" priority="42">
      <formula>$C$12="Low"</formula>
    </cfRule>
  </conditionalFormatting>
  <conditionalFormatting sqref="D13:F13 J13">
    <cfRule type="expression" dxfId="34" priority="41">
      <formula>$C$13="Low"</formula>
    </cfRule>
  </conditionalFormatting>
  <conditionalFormatting sqref="D16:F16 J16:J17">
    <cfRule type="expression" dxfId="33" priority="38">
      <formula>$C$16="Low"</formula>
    </cfRule>
  </conditionalFormatting>
  <conditionalFormatting sqref="D17:F17">
    <cfRule type="expression" dxfId="32" priority="37">
      <formula>$C$17="Low"</formula>
    </cfRule>
  </conditionalFormatting>
  <conditionalFormatting sqref="D18:F18 J18">
    <cfRule type="expression" dxfId="31" priority="36">
      <formula>$C$18="Low"</formula>
    </cfRule>
  </conditionalFormatting>
  <conditionalFormatting sqref="D21:F21 J21">
    <cfRule type="expression" dxfId="30" priority="33">
      <formula>$C$21="Low"</formula>
    </cfRule>
  </conditionalFormatting>
  <conditionalFormatting sqref="D7:G7 J7">
    <cfRule type="expression" dxfId="29" priority="46">
      <formula>$C$7="Low"</formula>
    </cfRule>
  </conditionalFormatting>
  <conditionalFormatting sqref="D8:G8">
    <cfRule type="expression" dxfId="28" priority="1">
      <formula>$C$8="Low"</formula>
    </cfRule>
  </conditionalFormatting>
  <conditionalFormatting sqref="D9:G9 J9:J10">
    <cfRule type="expression" dxfId="27" priority="44">
      <formula>$C$9="Low"</formula>
    </cfRule>
  </conditionalFormatting>
  <conditionalFormatting sqref="D14:G14 J14">
    <cfRule type="expression" dxfId="26" priority="40">
      <formula>$C$14="Low"</formula>
    </cfRule>
  </conditionalFormatting>
  <conditionalFormatting sqref="D19:G19 J20">
    <cfRule type="expression" dxfId="25" priority="35">
      <formula>$C$19="Low"</formula>
    </cfRule>
  </conditionalFormatting>
  <conditionalFormatting sqref="D15:J15">
    <cfRule type="expression" dxfId="24" priority="39">
      <formula>$C$15="Low"</formula>
    </cfRule>
  </conditionalFormatting>
  <conditionalFormatting sqref="D20:J20">
    <cfRule type="expression" dxfId="23" priority="34">
      <formula>$C$20="Low"</formula>
    </cfRule>
  </conditionalFormatting>
  <conditionalFormatting sqref="D22:J22">
    <cfRule type="expression" dxfId="22" priority="32">
      <formula>$C$22="Low"</formula>
    </cfRule>
  </conditionalFormatting>
  <conditionalFormatting sqref="G6">
    <cfRule type="expression" dxfId="21" priority="28">
      <formula>$C$7="Low"</formula>
    </cfRule>
  </conditionalFormatting>
  <conditionalFormatting sqref="G12">
    <cfRule type="expression" dxfId="20" priority="9">
      <formula>$C$18="Low"</formula>
    </cfRule>
  </conditionalFormatting>
  <conditionalFormatting sqref="G13">
    <cfRule type="expression" dxfId="19" priority="8">
      <formula>$C$8="Low"</formula>
    </cfRule>
  </conditionalFormatting>
  <conditionalFormatting sqref="G16:G17">
    <cfRule type="expression" dxfId="18" priority="7">
      <formula>$C$19="Low"</formula>
    </cfRule>
  </conditionalFormatting>
  <conditionalFormatting sqref="G18">
    <cfRule type="expression" dxfId="17" priority="4">
      <formula>$C$8="Low"</formula>
    </cfRule>
  </conditionalFormatting>
  <conditionalFormatting sqref="G21">
    <cfRule type="expression" dxfId="16" priority="2">
      <formula>$C$18="Low"</formula>
    </cfRule>
  </conditionalFormatting>
  <conditionalFormatting sqref="G28">
    <cfRule type="expression" dxfId="15" priority="11">
      <formula>$C$8="Low"</formula>
    </cfRule>
  </conditionalFormatting>
  <conditionalFormatting sqref="G33">
    <cfRule type="expression" dxfId="14" priority="10">
      <formula>$C$8="Low"</formula>
    </cfRule>
  </conditionalFormatting>
  <conditionalFormatting sqref="H16:H17">
    <cfRule type="expression" dxfId="13" priority="17">
      <formula>$C$6="Low"</formula>
    </cfRule>
  </conditionalFormatting>
  <conditionalFormatting sqref="H18">
    <cfRule type="expression" dxfId="12" priority="3">
      <formula>$C$16="Low"</formula>
    </cfRule>
  </conditionalFormatting>
  <conditionalFormatting sqref="H19">
    <cfRule type="expression" dxfId="11" priority="16">
      <formula>$C$6="Low"</formula>
    </cfRule>
  </conditionalFormatting>
  <conditionalFormatting sqref="H21">
    <cfRule type="expression" dxfId="10" priority="15">
      <formula>$C$6="Low"</formula>
    </cfRule>
  </conditionalFormatting>
  <conditionalFormatting sqref="H24:H34">
    <cfRule type="expression" dxfId="9" priority="14">
      <formula>$C$6="Low"</formula>
    </cfRule>
  </conditionalFormatting>
  <conditionalFormatting sqref="H7:I10">
    <cfRule type="expression" dxfId="8" priority="25">
      <formula>$C$6="Low"</formula>
    </cfRule>
  </conditionalFormatting>
  <conditionalFormatting sqref="H12:I14">
    <cfRule type="expression" dxfId="7" priority="18">
      <formula>$C$6="Low"</formula>
    </cfRule>
  </conditionalFormatting>
  <conditionalFormatting sqref="I16:I19">
    <cfRule type="expression" dxfId="6" priority="6">
      <formula>$C$16="Low"</formula>
    </cfRule>
  </conditionalFormatting>
  <conditionalFormatting sqref="I21">
    <cfRule type="expression" dxfId="5" priority="5">
      <formula>$C$16="Low"</formula>
    </cfRule>
  </conditionalFormatting>
  <conditionalFormatting sqref="I24:I34">
    <cfRule type="expression" dxfId="4" priority="19">
      <formula>$C$16="Low"</formula>
    </cfRule>
  </conditionalFormatting>
  <conditionalFormatting sqref="J8">
    <cfRule type="expression" dxfId="3" priority="45">
      <formula>$C$8="Low"</formula>
    </cfRule>
  </conditionalFormatting>
  <conditionalFormatting sqref="J19">
    <cfRule type="expression" dxfId="2" priority="13">
      <formula>$C$17="Low"</formula>
    </cfRule>
  </conditionalFormatting>
  <dataValidations count="3">
    <dataValidation type="list" allowBlank="1" showInputMessage="1" showErrorMessage="1" sqref="D6:D22 D32:D34 F24:F34 F6:F10 F12:F22 C11" xr:uid="{3F3EAFB5-AA53-4ACB-815F-B2974A5D886C}">
      <formula1>$T$1:$T$2</formula1>
    </dataValidation>
    <dataValidation type="list" showInputMessage="1" showErrorMessage="1" sqref="B2" xr:uid="{A02853CE-D21D-44BD-9939-055BC887EFBD}">
      <formula1>Sectors</formula1>
    </dataValidation>
    <dataValidation type="list" allowBlank="1" showInputMessage="1" showErrorMessage="1" sqref="E6:E10 E24:E34 E12:E22" xr:uid="{21B53BAA-5CFE-4F77-8669-06D93A31F2C2}">
      <formula1>$L$25:$L$28</formula1>
    </dataValidation>
  </dataValidations>
  <pageMargins left="0.7" right="0.7" top="0.75" bottom="0.75" header="0.3" footer="0.3"/>
  <pageSetup paperSize="9" orientation="portrait" horizontalDpi="4294967293" r:id="rId1"/>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4">
    <tabColor rgb="FF0070C0"/>
  </sheetPr>
  <dimension ref="A1:AN87"/>
  <sheetViews>
    <sheetView showGridLines="0" topLeftCell="A47" zoomScale="85" zoomScaleNormal="85" workbookViewId="0">
      <selection activeCell="G5" sqref="G5"/>
    </sheetView>
  </sheetViews>
  <sheetFormatPr defaultColWidth="11.42578125" defaultRowHeight="12.6" outlineLevelCol="1"/>
  <cols>
    <col min="1" max="1" width="24.42578125" bestFit="1" customWidth="1"/>
    <col min="2" max="2" width="11.42578125" customWidth="1" outlineLevel="1"/>
    <col min="3" max="3" width="32.140625" customWidth="1" outlineLevel="1"/>
    <col min="4" max="4" width="20" customWidth="1" outlineLevel="1"/>
    <col min="5" max="5" width="24" customWidth="1"/>
    <col min="6" max="6" width="27.28515625" customWidth="1"/>
    <col min="7" max="7" width="14.140625" style="2" customWidth="1"/>
    <col min="8" max="8" width="12.42578125" style="2" customWidth="1"/>
    <col min="9" max="32" width="11.140625" style="2" customWidth="1"/>
    <col min="33" max="33" width="14.42578125" customWidth="1"/>
  </cols>
  <sheetData>
    <row r="1" spans="1:40" ht="21" customHeight="1">
      <c r="A1" s="1098" t="s">
        <v>422</v>
      </c>
      <c r="B1" s="1098"/>
      <c r="C1" s="1098"/>
      <c r="D1" s="1098"/>
      <c r="E1" s="1098"/>
      <c r="F1" s="1098"/>
      <c r="G1" s="1098"/>
      <c r="H1" s="1098"/>
      <c r="I1" s="1098"/>
      <c r="J1" s="1098"/>
      <c r="K1" s="1098"/>
      <c r="L1" s="1098"/>
      <c r="M1" s="1098"/>
      <c r="N1" s="1098"/>
      <c r="O1" s="1098"/>
      <c r="P1" s="1098"/>
      <c r="Q1" s="1098"/>
      <c r="R1" s="1098"/>
      <c r="S1" s="1098"/>
      <c r="T1" s="1098"/>
      <c r="U1" s="1098"/>
      <c r="V1" s="1098"/>
      <c r="W1" s="1098"/>
      <c r="X1" s="1098"/>
      <c r="Y1" s="1098"/>
      <c r="Z1" s="1098"/>
      <c r="AA1" s="1098"/>
      <c r="AB1" s="1098"/>
      <c r="AC1" s="1098"/>
      <c r="AD1" s="1098"/>
      <c r="AE1" s="1098"/>
      <c r="AF1" s="1098"/>
      <c r="AG1" s="10"/>
      <c r="AH1" s="10"/>
      <c r="AI1" s="10"/>
      <c r="AJ1" s="10"/>
      <c r="AK1" s="10"/>
      <c r="AL1" s="10"/>
      <c r="AM1" s="10"/>
      <c r="AN1" s="10"/>
    </row>
    <row r="2" spans="1:40" ht="3.75" customHeight="1" thickBot="1">
      <c r="A2" s="1099"/>
      <c r="B2" s="1099"/>
      <c r="C2" s="1099"/>
      <c r="D2" s="1099"/>
      <c r="E2" s="1099"/>
      <c r="F2" s="1099"/>
      <c r="G2" s="1099"/>
      <c r="H2" s="1099"/>
      <c r="I2" s="1099"/>
      <c r="J2" s="1099"/>
      <c r="K2" s="1099"/>
      <c r="L2" s="1099"/>
      <c r="M2" s="1099"/>
      <c r="N2" s="1099"/>
      <c r="O2" s="1099"/>
      <c r="P2" s="1099"/>
      <c r="Q2" s="1099"/>
      <c r="R2" s="1099"/>
      <c r="S2" s="1099"/>
      <c r="T2" s="1099"/>
      <c r="U2" s="1099"/>
      <c r="V2" s="1099"/>
      <c r="W2" s="1099"/>
      <c r="X2" s="1099"/>
      <c r="Y2" s="1099"/>
      <c r="Z2" s="1099"/>
      <c r="AA2" s="1099"/>
      <c r="AB2" s="1099"/>
      <c r="AC2" s="1099"/>
      <c r="AD2" s="1099"/>
      <c r="AE2" s="1099"/>
      <c r="AF2" s="1099"/>
      <c r="AG2" s="425"/>
      <c r="AH2" s="10"/>
      <c r="AI2" s="10"/>
      <c r="AJ2" s="10"/>
      <c r="AK2" s="10"/>
      <c r="AL2" s="10"/>
      <c r="AM2" s="10"/>
      <c r="AN2" s="10"/>
    </row>
    <row r="3" spans="1:40" ht="18.600000000000001">
      <c r="A3" s="238"/>
      <c r="B3" s="238"/>
      <c r="C3" s="238"/>
      <c r="D3" s="238"/>
      <c r="E3" s="238"/>
      <c r="F3" s="238"/>
      <c r="G3" s="1106" t="s">
        <v>423</v>
      </c>
      <c r="H3" s="1107"/>
      <c r="I3" s="1107"/>
      <c r="J3" s="1107"/>
      <c r="K3" s="1108" t="s">
        <v>424</v>
      </c>
      <c r="L3" s="1109"/>
      <c r="M3" s="1109"/>
      <c r="N3" s="1109"/>
      <c r="O3" s="1109"/>
      <c r="P3" s="1109"/>
      <c r="Q3" s="1109"/>
      <c r="R3" s="1109"/>
      <c r="S3" s="1109"/>
      <c r="T3" s="1109"/>
      <c r="U3" s="1109"/>
      <c r="V3" s="1109"/>
      <c r="W3" s="1109"/>
      <c r="X3" s="1109"/>
      <c r="Y3" s="1109"/>
      <c r="Z3" s="1109"/>
      <c r="AA3" s="1109"/>
      <c r="AB3" s="1109"/>
      <c r="AC3" s="1109"/>
      <c r="AD3" s="1109"/>
      <c r="AE3" s="1109"/>
      <c r="AF3" s="1110"/>
      <c r="AG3" s="425"/>
      <c r="AH3" s="10"/>
      <c r="AI3" s="10"/>
      <c r="AJ3" s="10"/>
      <c r="AK3" s="10"/>
      <c r="AL3" s="10"/>
      <c r="AM3" s="10"/>
      <c r="AN3" s="10"/>
    </row>
    <row r="4" spans="1:40" ht="15" thickBot="1">
      <c r="A4" s="258" t="s">
        <v>425</v>
      </c>
      <c r="B4" s="607" t="s">
        <v>426</v>
      </c>
      <c r="C4" s="608" t="s">
        <v>427</v>
      </c>
      <c r="D4" s="265" t="s">
        <v>428</v>
      </c>
      <c r="E4" s="265" t="s">
        <v>429</v>
      </c>
      <c r="F4" s="266" t="s">
        <v>430</v>
      </c>
      <c r="G4" s="265">
        <v>2024</v>
      </c>
      <c r="H4" s="265">
        <f>G4+1</f>
        <v>2025</v>
      </c>
      <c r="I4" s="265">
        <f t="shared" ref="I4:AF4" si="0">H4+1</f>
        <v>2026</v>
      </c>
      <c r="J4" s="266">
        <f t="shared" si="0"/>
        <v>2027</v>
      </c>
      <c r="K4" s="267">
        <f t="shared" si="0"/>
        <v>2028</v>
      </c>
      <c r="L4" s="267">
        <f t="shared" si="0"/>
        <v>2029</v>
      </c>
      <c r="M4" s="267">
        <f t="shared" si="0"/>
        <v>2030</v>
      </c>
      <c r="N4" s="267">
        <f t="shared" si="0"/>
        <v>2031</v>
      </c>
      <c r="O4" s="267">
        <f t="shared" si="0"/>
        <v>2032</v>
      </c>
      <c r="P4" s="267">
        <f t="shared" si="0"/>
        <v>2033</v>
      </c>
      <c r="Q4" s="267">
        <f t="shared" si="0"/>
        <v>2034</v>
      </c>
      <c r="R4" s="267">
        <f t="shared" si="0"/>
        <v>2035</v>
      </c>
      <c r="S4" s="267">
        <f t="shared" si="0"/>
        <v>2036</v>
      </c>
      <c r="T4" s="267">
        <f t="shared" si="0"/>
        <v>2037</v>
      </c>
      <c r="U4" s="267">
        <f t="shared" si="0"/>
        <v>2038</v>
      </c>
      <c r="V4" s="267">
        <f t="shared" si="0"/>
        <v>2039</v>
      </c>
      <c r="W4" s="267">
        <f t="shared" si="0"/>
        <v>2040</v>
      </c>
      <c r="X4" s="267">
        <f t="shared" si="0"/>
        <v>2041</v>
      </c>
      <c r="Y4" s="267">
        <f t="shared" si="0"/>
        <v>2042</v>
      </c>
      <c r="Z4" s="267">
        <f t="shared" si="0"/>
        <v>2043</v>
      </c>
      <c r="AA4" s="267">
        <f t="shared" si="0"/>
        <v>2044</v>
      </c>
      <c r="AB4" s="267">
        <f t="shared" si="0"/>
        <v>2045</v>
      </c>
      <c r="AC4" s="267">
        <f t="shared" si="0"/>
        <v>2046</v>
      </c>
      <c r="AD4" s="267">
        <f t="shared" si="0"/>
        <v>2047</v>
      </c>
      <c r="AE4" s="267">
        <f t="shared" si="0"/>
        <v>2048</v>
      </c>
      <c r="AF4" s="268">
        <f t="shared" si="0"/>
        <v>2049</v>
      </c>
      <c r="AG4" s="425"/>
      <c r="AH4" s="10"/>
      <c r="AI4" s="10"/>
      <c r="AJ4" s="10"/>
      <c r="AK4" s="10"/>
      <c r="AL4" s="10"/>
      <c r="AM4" s="10"/>
      <c r="AN4" s="10"/>
    </row>
    <row r="5" spans="1:40" ht="12.95">
      <c r="A5" s="1103" t="s">
        <v>431</v>
      </c>
      <c r="B5" s="591">
        <v>1</v>
      </c>
      <c r="C5" s="609" t="s">
        <v>432</v>
      </c>
      <c r="D5" s="597">
        <f>'Fin. Data'!D6</f>
        <v>0.32037996545768577</v>
      </c>
      <c r="E5" s="273">
        <f t="shared" ref="E5:F5" si="1">+E6/D6-1</f>
        <v>2.877697841726623E-2</v>
      </c>
      <c r="F5" s="302">
        <f t="shared" si="1"/>
        <v>0.30959949141767318</v>
      </c>
      <c r="G5" s="827">
        <v>8.5000000000000006E-2</v>
      </c>
      <c r="H5" s="728">
        <f>Assumptions!L9</f>
        <v>0.05</v>
      </c>
      <c r="I5" s="728">
        <f>Assumptions!L9</f>
        <v>0.05</v>
      </c>
      <c r="J5" s="737">
        <f>Assumptions!L9</f>
        <v>0.05</v>
      </c>
      <c r="K5" s="752">
        <f>Assumptions!M9</f>
        <v>0.03</v>
      </c>
      <c r="L5" s="753">
        <f>Assumptions!M9</f>
        <v>0.03</v>
      </c>
      <c r="M5" s="753">
        <f>Assumptions!M9</f>
        <v>0.03</v>
      </c>
      <c r="N5" s="753">
        <f>Assumptions!M9</f>
        <v>0.03</v>
      </c>
      <c r="O5" s="753">
        <f>Assumptions!M9</f>
        <v>0.03</v>
      </c>
      <c r="P5" s="753">
        <f>Assumptions!M9</f>
        <v>0.03</v>
      </c>
      <c r="Q5" s="753">
        <f>Assumptions!$M$9</f>
        <v>0.03</v>
      </c>
      <c r="R5" s="753">
        <f>Assumptions!$M$9</f>
        <v>0.03</v>
      </c>
      <c r="S5" s="753">
        <f>Assumptions!$M$9</f>
        <v>0.03</v>
      </c>
      <c r="T5" s="753">
        <f>Assumptions!$M$9</f>
        <v>0.03</v>
      </c>
      <c r="U5" s="753">
        <f>Assumptions!$M$9</f>
        <v>0.03</v>
      </c>
      <c r="V5" s="753">
        <f>Assumptions!$M$9</f>
        <v>0.03</v>
      </c>
      <c r="W5" s="753">
        <f>Assumptions!$M$9</f>
        <v>0.03</v>
      </c>
      <c r="X5" s="753">
        <f>Assumptions!$M$9</f>
        <v>0.03</v>
      </c>
      <c r="Y5" s="753">
        <f>Assumptions!$M$9</f>
        <v>0.03</v>
      </c>
      <c r="Z5" s="753">
        <f>Assumptions!$M$9</f>
        <v>0.03</v>
      </c>
      <c r="AA5" s="753">
        <f>Assumptions!$M$9</f>
        <v>0.03</v>
      </c>
      <c r="AB5" s="753">
        <f>Assumptions!$M$9</f>
        <v>0.03</v>
      </c>
      <c r="AC5" s="753">
        <f>Assumptions!$M$9</f>
        <v>0.03</v>
      </c>
      <c r="AD5" s="753">
        <f>Assumptions!$M$9</f>
        <v>0.03</v>
      </c>
      <c r="AE5" s="753">
        <f>Assumptions!$M$9</f>
        <v>0.03</v>
      </c>
      <c r="AF5" s="754">
        <f>Assumptions!M9</f>
        <v>0.03</v>
      </c>
      <c r="AG5" s="361"/>
      <c r="AH5" s="10"/>
      <c r="AI5" s="10"/>
      <c r="AJ5" s="10"/>
      <c r="AK5" s="10"/>
      <c r="AL5" s="10"/>
      <c r="AM5" s="10"/>
      <c r="AN5" s="10"/>
    </row>
    <row r="6" spans="1:40" ht="14.45">
      <c r="A6" s="1103"/>
      <c r="B6" s="591">
        <v>2</v>
      </c>
      <c r="C6" s="592" t="s">
        <v>433</v>
      </c>
      <c r="D6" s="598">
        <f>Inputs!D6</f>
        <v>1529</v>
      </c>
      <c r="E6" s="557">
        <f>Inputs!C6</f>
        <v>1573</v>
      </c>
      <c r="F6" s="303">
        <f>Inputs!B6</f>
        <v>2060</v>
      </c>
      <c r="G6" s="729">
        <f t="shared" ref="G6:AF6" si="2">F6*(1+G5)</f>
        <v>2235.1</v>
      </c>
      <c r="H6" s="723">
        <f t="shared" si="2"/>
        <v>2346.855</v>
      </c>
      <c r="I6" s="723">
        <f t="shared" si="2"/>
        <v>2464.1977500000003</v>
      </c>
      <c r="J6" s="738">
        <f>I6*(1+J5)</f>
        <v>2587.4076375000004</v>
      </c>
      <c r="K6" s="755">
        <f>J6*(1+K5)</f>
        <v>2665.0298666250005</v>
      </c>
      <c r="L6" s="746">
        <f>K6*(1+L5)</f>
        <v>2744.9807626237507</v>
      </c>
      <c r="M6" s="746">
        <f t="shared" si="2"/>
        <v>2827.3301855024633</v>
      </c>
      <c r="N6" s="746">
        <f t="shared" si="2"/>
        <v>2912.1500910675372</v>
      </c>
      <c r="O6" s="746">
        <f t="shared" si="2"/>
        <v>2999.5145937995635</v>
      </c>
      <c r="P6" s="746">
        <f t="shared" si="2"/>
        <v>3089.5000316135506</v>
      </c>
      <c r="Q6" s="746">
        <f t="shared" si="2"/>
        <v>3182.1850325619571</v>
      </c>
      <c r="R6" s="746">
        <f t="shared" si="2"/>
        <v>3277.6505835388157</v>
      </c>
      <c r="S6" s="746">
        <f t="shared" si="2"/>
        <v>3375.9801010449801</v>
      </c>
      <c r="T6" s="746">
        <f t="shared" si="2"/>
        <v>3477.2595040763294</v>
      </c>
      <c r="U6" s="746">
        <f t="shared" si="2"/>
        <v>3581.5772891986194</v>
      </c>
      <c r="V6" s="746">
        <f t="shared" si="2"/>
        <v>3689.0246078745781</v>
      </c>
      <c r="W6" s="746">
        <f t="shared" si="2"/>
        <v>3799.6953461108155</v>
      </c>
      <c r="X6" s="746">
        <f t="shared" si="2"/>
        <v>3913.6862064941402</v>
      </c>
      <c r="Y6" s="746">
        <f t="shared" si="2"/>
        <v>4031.0967926889643</v>
      </c>
      <c r="Z6" s="746">
        <f t="shared" si="2"/>
        <v>4152.0296964696336</v>
      </c>
      <c r="AA6" s="746">
        <f t="shared" si="2"/>
        <v>4276.590587363723</v>
      </c>
      <c r="AB6" s="746">
        <f t="shared" si="2"/>
        <v>4404.8883049846345</v>
      </c>
      <c r="AC6" s="746">
        <f t="shared" si="2"/>
        <v>4537.0349541341739</v>
      </c>
      <c r="AD6" s="746">
        <f t="shared" si="2"/>
        <v>4673.1460027581988</v>
      </c>
      <c r="AE6" s="746">
        <f t="shared" si="2"/>
        <v>4813.3403828409446</v>
      </c>
      <c r="AF6" s="756">
        <f t="shared" si="2"/>
        <v>4957.7405943261729</v>
      </c>
      <c r="AG6" s="688"/>
      <c r="AH6" s="112"/>
      <c r="AI6" s="10"/>
      <c r="AJ6" s="10"/>
      <c r="AK6" s="10"/>
      <c r="AL6" s="10"/>
      <c r="AM6" s="10"/>
      <c r="AN6" s="10"/>
    </row>
    <row r="7" spans="1:40" ht="12.95">
      <c r="A7" s="1103"/>
      <c r="B7" s="591">
        <v>3</v>
      </c>
      <c r="C7" s="593" t="s">
        <v>434</v>
      </c>
      <c r="D7" s="599">
        <f>D8/D6</f>
        <v>9.2851536952256369E-2</v>
      </c>
      <c r="E7" s="299">
        <f t="shared" ref="E7:F7" si="3">E8/E6</f>
        <v>0.10912269548633186</v>
      </c>
      <c r="F7" s="304">
        <f t="shared" si="3"/>
        <v>0.11683009708737864</v>
      </c>
      <c r="G7" s="730">
        <f>Assumptions!L10</f>
        <v>0.13</v>
      </c>
      <c r="H7" s="722">
        <f>Assumptions!L10</f>
        <v>0.13</v>
      </c>
      <c r="I7" s="722">
        <f>Assumptions!L10</f>
        <v>0.13</v>
      </c>
      <c r="J7" s="739">
        <f>Assumptions!L10</f>
        <v>0.13</v>
      </c>
      <c r="K7" s="757">
        <f>Assumptions!M10</f>
        <v>0.14000000000000001</v>
      </c>
      <c r="L7" s="745">
        <f>Assumptions!$M$10</f>
        <v>0.14000000000000001</v>
      </c>
      <c r="M7" s="745">
        <f>Assumptions!$M$10</f>
        <v>0.14000000000000001</v>
      </c>
      <c r="N7" s="745">
        <f>Assumptions!$M$10</f>
        <v>0.14000000000000001</v>
      </c>
      <c r="O7" s="745">
        <f>Assumptions!$M$10</f>
        <v>0.14000000000000001</v>
      </c>
      <c r="P7" s="745">
        <f>Assumptions!$M$10</f>
        <v>0.14000000000000001</v>
      </c>
      <c r="Q7" s="745">
        <f>Assumptions!$M$10</f>
        <v>0.14000000000000001</v>
      </c>
      <c r="R7" s="745">
        <f>Assumptions!$M$10</f>
        <v>0.14000000000000001</v>
      </c>
      <c r="S7" s="745">
        <f>Assumptions!$M$10</f>
        <v>0.14000000000000001</v>
      </c>
      <c r="T7" s="745">
        <f>Assumptions!$M$10</f>
        <v>0.14000000000000001</v>
      </c>
      <c r="U7" s="745">
        <f>Assumptions!$M$10</f>
        <v>0.14000000000000001</v>
      </c>
      <c r="V7" s="745">
        <f>Assumptions!$M$10</f>
        <v>0.14000000000000001</v>
      </c>
      <c r="W7" s="745">
        <f>Assumptions!$M$10</f>
        <v>0.14000000000000001</v>
      </c>
      <c r="X7" s="745">
        <f>Assumptions!$M$10</f>
        <v>0.14000000000000001</v>
      </c>
      <c r="Y7" s="745">
        <f>Assumptions!$M$10</f>
        <v>0.14000000000000001</v>
      </c>
      <c r="Z7" s="745">
        <f>Assumptions!$M$10</f>
        <v>0.14000000000000001</v>
      </c>
      <c r="AA7" s="745">
        <f>Assumptions!$M$10</f>
        <v>0.14000000000000001</v>
      </c>
      <c r="AB7" s="745">
        <f>Assumptions!$M$10</f>
        <v>0.14000000000000001</v>
      </c>
      <c r="AC7" s="745">
        <f>Assumptions!$M$10</f>
        <v>0.14000000000000001</v>
      </c>
      <c r="AD7" s="745">
        <f>Assumptions!$M$10</f>
        <v>0.14000000000000001</v>
      </c>
      <c r="AE7" s="745">
        <f>Assumptions!$M$10</f>
        <v>0.14000000000000001</v>
      </c>
      <c r="AF7" s="758">
        <f>Assumptions!M10</f>
        <v>0.14000000000000001</v>
      </c>
      <c r="AG7" s="813"/>
      <c r="AH7" s="10"/>
      <c r="AI7" s="10"/>
      <c r="AJ7" s="10"/>
      <c r="AK7" s="10"/>
      <c r="AL7" s="10"/>
      <c r="AM7" s="10"/>
      <c r="AN7" s="10"/>
    </row>
    <row r="8" spans="1:40" ht="14.45">
      <c r="A8" s="1103"/>
      <c r="B8" s="591">
        <v>4</v>
      </c>
      <c r="C8" s="594" t="s">
        <v>56</v>
      </c>
      <c r="D8" s="600">
        <f>'Fin. Data'!D11</f>
        <v>141.97</v>
      </c>
      <c r="E8" s="300">
        <f>'Fin. Data'!C11</f>
        <v>171.65</v>
      </c>
      <c r="F8" s="305">
        <f>'Fin. Data'!B11</f>
        <v>240.67</v>
      </c>
      <c r="G8" s="729">
        <f>G7*G6</f>
        <v>290.56299999999999</v>
      </c>
      <c r="H8" s="723">
        <f t="shared" ref="H8:AF8" si="4">H7*H6</f>
        <v>305.09115000000003</v>
      </c>
      <c r="I8" s="723">
        <f t="shared" si="4"/>
        <v>320.34570750000006</v>
      </c>
      <c r="J8" s="822">
        <f t="shared" si="4"/>
        <v>336.36299287500009</v>
      </c>
      <c r="K8" s="729">
        <f t="shared" si="4"/>
        <v>373.1041813275001</v>
      </c>
      <c r="L8" s="723">
        <f t="shared" si="4"/>
        <v>384.29730676732515</v>
      </c>
      <c r="M8" s="723">
        <f t="shared" si="4"/>
        <v>395.82622597034492</v>
      </c>
      <c r="N8" s="723">
        <f t="shared" si="4"/>
        <v>407.70101274945523</v>
      </c>
      <c r="O8" s="723">
        <f t="shared" si="4"/>
        <v>419.93204313193894</v>
      </c>
      <c r="P8" s="723">
        <f t="shared" si="4"/>
        <v>432.53000442589712</v>
      </c>
      <c r="Q8" s="723">
        <f t="shared" si="4"/>
        <v>445.50590455867405</v>
      </c>
      <c r="R8" s="723">
        <f t="shared" si="4"/>
        <v>458.87108169543421</v>
      </c>
      <c r="S8" s="723">
        <f t="shared" si="4"/>
        <v>472.63721414629725</v>
      </c>
      <c r="T8" s="723">
        <f t="shared" si="4"/>
        <v>486.81633057068615</v>
      </c>
      <c r="U8" s="723">
        <f t="shared" si="4"/>
        <v>501.42082048780674</v>
      </c>
      <c r="V8" s="723">
        <f t="shared" si="4"/>
        <v>516.46344510244103</v>
      </c>
      <c r="W8" s="723">
        <f t="shared" si="4"/>
        <v>531.95734845551419</v>
      </c>
      <c r="X8" s="723">
        <f t="shared" si="4"/>
        <v>547.91606890917967</v>
      </c>
      <c r="Y8" s="723">
        <f t="shared" si="4"/>
        <v>564.35355097645504</v>
      </c>
      <c r="Z8" s="723">
        <f t="shared" si="4"/>
        <v>581.28415750574879</v>
      </c>
      <c r="AA8" s="723">
        <f t="shared" si="4"/>
        <v>598.72268223092124</v>
      </c>
      <c r="AB8" s="723">
        <f t="shared" si="4"/>
        <v>616.68436269784888</v>
      </c>
      <c r="AC8" s="723">
        <f t="shared" si="4"/>
        <v>635.18489357878445</v>
      </c>
      <c r="AD8" s="723">
        <f t="shared" si="4"/>
        <v>654.24044038614795</v>
      </c>
      <c r="AE8" s="723">
        <f t="shared" si="4"/>
        <v>673.86765359773233</v>
      </c>
      <c r="AF8" s="822">
        <f t="shared" si="4"/>
        <v>694.08368320566422</v>
      </c>
      <c r="AG8" s="412">
        <v>322.78588782464601</v>
      </c>
      <c r="AH8" s="7"/>
      <c r="AI8" s="7"/>
      <c r="AJ8" s="7"/>
      <c r="AK8" s="10"/>
      <c r="AL8" s="10"/>
      <c r="AM8" s="10"/>
      <c r="AN8" s="10"/>
    </row>
    <row r="9" spans="1:40" ht="14.45">
      <c r="A9" s="1103"/>
      <c r="B9" s="591" t="s">
        <v>435</v>
      </c>
      <c r="C9" s="592" t="s">
        <v>436</v>
      </c>
      <c r="D9" s="601">
        <v>-15.42</v>
      </c>
      <c r="E9" s="410">
        <v>-14.28</v>
      </c>
      <c r="F9" s="411">
        <v>-17.71</v>
      </c>
      <c r="G9" s="731">
        <f>-G40*$D$53</f>
        <v>-21.090712500000002</v>
      </c>
      <c r="H9" s="724">
        <f t="shared" ref="H9:J9" si="5">-H40*$D$53</f>
        <v>-23.144210624999999</v>
      </c>
      <c r="I9" s="724">
        <f t="shared" si="5"/>
        <v>-25.300383656250002</v>
      </c>
      <c r="J9" s="740">
        <f t="shared" si="5"/>
        <v>-27.564365339062501</v>
      </c>
      <c r="K9" s="759">
        <f>-K40*$E$53</f>
        <v>-29.563137739031248</v>
      </c>
      <c r="L9" s="747">
        <f t="shared" ref="L9:AF9" si="6">-L40*$E$53</f>
        <v>-31.62187331099906</v>
      </c>
      <c r="M9" s="747">
        <f t="shared" si="6"/>
        <v>-33.74237095012591</v>
      </c>
      <c r="N9" s="747">
        <f t="shared" si="6"/>
        <v>-35.926483518426558</v>
      </c>
      <c r="O9" s="747">
        <f t="shared" si="6"/>
        <v>-38.176119463776232</v>
      </c>
      <c r="P9" s="747">
        <f t="shared" si="6"/>
        <v>-40.493244487486393</v>
      </c>
      <c r="Q9" s="747">
        <f t="shared" si="6"/>
        <v>-42.879883261907857</v>
      </c>
      <c r="R9" s="747">
        <f t="shared" si="6"/>
        <v>-45.338121199561968</v>
      </c>
      <c r="S9" s="747">
        <f t="shared" si="6"/>
        <v>-47.870106275345705</v>
      </c>
      <c r="T9" s="747">
        <f t="shared" si="6"/>
        <v>-50.478050903402952</v>
      </c>
      <c r="U9" s="747">
        <f t="shared" si="6"/>
        <v>-53.164233870301921</v>
      </c>
      <c r="V9" s="747">
        <f t="shared" si="6"/>
        <v>-55.931002326207853</v>
      </c>
      <c r="W9" s="747">
        <f t="shared" si="6"/>
        <v>-58.780773835790967</v>
      </c>
      <c r="X9" s="747">
        <f t="shared" si="6"/>
        <v>-61.716038490661575</v>
      </c>
      <c r="Y9" s="747">
        <f t="shared" si="6"/>
        <v>-64.739361085178288</v>
      </c>
      <c r="Z9" s="747">
        <f t="shared" si="6"/>
        <v>-67.853383357530518</v>
      </c>
      <c r="AA9" s="747">
        <f t="shared" si="6"/>
        <v>-71.0608262980533</v>
      </c>
      <c r="AB9" s="747">
        <f t="shared" si="6"/>
        <v>-74.364492526791778</v>
      </c>
      <c r="AC9" s="747">
        <f t="shared" si="6"/>
        <v>-77.767268742392417</v>
      </c>
      <c r="AD9" s="747">
        <f t="shared" si="6"/>
        <v>-81.272128244461058</v>
      </c>
      <c r="AE9" s="747">
        <f t="shared" si="6"/>
        <v>-84.882133531591762</v>
      </c>
      <c r="AF9" s="760">
        <f t="shared" si="6"/>
        <v>-88.600438977336395</v>
      </c>
      <c r="AG9" s="413">
        <v>-53.797647970774399</v>
      </c>
      <c r="AH9" s="7"/>
      <c r="AI9" s="7"/>
      <c r="AJ9" s="7"/>
      <c r="AK9" s="10"/>
      <c r="AL9" s="10"/>
      <c r="AM9" s="10"/>
      <c r="AN9" s="10"/>
    </row>
    <row r="10" spans="1:40" ht="14.45">
      <c r="A10" s="1103"/>
      <c r="B10" s="591" t="s">
        <v>437</v>
      </c>
      <c r="C10" s="592" t="s">
        <v>438</v>
      </c>
      <c r="D10" s="601">
        <v>-10</v>
      </c>
      <c r="E10" s="677">
        <v>-12</v>
      </c>
      <c r="F10" s="411">
        <v>-14</v>
      </c>
      <c r="G10" s="731">
        <f>F10*(1+$D$54)</f>
        <v>-14.349999999999998</v>
      </c>
      <c r="H10" s="724">
        <f t="shared" ref="H10:J10" si="7">G10*(1+$D$54)</f>
        <v>-14.708749999999997</v>
      </c>
      <c r="I10" s="724">
        <f t="shared" si="7"/>
        <v>-15.076468749999995</v>
      </c>
      <c r="J10" s="740">
        <f t="shared" si="7"/>
        <v>-15.453380468749993</v>
      </c>
      <c r="K10" s="761">
        <f>J10*(1+$E$54)</f>
        <v>-15.839714980468742</v>
      </c>
      <c r="L10" s="748">
        <f t="shared" ref="L10:AF10" si="8">K10*(1+$E$54)</f>
        <v>-16.235707854980458</v>
      </c>
      <c r="M10" s="748">
        <f t="shared" si="8"/>
        <v>-16.641600551354969</v>
      </c>
      <c r="N10" s="748">
        <f t="shared" si="8"/>
        <v>-17.057640565138843</v>
      </c>
      <c r="O10" s="748">
        <f t="shared" si="8"/>
        <v>-17.484081579267311</v>
      </c>
      <c r="P10" s="748">
        <f t="shared" si="8"/>
        <v>-17.921183618748991</v>
      </c>
      <c r="Q10" s="748">
        <f t="shared" si="8"/>
        <v>-18.369213209217715</v>
      </c>
      <c r="R10" s="748">
        <f t="shared" si="8"/>
        <v>-18.828443539448156</v>
      </c>
      <c r="S10" s="748">
        <f t="shared" si="8"/>
        <v>-19.299154627934357</v>
      </c>
      <c r="T10" s="748">
        <f t="shared" si="8"/>
        <v>-19.781633493632715</v>
      </c>
      <c r="U10" s="748">
        <f t="shared" si="8"/>
        <v>-20.276174330973532</v>
      </c>
      <c r="V10" s="748">
        <f t="shared" si="8"/>
        <v>-20.783078689247869</v>
      </c>
      <c r="W10" s="748">
        <f t="shared" si="8"/>
        <v>-21.302655656479065</v>
      </c>
      <c r="X10" s="748">
        <f t="shared" si="8"/>
        <v>-21.83522204789104</v>
      </c>
      <c r="Y10" s="748">
        <f t="shared" si="8"/>
        <v>-22.381102599088315</v>
      </c>
      <c r="Z10" s="748">
        <f t="shared" si="8"/>
        <v>-22.940630164065521</v>
      </c>
      <c r="AA10" s="748">
        <f t="shared" si="8"/>
        <v>-23.514145918167156</v>
      </c>
      <c r="AB10" s="748">
        <f t="shared" si="8"/>
        <v>-24.101999566121332</v>
      </c>
      <c r="AC10" s="748">
        <f t="shared" si="8"/>
        <v>-24.704549555274362</v>
      </c>
      <c r="AD10" s="748">
        <f t="shared" si="8"/>
        <v>-25.322163294156219</v>
      </c>
      <c r="AE10" s="748">
        <f t="shared" si="8"/>
        <v>-25.955217376510124</v>
      </c>
      <c r="AF10" s="762">
        <f t="shared" si="8"/>
        <v>-26.604097810922873</v>
      </c>
      <c r="AG10" s="412">
        <v>-35.865098647182897</v>
      </c>
      <c r="AH10" s="7"/>
      <c r="AI10" s="7"/>
      <c r="AJ10" s="7"/>
      <c r="AK10" s="10"/>
      <c r="AL10" s="10"/>
      <c r="AM10" s="10"/>
      <c r="AN10" s="10"/>
    </row>
    <row r="11" spans="1:40" ht="14.45">
      <c r="A11" s="1103"/>
      <c r="B11" s="591" t="s">
        <v>439</v>
      </c>
      <c r="C11" s="592" t="s">
        <v>440</v>
      </c>
      <c r="D11" s="601">
        <v>-116.4</v>
      </c>
      <c r="E11" s="410">
        <v>-122.6</v>
      </c>
      <c r="F11" s="411">
        <v>-143.22</v>
      </c>
      <c r="G11" s="731">
        <f>-G6*$D$55</f>
        <v>-134.10599999999999</v>
      </c>
      <c r="H11" s="724">
        <f>-H6*$D$55</f>
        <v>-140.81129999999999</v>
      </c>
      <c r="I11" s="724">
        <f t="shared" ref="I11:J11" si="9">-I6*$D$55</f>
        <v>-147.851865</v>
      </c>
      <c r="J11" s="740">
        <f t="shared" si="9"/>
        <v>-155.24445825000001</v>
      </c>
      <c r="K11" s="759">
        <f>-K6*$E$55</f>
        <v>-159.90179199750003</v>
      </c>
      <c r="L11" s="747">
        <f t="shared" ref="L11:AF11" si="10">-L6*$E$55</f>
        <v>-164.69884575742503</v>
      </c>
      <c r="M11" s="747">
        <f t="shared" si="10"/>
        <v>-169.63981113014779</v>
      </c>
      <c r="N11" s="747">
        <f t="shared" si="10"/>
        <v>-174.72900546405222</v>
      </c>
      <c r="O11" s="747">
        <f t="shared" si="10"/>
        <v>-179.97087562797381</v>
      </c>
      <c r="P11" s="747">
        <f t="shared" si="10"/>
        <v>-185.37000189681302</v>
      </c>
      <c r="Q11" s="747">
        <f t="shared" si="10"/>
        <v>-190.93110195371742</v>
      </c>
      <c r="R11" s="747">
        <f t="shared" si="10"/>
        <v>-196.65903501232893</v>
      </c>
      <c r="S11" s="747">
        <f t="shared" si="10"/>
        <v>-202.55880606269881</v>
      </c>
      <c r="T11" s="747">
        <f t="shared" si="10"/>
        <v>-208.63557024457975</v>
      </c>
      <c r="U11" s="747">
        <f t="shared" si="10"/>
        <v>-214.89463735191717</v>
      </c>
      <c r="V11" s="747">
        <f t="shared" si="10"/>
        <v>-221.34147647247468</v>
      </c>
      <c r="W11" s="747">
        <f t="shared" si="10"/>
        <v>-227.98172076664892</v>
      </c>
      <c r="X11" s="747">
        <f t="shared" si="10"/>
        <v>-234.82117238964841</v>
      </c>
      <c r="Y11" s="747">
        <f t="shared" si="10"/>
        <v>-241.86580756133785</v>
      </c>
      <c r="Z11" s="747">
        <f t="shared" si="10"/>
        <v>-249.121781788178</v>
      </c>
      <c r="AA11" s="747">
        <f t="shared" si="10"/>
        <v>-256.5954352418234</v>
      </c>
      <c r="AB11" s="747">
        <f t="shared" si="10"/>
        <v>-264.29329829907806</v>
      </c>
      <c r="AC11" s="747">
        <f t="shared" si="10"/>
        <v>-272.22209724805043</v>
      </c>
      <c r="AD11" s="747">
        <f t="shared" si="10"/>
        <v>-280.38876016549193</v>
      </c>
      <c r="AE11" s="747">
        <f t="shared" si="10"/>
        <v>-288.80042297045668</v>
      </c>
      <c r="AF11" s="760">
        <f t="shared" si="10"/>
        <v>-297.46443565957037</v>
      </c>
      <c r="AG11" s="412">
        <v>-107.595295941549</v>
      </c>
      <c r="AH11" s="7"/>
      <c r="AI11" s="7"/>
      <c r="AJ11" s="7"/>
      <c r="AK11" s="10"/>
      <c r="AL11" s="10"/>
      <c r="AM11" s="10"/>
      <c r="AN11" s="10"/>
    </row>
    <row r="12" spans="1:40" ht="14.45">
      <c r="A12" s="1103"/>
      <c r="B12" s="591">
        <v>6</v>
      </c>
      <c r="C12" s="594" t="s">
        <v>48</v>
      </c>
      <c r="D12" s="600">
        <f>D8-D9-D10</f>
        <v>167.39</v>
      </c>
      <c r="E12" s="274">
        <f t="shared" ref="E12" si="11">E8-E9-E10</f>
        <v>197.93</v>
      </c>
      <c r="F12" s="305">
        <f>F8-F9-F10</f>
        <v>272.38</v>
      </c>
      <c r="G12" s="732">
        <f>G8-G9-G10</f>
        <v>326.00371250000001</v>
      </c>
      <c r="H12" s="725">
        <f t="shared" ref="H12:AF12" si="12">H8-H9-H10</f>
        <v>342.94411062500001</v>
      </c>
      <c r="I12" s="725">
        <f t="shared" si="12"/>
        <v>360.72255990625007</v>
      </c>
      <c r="J12" s="741">
        <f>J8-J9-J10</f>
        <v>379.38073868281253</v>
      </c>
      <c r="K12" s="763">
        <f>K8-K9-K10</f>
        <v>418.5070340470001</v>
      </c>
      <c r="L12" s="749">
        <f>L8-L9-L10</f>
        <v>432.15488793330462</v>
      </c>
      <c r="M12" s="749">
        <f t="shared" si="12"/>
        <v>446.21019747182584</v>
      </c>
      <c r="N12" s="749">
        <f t="shared" si="12"/>
        <v>460.68513683302064</v>
      </c>
      <c r="O12" s="749">
        <f t="shared" si="12"/>
        <v>475.59224417498245</v>
      </c>
      <c r="P12" s="749">
        <f t="shared" si="12"/>
        <v>490.94443253213251</v>
      </c>
      <c r="Q12" s="749">
        <f t="shared" si="12"/>
        <v>506.75500102979964</v>
      </c>
      <c r="R12" s="749">
        <f t="shared" si="12"/>
        <v>523.03764643444435</v>
      </c>
      <c r="S12" s="749">
        <f t="shared" si="12"/>
        <v>539.80647504957733</v>
      </c>
      <c r="T12" s="749">
        <f t="shared" si="12"/>
        <v>557.07601496772179</v>
      </c>
      <c r="U12" s="749">
        <f t="shared" si="12"/>
        <v>574.86122868908217</v>
      </c>
      <c r="V12" s="749">
        <f t="shared" si="12"/>
        <v>593.17752611789672</v>
      </c>
      <c r="W12" s="749">
        <f t="shared" si="12"/>
        <v>612.04077794778425</v>
      </c>
      <c r="X12" s="749">
        <f t="shared" si="12"/>
        <v>631.46732944773237</v>
      </c>
      <c r="Y12" s="749">
        <f t="shared" si="12"/>
        <v>651.47401466072165</v>
      </c>
      <c r="Z12" s="749">
        <f t="shared" si="12"/>
        <v>672.07817102734487</v>
      </c>
      <c r="AA12" s="749">
        <f t="shared" si="12"/>
        <v>693.29765444714167</v>
      </c>
      <c r="AB12" s="749">
        <f t="shared" si="12"/>
        <v>715.15085479076197</v>
      </c>
      <c r="AC12" s="749">
        <f t="shared" si="12"/>
        <v>737.65671187645125</v>
      </c>
      <c r="AD12" s="749">
        <f t="shared" si="12"/>
        <v>760.83473192476526</v>
      </c>
      <c r="AE12" s="749">
        <f t="shared" si="12"/>
        <v>784.70500450583427</v>
      </c>
      <c r="AF12" s="764">
        <f t="shared" si="12"/>
        <v>809.28821999392346</v>
      </c>
      <c r="AG12" s="293">
        <v>233.12314120668901</v>
      </c>
      <c r="AH12" s="7"/>
      <c r="AI12" s="7"/>
      <c r="AJ12" s="7"/>
      <c r="AK12" s="10"/>
      <c r="AL12" s="10"/>
      <c r="AM12" s="10"/>
      <c r="AN12" s="10"/>
    </row>
    <row r="13" spans="1:40" ht="14.45">
      <c r="A13" s="1103"/>
      <c r="B13" s="591">
        <v>7</v>
      </c>
      <c r="C13" s="592" t="s">
        <v>441</v>
      </c>
      <c r="D13" s="602">
        <f>'Fin. Data'!D14</f>
        <v>-6.21</v>
      </c>
      <c r="E13" s="408">
        <f>'Fin. Data'!C14</f>
        <v>-27.74</v>
      </c>
      <c r="F13" s="409">
        <f>'Fin. Data'!B14</f>
        <v>-33.5</v>
      </c>
      <c r="G13" s="733">
        <f>F43*$D$58-F44*$D$57</f>
        <v>-15.450161481302427</v>
      </c>
      <c r="H13" s="726">
        <f t="shared" ref="H13:J13" si="13">G43*$D$58-G44*$D$57</f>
        <v>-14.153520959733843</v>
      </c>
      <c r="I13" s="726">
        <f t="shared" si="13"/>
        <v>-12.062645003391136</v>
      </c>
      <c r="J13" s="742">
        <f t="shared" si="13"/>
        <v>-11.805994316442742</v>
      </c>
      <c r="K13" s="761">
        <f>J43*$E$58-J44*$E$57</f>
        <v>-23.436036460690929</v>
      </c>
      <c r="L13" s="748">
        <f>K43*$E$58-K44*$E$57</f>
        <v>-23.355335690113701</v>
      </c>
      <c r="M13" s="748">
        <f t="shared" ref="M13:AF13" si="14">L43*$E$58-L44*$E$57</f>
        <v>-24.271524902597754</v>
      </c>
      <c r="N13" s="748">
        <f t="shared" si="14"/>
        <v>-25.203988391945561</v>
      </c>
      <c r="O13" s="748">
        <f t="shared" si="14"/>
        <v>-26.136887539656129</v>
      </c>
      <c r="P13" s="748">
        <f t="shared" si="14"/>
        <v>-27.080848467579173</v>
      </c>
      <c r="Q13" s="748">
        <f t="shared" si="14"/>
        <v>-28.034109917124344</v>
      </c>
      <c r="R13" s="748">
        <f t="shared" si="14"/>
        <v>-28.994270876962677</v>
      </c>
      <c r="S13" s="748">
        <f t="shared" si="14"/>
        <v>-29.963543718234718</v>
      </c>
      <c r="T13" s="748">
        <f t="shared" si="14"/>
        <v>-30.941251889240821</v>
      </c>
      <c r="U13" s="748">
        <f t="shared" si="14"/>
        <v>-31.927091046609352</v>
      </c>
      <c r="V13" s="748">
        <f t="shared" si="14"/>
        <v>-32.921476489146585</v>
      </c>
      <c r="W13" s="748">
        <f t="shared" si="14"/>
        <v>-33.924206300706111</v>
      </c>
      <c r="X13" s="748">
        <f t="shared" si="14"/>
        <v>-34.935241296747243</v>
      </c>
      <c r="Y13" s="748">
        <f t="shared" si="14"/>
        <v>-35.95463309731911</v>
      </c>
      <c r="Z13" s="748">
        <f t="shared" si="14"/>
        <v>-36.982308219283723</v>
      </c>
      <c r="AA13" s="748">
        <f t="shared" si="14"/>
        <v>-38.018237027614148</v>
      </c>
      <c r="AB13" s="748">
        <f t="shared" si="14"/>
        <v>-39.062392911444235</v>
      </c>
      <c r="AC13" s="748">
        <f t="shared" si="14"/>
        <v>-40.114722138622483</v>
      </c>
      <c r="AD13" s="748">
        <f t="shared" si="14"/>
        <v>-41.175177488444405</v>
      </c>
      <c r="AE13" s="748">
        <f t="shared" si="14"/>
        <v>-42.243705424782576</v>
      </c>
      <c r="AF13" s="762">
        <f t="shared" si="14"/>
        <v>-43.320242881312787</v>
      </c>
      <c r="AG13" s="412"/>
      <c r="AH13" s="7"/>
      <c r="AI13" s="7"/>
      <c r="AJ13" s="7"/>
      <c r="AK13" s="10"/>
      <c r="AL13" s="10"/>
      <c r="AM13" s="10"/>
      <c r="AN13" s="10"/>
    </row>
    <row r="14" spans="1:40" ht="14.45">
      <c r="A14" s="1103"/>
      <c r="B14" s="591">
        <v>8</v>
      </c>
      <c r="C14" s="592" t="s">
        <v>442</v>
      </c>
      <c r="D14" s="603">
        <f>'Fin. Data'!D15</f>
        <v>-260.31</v>
      </c>
      <c r="E14" s="301">
        <f>'Fin. Data'!C15</f>
        <v>-51.949999999999996</v>
      </c>
      <c r="F14" s="307">
        <f>'Fin. Data'!B15</f>
        <v>-39.599999999999994</v>
      </c>
      <c r="G14" s="729">
        <f>AVERAGE(D14:F14)*(1+G5)</f>
        <v>-127.25603333333333</v>
      </c>
      <c r="H14" s="723">
        <f t="shared" ref="H14:AF14" si="15">AVERAGE(E14:G14)*(1+H5)</f>
        <v>-76.582111666666663</v>
      </c>
      <c r="I14" s="723">
        <f t="shared" si="15"/>
        <v>-85.203350749999998</v>
      </c>
      <c r="J14" s="738">
        <f t="shared" si="15"/>
        <v>-101.1645235125</v>
      </c>
      <c r="K14" s="755">
        <f>AVERAGE(H14:J14)*(1+K5)</f>
        <v>-90.279495169013884</v>
      </c>
      <c r="L14" s="746">
        <f>AVERAGE(I14:K14)*(1+L5)</f>
        <v>-94.98226350481977</v>
      </c>
      <c r="M14" s="746">
        <f t="shared" si="15"/>
        <v>-98.33969021730789</v>
      </c>
      <c r="N14" s="746">
        <f t="shared" si="15"/>
        <v>-97.369830785958598</v>
      </c>
      <c r="O14" s="746">
        <f t="shared" si="15"/>
        <v>-99.804179347776284</v>
      </c>
      <c r="P14" s="746">
        <f t="shared" si="15"/>
        <v>-101.45970378719134</v>
      </c>
      <c r="Q14" s="746">
        <f t="shared" si="15"/>
        <v>-102.53090844618468</v>
      </c>
      <c r="R14" s="746">
        <f t="shared" si="15"/>
        <v>-104.30287844286229</v>
      </c>
      <c r="S14" s="746">
        <f t="shared" si="15"/>
        <v>-105.84743179884182</v>
      </c>
      <c r="T14" s="746">
        <f t="shared" si="15"/>
        <v>-107.35388508284181</v>
      </c>
      <c r="U14" s="746">
        <f t="shared" si="15"/>
        <v>-109.00977372809412</v>
      </c>
      <c r="V14" s="746">
        <f t="shared" si="15"/>
        <v>-110.62580777602369</v>
      </c>
      <c r="W14" s="746">
        <f t="shared" si="15"/>
        <v>-112.26638352818948</v>
      </c>
      <c r="X14" s="746">
        <f t="shared" si="15"/>
        <v>-113.95300799442549</v>
      </c>
      <c r="Y14" s="746">
        <f t="shared" si="15"/>
        <v>-115.65018509253261</v>
      </c>
      <c r="Z14" s="746">
        <f t="shared" si="15"/>
        <v>-117.37522130453401</v>
      </c>
      <c r="AA14" s="746">
        <f t="shared" si="15"/>
        <v>-119.12925560774562</v>
      </c>
      <c r="AB14" s="746">
        <f t="shared" si="15"/>
        <v>-120.90643395498553</v>
      </c>
      <c r="AC14" s="746">
        <f t="shared" si="15"/>
        <v>-122.71107939776104</v>
      </c>
      <c r="AD14" s="746">
        <f t="shared" si="15"/>
        <v>-124.54305734310233</v>
      </c>
      <c r="AE14" s="746">
        <f t="shared" si="15"/>
        <v>-126.40179593890814</v>
      </c>
      <c r="AF14" s="756">
        <f t="shared" si="15"/>
        <v>-128.28853688672157</v>
      </c>
      <c r="AG14" s="412"/>
      <c r="AH14" s="7"/>
      <c r="AI14" s="7"/>
      <c r="AJ14" s="7"/>
      <c r="AK14" s="10"/>
      <c r="AL14" s="10"/>
      <c r="AM14" s="10"/>
      <c r="AN14" s="10"/>
    </row>
    <row r="15" spans="1:40" ht="14.45">
      <c r="A15" s="1103"/>
      <c r="B15" s="591">
        <v>9</v>
      </c>
      <c r="C15" s="594" t="s">
        <v>443</v>
      </c>
      <c r="D15" s="604">
        <f t="shared" ref="D15:AF15" si="16">D8+D13+D14</f>
        <v>-124.55000000000001</v>
      </c>
      <c r="E15" s="274">
        <f t="shared" si="16"/>
        <v>91.960000000000008</v>
      </c>
      <c r="F15" s="306">
        <f t="shared" si="16"/>
        <v>167.57</v>
      </c>
      <c r="G15" s="732">
        <f>G8+G13+G14</f>
        <v>147.85680518536424</v>
      </c>
      <c r="H15" s="725">
        <f t="shared" si="16"/>
        <v>214.35551737359953</v>
      </c>
      <c r="I15" s="725">
        <f t="shared" si="16"/>
        <v>223.07971174660892</v>
      </c>
      <c r="J15" s="741">
        <f t="shared" si="16"/>
        <v>223.39247504605731</v>
      </c>
      <c r="K15" s="763">
        <f>K8+K13+K14</f>
        <v>259.38864969779524</v>
      </c>
      <c r="L15" s="749">
        <f>L8+L13+L14</f>
        <v>265.95970757239172</v>
      </c>
      <c r="M15" s="749">
        <f t="shared" si="16"/>
        <v>273.21501085043928</v>
      </c>
      <c r="N15" s="749">
        <f t="shared" si="16"/>
        <v>285.12719357155106</v>
      </c>
      <c r="O15" s="749">
        <f t="shared" si="16"/>
        <v>293.99097624450656</v>
      </c>
      <c r="P15" s="749">
        <f t="shared" si="16"/>
        <v>303.98945217112657</v>
      </c>
      <c r="Q15" s="749">
        <f t="shared" si="16"/>
        <v>314.94088619536501</v>
      </c>
      <c r="R15" s="749">
        <f t="shared" si="16"/>
        <v>325.57393237560927</v>
      </c>
      <c r="S15" s="749">
        <f t="shared" si="16"/>
        <v>336.82623862922071</v>
      </c>
      <c r="T15" s="749">
        <f t="shared" si="16"/>
        <v>348.52119359860347</v>
      </c>
      <c r="U15" s="749">
        <f t="shared" si="16"/>
        <v>360.48395571310328</v>
      </c>
      <c r="V15" s="749">
        <f t="shared" si="16"/>
        <v>372.91616083727075</v>
      </c>
      <c r="W15" s="749">
        <f t="shared" si="16"/>
        <v>385.76675862661864</v>
      </c>
      <c r="X15" s="749">
        <f t="shared" si="16"/>
        <v>399.02781961800696</v>
      </c>
      <c r="Y15" s="749">
        <f t="shared" si="16"/>
        <v>412.74873278660334</v>
      </c>
      <c r="Z15" s="749">
        <f t="shared" si="16"/>
        <v>426.92662798193106</v>
      </c>
      <c r="AA15" s="749">
        <f t="shared" si="16"/>
        <v>441.57518959556143</v>
      </c>
      <c r="AB15" s="749">
        <f t="shared" si="16"/>
        <v>456.71553583141912</v>
      </c>
      <c r="AC15" s="749">
        <f t="shared" si="16"/>
        <v>472.3590920424009</v>
      </c>
      <c r="AD15" s="749">
        <f t="shared" si="16"/>
        <v>488.52220555460121</v>
      </c>
      <c r="AE15" s="749">
        <f t="shared" si="16"/>
        <v>505.22215223404163</v>
      </c>
      <c r="AF15" s="764">
        <f t="shared" si="16"/>
        <v>522.47490343762991</v>
      </c>
      <c r="AG15" s="412"/>
      <c r="AH15" s="7"/>
      <c r="AI15" s="7"/>
      <c r="AJ15" s="7"/>
      <c r="AK15" s="10"/>
      <c r="AL15" s="10"/>
      <c r="AM15" s="10"/>
      <c r="AN15" s="10"/>
    </row>
    <row r="16" spans="1:40" ht="14.45">
      <c r="A16" s="1103"/>
      <c r="B16" s="591">
        <v>10</v>
      </c>
      <c r="C16" s="592" t="s">
        <v>444</v>
      </c>
      <c r="D16" s="605">
        <f>'Fin. Data'!D21</f>
        <v>-36.32</v>
      </c>
      <c r="E16" s="406">
        <f>'Fin. Data'!C21</f>
        <v>-37.72</v>
      </c>
      <c r="F16" s="407">
        <f>'Fin. Data'!B21</f>
        <v>-36.15</v>
      </c>
      <c r="G16" s="734">
        <f>-$D$56*G15</f>
        <v>-35.485633244487417</v>
      </c>
      <c r="H16" s="727">
        <f>-$D$56*H15</f>
        <v>-51.445324169663884</v>
      </c>
      <c r="I16" s="727">
        <f t="shared" ref="I16:J16" si="17">-$D$56*I15</f>
        <v>-53.539130819186141</v>
      </c>
      <c r="J16" s="743">
        <f t="shared" si="17"/>
        <v>-53.614194011053755</v>
      </c>
      <c r="K16" s="765">
        <f>-$E$56*K15</f>
        <v>-62.25327592747086</v>
      </c>
      <c r="L16" s="750">
        <f>-$E$56*L15</f>
        <v>-63.830329817374007</v>
      </c>
      <c r="M16" s="751">
        <f t="shared" ref="M16:AE16" si="18">-$E$56*M15</f>
        <v>-65.571602604105422</v>
      </c>
      <c r="N16" s="751">
        <f t="shared" si="18"/>
        <v>-68.430526457172249</v>
      </c>
      <c r="O16" s="751">
        <f t="shared" si="18"/>
        <v>-70.55783429868157</v>
      </c>
      <c r="P16" s="751">
        <f t="shared" si="18"/>
        <v>-72.957468521070368</v>
      </c>
      <c r="Q16" s="751">
        <f t="shared" si="18"/>
        <v>-75.585812686887593</v>
      </c>
      <c r="R16" s="751">
        <f t="shared" si="18"/>
        <v>-78.13774377014623</v>
      </c>
      <c r="S16" s="751">
        <f t="shared" si="18"/>
        <v>-80.838297271012962</v>
      </c>
      <c r="T16" s="751">
        <f t="shared" si="18"/>
        <v>-83.645086463664825</v>
      </c>
      <c r="U16" s="751">
        <f t="shared" si="18"/>
        <v>-86.516149371144792</v>
      </c>
      <c r="V16" s="751">
        <f t="shared" si="18"/>
        <v>-89.499878600944982</v>
      </c>
      <c r="W16" s="751">
        <f t="shared" si="18"/>
        <v>-92.584022070388471</v>
      </c>
      <c r="X16" s="751">
        <f t="shared" si="18"/>
        <v>-95.766676708321668</v>
      </c>
      <c r="Y16" s="751">
        <f t="shared" si="18"/>
        <v>-99.0596958687848</v>
      </c>
      <c r="Z16" s="751">
        <f t="shared" si="18"/>
        <v>-102.46239071566345</v>
      </c>
      <c r="AA16" s="751">
        <f t="shared" si="18"/>
        <v>-105.97804550293473</v>
      </c>
      <c r="AB16" s="751">
        <f t="shared" si="18"/>
        <v>-109.61172859954058</v>
      </c>
      <c r="AC16" s="751">
        <f t="shared" si="18"/>
        <v>-113.36618209017621</v>
      </c>
      <c r="AD16" s="751">
        <f t="shared" si="18"/>
        <v>-117.24532933310428</v>
      </c>
      <c r="AE16" s="751">
        <f t="shared" si="18"/>
        <v>-121.25331653616999</v>
      </c>
      <c r="AF16" s="766">
        <f>-$E$56*AF15</f>
        <v>-125.39397682503117</v>
      </c>
      <c r="AG16" s="412"/>
      <c r="AH16" s="7"/>
      <c r="AI16" s="7"/>
      <c r="AJ16" s="7"/>
      <c r="AK16" s="10"/>
      <c r="AL16" s="10"/>
      <c r="AM16" s="10"/>
      <c r="AN16" s="10"/>
    </row>
    <row r="17" spans="1:40" ht="15" thickBot="1">
      <c r="A17" s="1103"/>
      <c r="B17" s="595">
        <v>11</v>
      </c>
      <c r="C17" s="596" t="s">
        <v>445</v>
      </c>
      <c r="D17" s="606">
        <f>'Fin. Data'!D23</f>
        <v>-160.87</v>
      </c>
      <c r="E17" s="556">
        <f>'Fin. Data'!C23</f>
        <v>54.24</v>
      </c>
      <c r="F17" s="308">
        <f>'Fin. Data'!B23</f>
        <v>131.41999999999999</v>
      </c>
      <c r="G17" s="735">
        <f>G16+G15</f>
        <v>112.37117194087682</v>
      </c>
      <c r="H17" s="736">
        <f>H16+H15</f>
        <v>162.91019320393565</v>
      </c>
      <c r="I17" s="736">
        <f t="shared" ref="I17:AF17" si="19">I16+I15</f>
        <v>169.54058092742278</v>
      </c>
      <c r="J17" s="744">
        <f t="shared" si="19"/>
        <v>169.77828103500354</v>
      </c>
      <c r="K17" s="767">
        <f>K16+K15</f>
        <v>197.13537377032438</v>
      </c>
      <c r="L17" s="768">
        <f>L16+L15</f>
        <v>202.12937775501771</v>
      </c>
      <c r="M17" s="768">
        <f t="shared" si="19"/>
        <v>207.64340824633388</v>
      </c>
      <c r="N17" s="768">
        <f t="shared" si="19"/>
        <v>216.69666711437881</v>
      </c>
      <c r="O17" s="768">
        <f t="shared" si="19"/>
        <v>223.43314194582499</v>
      </c>
      <c r="P17" s="768">
        <f t="shared" si="19"/>
        <v>231.03198365005619</v>
      </c>
      <c r="Q17" s="768">
        <f t="shared" si="19"/>
        <v>239.3550735084774</v>
      </c>
      <c r="R17" s="768">
        <f t="shared" si="19"/>
        <v>247.43618860546303</v>
      </c>
      <c r="S17" s="768">
        <f t="shared" si="19"/>
        <v>255.98794135820776</v>
      </c>
      <c r="T17" s="768">
        <f t="shared" si="19"/>
        <v>264.87610713493865</v>
      </c>
      <c r="U17" s="768">
        <f t="shared" si="19"/>
        <v>273.96780634195852</v>
      </c>
      <c r="V17" s="768">
        <f t="shared" si="19"/>
        <v>283.41628223632574</v>
      </c>
      <c r="W17" s="768">
        <f t="shared" si="19"/>
        <v>293.18273655623017</v>
      </c>
      <c r="X17" s="768">
        <f t="shared" si="19"/>
        <v>303.2611429096853</v>
      </c>
      <c r="Y17" s="768">
        <f t="shared" si="19"/>
        <v>313.68903691781856</v>
      </c>
      <c r="Z17" s="768">
        <f t="shared" si="19"/>
        <v>324.46423726626762</v>
      </c>
      <c r="AA17" s="768">
        <f t="shared" si="19"/>
        <v>335.59714409262671</v>
      </c>
      <c r="AB17" s="768">
        <f t="shared" si="19"/>
        <v>347.10380723187853</v>
      </c>
      <c r="AC17" s="768">
        <f t="shared" si="19"/>
        <v>358.99290995222469</v>
      </c>
      <c r="AD17" s="768">
        <f t="shared" si="19"/>
        <v>371.27687622149693</v>
      </c>
      <c r="AE17" s="768">
        <f t="shared" si="19"/>
        <v>383.96883569787167</v>
      </c>
      <c r="AF17" s="769">
        <f t="shared" si="19"/>
        <v>397.08092661259872</v>
      </c>
      <c r="AG17" s="412"/>
      <c r="AH17" s="7"/>
      <c r="AI17" s="7"/>
      <c r="AJ17" s="7"/>
      <c r="AK17" s="10"/>
      <c r="AL17" s="10"/>
      <c r="AM17" s="10"/>
      <c r="AN17" s="10"/>
    </row>
    <row r="18" spans="1:40" ht="14.45">
      <c r="A18" s="250"/>
      <c r="B18" s="259"/>
      <c r="C18" s="260" t="s">
        <v>144</v>
      </c>
      <c r="D18" s="264" t="s">
        <v>144</v>
      </c>
      <c r="E18" s="264" t="s">
        <v>144</v>
      </c>
      <c r="F18" s="264" t="s">
        <v>144</v>
      </c>
      <c r="G18" s="261" t="s">
        <v>144</v>
      </c>
      <c r="H18" s="261" t="s">
        <v>144</v>
      </c>
      <c r="I18" s="261" t="s">
        <v>144</v>
      </c>
      <c r="J18" s="261" t="s">
        <v>144</v>
      </c>
      <c r="K18" s="696" t="s">
        <v>144</v>
      </c>
      <c r="L18" s="696" t="s">
        <v>144</v>
      </c>
      <c r="M18" s="261" t="s">
        <v>144</v>
      </c>
      <c r="N18" s="261" t="s">
        <v>144</v>
      </c>
      <c r="O18" s="261" t="s">
        <v>144</v>
      </c>
      <c r="P18" s="261" t="s">
        <v>144</v>
      </c>
      <c r="Q18" s="261" t="s">
        <v>144</v>
      </c>
      <c r="R18" s="261" t="s">
        <v>144</v>
      </c>
      <c r="S18" s="261" t="s">
        <v>144</v>
      </c>
      <c r="T18" s="261" t="s">
        <v>144</v>
      </c>
      <c r="U18" s="261" t="s">
        <v>144</v>
      </c>
      <c r="V18" s="261" t="s">
        <v>144</v>
      </c>
      <c r="W18" s="261" t="s">
        <v>144</v>
      </c>
      <c r="X18" s="261" t="s">
        <v>144</v>
      </c>
      <c r="Y18" s="261" t="s">
        <v>144</v>
      </c>
      <c r="Z18" s="261" t="s">
        <v>144</v>
      </c>
      <c r="AA18" s="261" t="s">
        <v>144</v>
      </c>
      <c r="AB18" s="261" t="s">
        <v>144</v>
      </c>
      <c r="AC18" s="261" t="s">
        <v>144</v>
      </c>
      <c r="AD18" s="261" t="s">
        <v>144</v>
      </c>
      <c r="AE18" s="261" t="s">
        <v>144</v>
      </c>
      <c r="AF18" s="269" t="s">
        <v>144</v>
      </c>
      <c r="AG18" s="412"/>
      <c r="AH18" s="7"/>
      <c r="AI18" s="7"/>
      <c r="AJ18" s="7"/>
      <c r="AK18" s="10"/>
      <c r="AL18" s="10"/>
      <c r="AM18" s="10"/>
      <c r="AN18" s="10"/>
    </row>
    <row r="19" spans="1:40" ht="14.45">
      <c r="A19" s="1104" t="s">
        <v>446</v>
      </c>
      <c r="B19" s="240">
        <v>12</v>
      </c>
      <c r="C19" s="382" t="s">
        <v>447</v>
      </c>
      <c r="D19" s="782">
        <v>318.89999999999998</v>
      </c>
      <c r="E19" s="783">
        <v>282.87</v>
      </c>
      <c r="F19" s="784">
        <v>443.95</v>
      </c>
      <c r="G19" s="775">
        <f>G17-G10-G9-G11</f>
        <v>281.91788444087683</v>
      </c>
      <c r="H19" s="698">
        <f t="shared" ref="H19:AF19" si="20">H17-H10-H9-H11</f>
        <v>341.57445382893565</v>
      </c>
      <c r="I19" s="698">
        <f t="shared" si="20"/>
        <v>357.76929833367279</v>
      </c>
      <c r="J19" s="707">
        <f t="shared" si="20"/>
        <v>368.04048509281608</v>
      </c>
      <c r="K19" s="712">
        <f>K17-K10-K9-K11</f>
        <v>402.44001848732444</v>
      </c>
      <c r="L19" s="320">
        <f>L17-L10-L9-L11</f>
        <v>414.6858046784223</v>
      </c>
      <c r="M19" s="698">
        <f t="shared" si="20"/>
        <v>427.66719087796253</v>
      </c>
      <c r="N19" s="698">
        <f t="shared" si="20"/>
        <v>444.40979666199644</v>
      </c>
      <c r="O19" s="698">
        <f t="shared" si="20"/>
        <v>459.06421861684237</v>
      </c>
      <c r="P19" s="698">
        <f t="shared" si="20"/>
        <v>474.81641365310463</v>
      </c>
      <c r="Q19" s="698">
        <f t="shared" si="20"/>
        <v>491.53527193332042</v>
      </c>
      <c r="R19" s="698">
        <f t="shared" si="20"/>
        <v>508.26178835680207</v>
      </c>
      <c r="S19" s="698">
        <f t="shared" si="20"/>
        <v>525.71600832418653</v>
      </c>
      <c r="T19" s="698">
        <f t="shared" si="20"/>
        <v>543.77136177655416</v>
      </c>
      <c r="U19" s="698">
        <f t="shared" si="20"/>
        <v>562.30285189515109</v>
      </c>
      <c r="V19" s="698">
        <f t="shared" si="20"/>
        <v>581.47183972425614</v>
      </c>
      <c r="W19" s="698">
        <f t="shared" si="20"/>
        <v>601.24788681514917</v>
      </c>
      <c r="X19" s="698">
        <f t="shared" si="20"/>
        <v>621.63357583788627</v>
      </c>
      <c r="Y19" s="698">
        <f t="shared" si="20"/>
        <v>642.67530816342298</v>
      </c>
      <c r="Z19" s="698">
        <f t="shared" si="20"/>
        <v>664.38003257604169</v>
      </c>
      <c r="AA19" s="698">
        <f t="shared" si="20"/>
        <v>686.76755155067053</v>
      </c>
      <c r="AB19" s="698">
        <f t="shared" si="20"/>
        <v>709.86359762386974</v>
      </c>
      <c r="AC19" s="698">
        <f t="shared" si="20"/>
        <v>733.68682549794187</v>
      </c>
      <c r="AD19" s="698">
        <f t="shared" si="20"/>
        <v>758.25992792560612</v>
      </c>
      <c r="AE19" s="698">
        <f t="shared" si="20"/>
        <v>783.60660957643017</v>
      </c>
      <c r="AF19" s="699">
        <f t="shared" si="20"/>
        <v>809.74989906042833</v>
      </c>
      <c r="AG19" s="412"/>
      <c r="AH19" s="7"/>
      <c r="AI19" s="7"/>
      <c r="AJ19" s="7"/>
      <c r="AK19" s="10"/>
      <c r="AL19" s="10"/>
      <c r="AM19" s="10"/>
      <c r="AN19" s="10"/>
    </row>
    <row r="20" spans="1:40" ht="14.45">
      <c r="A20" s="1105"/>
      <c r="B20" s="240">
        <v>13</v>
      </c>
      <c r="C20" s="257" t="s">
        <v>448</v>
      </c>
      <c r="D20" s="785">
        <f>D11</f>
        <v>-116.4</v>
      </c>
      <c r="E20" s="771">
        <f t="shared" ref="E20:F20" si="21">E11</f>
        <v>-122.6</v>
      </c>
      <c r="F20" s="786">
        <f t="shared" si="21"/>
        <v>-143.22</v>
      </c>
      <c r="G20" s="776">
        <f>G11</f>
        <v>-134.10599999999999</v>
      </c>
      <c r="H20" s="697">
        <f>H11</f>
        <v>-140.81129999999999</v>
      </c>
      <c r="I20" s="697">
        <f t="shared" ref="I20:AF20" si="22">I11</f>
        <v>-147.851865</v>
      </c>
      <c r="J20" s="708">
        <f t="shared" si="22"/>
        <v>-155.24445825000001</v>
      </c>
      <c r="K20" s="713">
        <f>K11</f>
        <v>-159.90179199750003</v>
      </c>
      <c r="L20" s="319">
        <f>L11</f>
        <v>-164.69884575742503</v>
      </c>
      <c r="M20" s="697">
        <f t="shared" si="22"/>
        <v>-169.63981113014779</v>
      </c>
      <c r="N20" s="697">
        <f t="shared" si="22"/>
        <v>-174.72900546405222</v>
      </c>
      <c r="O20" s="697">
        <f t="shared" si="22"/>
        <v>-179.97087562797381</v>
      </c>
      <c r="P20" s="697">
        <f t="shared" si="22"/>
        <v>-185.37000189681302</v>
      </c>
      <c r="Q20" s="697">
        <f t="shared" si="22"/>
        <v>-190.93110195371742</v>
      </c>
      <c r="R20" s="697">
        <f t="shared" si="22"/>
        <v>-196.65903501232893</v>
      </c>
      <c r="S20" s="697">
        <f t="shared" si="22"/>
        <v>-202.55880606269881</v>
      </c>
      <c r="T20" s="697">
        <f t="shared" si="22"/>
        <v>-208.63557024457975</v>
      </c>
      <c r="U20" s="697">
        <f t="shared" si="22"/>
        <v>-214.89463735191717</v>
      </c>
      <c r="V20" s="697">
        <f t="shared" si="22"/>
        <v>-221.34147647247468</v>
      </c>
      <c r="W20" s="697">
        <f t="shared" si="22"/>
        <v>-227.98172076664892</v>
      </c>
      <c r="X20" s="697">
        <f t="shared" si="22"/>
        <v>-234.82117238964841</v>
      </c>
      <c r="Y20" s="697">
        <f t="shared" si="22"/>
        <v>-241.86580756133785</v>
      </c>
      <c r="Z20" s="697">
        <f t="shared" si="22"/>
        <v>-249.121781788178</v>
      </c>
      <c r="AA20" s="697">
        <f t="shared" si="22"/>
        <v>-256.5954352418234</v>
      </c>
      <c r="AB20" s="697">
        <f t="shared" si="22"/>
        <v>-264.29329829907806</v>
      </c>
      <c r="AC20" s="697">
        <f t="shared" si="22"/>
        <v>-272.22209724805043</v>
      </c>
      <c r="AD20" s="697">
        <f t="shared" si="22"/>
        <v>-280.38876016549193</v>
      </c>
      <c r="AE20" s="697">
        <f t="shared" si="22"/>
        <v>-288.80042297045668</v>
      </c>
      <c r="AF20" s="700">
        <f t="shared" si="22"/>
        <v>-297.46443565957037</v>
      </c>
      <c r="AG20" s="412"/>
      <c r="AH20" s="7"/>
      <c r="AI20" s="7"/>
      <c r="AJ20" s="7"/>
      <c r="AK20" s="10"/>
      <c r="AL20" s="10"/>
      <c r="AM20" s="10"/>
      <c r="AN20" s="10"/>
    </row>
    <row r="21" spans="1:40" ht="14.45">
      <c r="A21" s="1105"/>
      <c r="B21" s="240">
        <v>14</v>
      </c>
      <c r="C21" s="257" t="s">
        <v>449</v>
      </c>
      <c r="D21" s="787">
        <f>Inputs!D62</f>
        <v>24</v>
      </c>
      <c r="E21" s="772">
        <f>Inputs!C62</f>
        <v>-40</v>
      </c>
      <c r="F21" s="788">
        <f>Inputs!B62</f>
        <v>-22</v>
      </c>
      <c r="G21" s="777">
        <f t="shared" ref="G21:J21" si="23">$D$60*(G6-F6)</f>
        <v>-8.7549999999999955</v>
      </c>
      <c r="H21" s="395">
        <f t="shared" si="23"/>
        <v>-5.587750000000006</v>
      </c>
      <c r="I21" s="395">
        <f t="shared" si="23"/>
        <v>-5.8671375000000126</v>
      </c>
      <c r="J21" s="709">
        <f t="shared" si="23"/>
        <v>-6.1604943750000078</v>
      </c>
      <c r="K21" s="310">
        <f>$E$60*(K6-J6)</f>
        <v>62.097783300000089</v>
      </c>
      <c r="L21" s="309">
        <f>$E$60*(L6-K6)</f>
        <v>63.960716799000153</v>
      </c>
      <c r="M21" s="309">
        <f t="shared" ref="M21:AF21" si="24">$E$60*(M6-L6)</f>
        <v>65.879538302970104</v>
      </c>
      <c r="N21" s="309">
        <f t="shared" si="24"/>
        <v>67.855924452059114</v>
      </c>
      <c r="O21" s="309">
        <f t="shared" si="24"/>
        <v>69.891602185621011</v>
      </c>
      <c r="P21" s="309">
        <f t="shared" si="24"/>
        <v>71.988350251189701</v>
      </c>
      <c r="Q21" s="309">
        <f t="shared" si="24"/>
        <v>74.148000758725175</v>
      </c>
      <c r="R21" s="309">
        <f t="shared" si="24"/>
        <v>76.372440781486873</v>
      </c>
      <c r="S21" s="309">
        <f t="shared" si="24"/>
        <v>78.663614004931517</v>
      </c>
      <c r="T21" s="309">
        <f t="shared" si="24"/>
        <v>81.023522425079506</v>
      </c>
      <c r="U21" s="309">
        <f t="shared" si="24"/>
        <v>83.454228097831958</v>
      </c>
      <c r="V21" s="309">
        <f t="shared" si="24"/>
        <v>85.957854940766993</v>
      </c>
      <c r="W21" s="309">
        <f t="shared" si="24"/>
        <v>88.536590588989938</v>
      </c>
      <c r="X21" s="309">
        <f t="shared" si="24"/>
        <v>91.192688306659704</v>
      </c>
      <c r="Y21" s="309">
        <f t="shared" si="24"/>
        <v>93.928468955859358</v>
      </c>
      <c r="Z21" s="309">
        <f t="shared" si="24"/>
        <v>96.746323024535386</v>
      </c>
      <c r="AA21" s="309">
        <f t="shared" si="24"/>
        <v>99.648712715271543</v>
      </c>
      <c r="AB21" s="309">
        <f t="shared" si="24"/>
        <v>102.6381740967292</v>
      </c>
      <c r="AC21" s="309">
        <f t="shared" si="24"/>
        <v>105.7173193196315</v>
      </c>
      <c r="AD21" s="309">
        <f t="shared" si="24"/>
        <v>108.88883889921999</v>
      </c>
      <c r="AE21" s="309">
        <f t="shared" si="24"/>
        <v>112.1555040661966</v>
      </c>
      <c r="AF21" s="702">
        <f t="shared" si="24"/>
        <v>115.52016918818263</v>
      </c>
      <c r="AG21" s="412"/>
      <c r="AH21" s="7"/>
      <c r="AI21" s="7"/>
      <c r="AJ21" s="7"/>
      <c r="AK21" s="10"/>
      <c r="AL21" s="10"/>
      <c r="AM21" s="10"/>
      <c r="AN21" s="10"/>
    </row>
    <row r="22" spans="1:40" ht="14.45">
      <c r="A22" s="1105"/>
      <c r="B22" s="240">
        <v>15</v>
      </c>
      <c r="C22" s="262" t="s">
        <v>450</v>
      </c>
      <c r="D22" s="789">
        <f t="shared" ref="D22:AF22" si="25">D19+D20+D21</f>
        <v>226.49999999999997</v>
      </c>
      <c r="E22" s="773">
        <f t="shared" si="25"/>
        <v>120.27000000000001</v>
      </c>
      <c r="F22" s="790">
        <f t="shared" si="25"/>
        <v>278.73</v>
      </c>
      <c r="G22" s="778">
        <f>G19+G20+G21</f>
        <v>139.05688444087684</v>
      </c>
      <c r="H22" s="311">
        <f t="shared" si="25"/>
        <v>195.17540382893566</v>
      </c>
      <c r="I22" s="311">
        <f t="shared" si="25"/>
        <v>204.05029583367278</v>
      </c>
      <c r="J22" s="380">
        <f t="shared" si="25"/>
        <v>206.63553246781606</v>
      </c>
      <c r="K22" s="312">
        <f>K19+K20+K21</f>
        <v>304.63600978982447</v>
      </c>
      <c r="L22" s="311">
        <f>L19+L20+L21</f>
        <v>313.94767571999739</v>
      </c>
      <c r="M22" s="311">
        <f t="shared" si="25"/>
        <v>323.90691805078484</v>
      </c>
      <c r="N22" s="311">
        <f t="shared" si="25"/>
        <v>337.53671565000337</v>
      </c>
      <c r="O22" s="311">
        <f t="shared" si="25"/>
        <v>348.98494517448961</v>
      </c>
      <c r="P22" s="311">
        <f t="shared" si="25"/>
        <v>361.43476200748125</v>
      </c>
      <c r="Q22" s="311">
        <f t="shared" si="25"/>
        <v>374.75217073832818</v>
      </c>
      <c r="R22" s="311">
        <f t="shared" si="25"/>
        <v>387.97519412596006</v>
      </c>
      <c r="S22" s="311">
        <f t="shared" si="25"/>
        <v>401.82081626641923</v>
      </c>
      <c r="T22" s="311">
        <f t="shared" si="25"/>
        <v>416.15931395705388</v>
      </c>
      <c r="U22" s="311">
        <f t="shared" si="25"/>
        <v>430.86244264106591</v>
      </c>
      <c r="V22" s="311">
        <f t="shared" si="25"/>
        <v>446.08821819254842</v>
      </c>
      <c r="W22" s="311">
        <f t="shared" si="25"/>
        <v>461.80275663749023</v>
      </c>
      <c r="X22" s="311">
        <f t="shared" si="25"/>
        <v>478.00509175489759</v>
      </c>
      <c r="Y22" s="311">
        <f t="shared" si="25"/>
        <v>494.73796955794444</v>
      </c>
      <c r="Z22" s="311">
        <f t="shared" si="25"/>
        <v>512.00457381239903</v>
      </c>
      <c r="AA22" s="311">
        <f t="shared" si="25"/>
        <v>529.82082902411867</v>
      </c>
      <c r="AB22" s="311">
        <f t="shared" si="25"/>
        <v>548.20847342152092</v>
      </c>
      <c r="AC22" s="311">
        <f t="shared" si="25"/>
        <v>567.18204756952298</v>
      </c>
      <c r="AD22" s="311">
        <f t="shared" si="25"/>
        <v>586.76000665933418</v>
      </c>
      <c r="AE22" s="311">
        <f t="shared" si="25"/>
        <v>606.96169067217011</v>
      </c>
      <c r="AF22" s="701">
        <f t="shared" si="25"/>
        <v>627.80563258904056</v>
      </c>
      <c r="AG22" s="412"/>
      <c r="AH22" s="7"/>
      <c r="AI22" s="7"/>
      <c r="AJ22" s="7"/>
      <c r="AK22" s="10"/>
      <c r="AL22" s="10"/>
      <c r="AM22" s="10"/>
      <c r="AN22" s="10"/>
    </row>
    <row r="23" spans="1:40" ht="14.45">
      <c r="A23" s="1105"/>
      <c r="B23" s="240">
        <v>16</v>
      </c>
      <c r="C23" s="257" t="s">
        <v>451</v>
      </c>
      <c r="D23" s="791">
        <f>'Fin. Data'!D32</f>
        <v>-89.7</v>
      </c>
      <c r="E23" s="774">
        <f>'Fin. Data'!C32</f>
        <v>-51.519999999999996</v>
      </c>
      <c r="F23" s="792">
        <f>'Fin. Data'!B32</f>
        <v>-61.46</v>
      </c>
      <c r="G23" s="779">
        <f>G6*$D$62</f>
        <v>-78.228500000000011</v>
      </c>
      <c r="H23" s="309">
        <f t="shared" ref="H23:J23" si="26">H6*$D$62</f>
        <v>-82.139925000000005</v>
      </c>
      <c r="I23" s="309">
        <f t="shared" si="26"/>
        <v>-86.246921250000014</v>
      </c>
      <c r="J23" s="381">
        <f t="shared" si="26"/>
        <v>-90.559267312500026</v>
      </c>
      <c r="K23" s="310">
        <f>K6*$E$62</f>
        <v>-79.950895998750013</v>
      </c>
      <c r="L23" s="309">
        <f>L6*$E$62</f>
        <v>-82.349422878712517</v>
      </c>
      <c r="M23" s="309">
        <f t="shared" ref="M23:AF23" si="27">M6*$E$62</f>
        <v>-84.819905565073896</v>
      </c>
      <c r="N23" s="309">
        <f t="shared" si="27"/>
        <v>-87.364502732026111</v>
      </c>
      <c r="O23" s="309">
        <f t="shared" si="27"/>
        <v>-89.985437813986906</v>
      </c>
      <c r="P23" s="309">
        <f t="shared" si="27"/>
        <v>-92.685000948406511</v>
      </c>
      <c r="Q23" s="309">
        <f t="shared" si="27"/>
        <v>-95.465550976858708</v>
      </c>
      <c r="R23" s="309">
        <f t="shared" si="27"/>
        <v>-98.329517506164464</v>
      </c>
      <c r="S23" s="309">
        <f t="shared" si="27"/>
        <v>-101.2794030313494</v>
      </c>
      <c r="T23" s="309">
        <f t="shared" si="27"/>
        <v>-104.31778512228988</v>
      </c>
      <c r="U23" s="309">
        <f t="shared" si="27"/>
        <v>-107.44731867595858</v>
      </c>
      <c r="V23" s="309">
        <f t="shared" si="27"/>
        <v>-110.67073823623734</v>
      </c>
      <c r="W23" s="309">
        <f t="shared" si="27"/>
        <v>-113.99086038332446</v>
      </c>
      <c r="X23" s="309">
        <f t="shared" si="27"/>
        <v>-117.41058619482421</v>
      </c>
      <c r="Y23" s="309">
        <f t="shared" si="27"/>
        <v>-120.93290378066892</v>
      </c>
      <c r="Z23" s="309">
        <f t="shared" si="27"/>
        <v>-124.560890894089</v>
      </c>
      <c r="AA23" s="309">
        <f t="shared" si="27"/>
        <v>-128.2977176209117</v>
      </c>
      <c r="AB23" s="309">
        <f t="shared" si="27"/>
        <v>-132.14664914953903</v>
      </c>
      <c r="AC23" s="309">
        <f t="shared" si="27"/>
        <v>-136.11104862402522</v>
      </c>
      <c r="AD23" s="309">
        <f t="shared" si="27"/>
        <v>-140.19438008274597</v>
      </c>
      <c r="AE23" s="309">
        <f t="shared" si="27"/>
        <v>-144.40021148522834</v>
      </c>
      <c r="AF23" s="702">
        <f t="shared" si="27"/>
        <v>-148.73221782978518</v>
      </c>
      <c r="AG23" s="413">
        <f>SUM(D23:AF23)</f>
        <v>-2981.2975590934561</v>
      </c>
      <c r="AH23" s="7"/>
      <c r="AI23" s="7"/>
      <c r="AJ23" s="7"/>
      <c r="AK23" s="10"/>
      <c r="AL23" s="10"/>
      <c r="AM23" s="10"/>
      <c r="AN23" s="10"/>
    </row>
    <row r="24" spans="1:40" ht="14.45">
      <c r="A24" s="1105"/>
      <c r="B24" s="240">
        <v>17</v>
      </c>
      <c r="C24" s="257" t="s">
        <v>452</v>
      </c>
      <c r="D24" s="787">
        <f>Inputs!D66</f>
        <v>-7.3000000000000007</v>
      </c>
      <c r="E24" s="772">
        <f>'Fin. Data'!C33</f>
        <v>-8.48</v>
      </c>
      <c r="F24" s="788">
        <f>'Fin. Data'!B33</f>
        <v>85.460000000000008</v>
      </c>
      <c r="G24" s="779">
        <f>G6*$D$63</f>
        <v>-33.526499999999999</v>
      </c>
      <c r="H24" s="309">
        <f t="shared" ref="H24:J24" si="28">H6*$D$63</f>
        <v>-35.202824999999997</v>
      </c>
      <c r="I24" s="309">
        <f t="shared" si="28"/>
        <v>-36.962966250000001</v>
      </c>
      <c r="J24" s="381">
        <f t="shared" si="28"/>
        <v>-38.811114562500002</v>
      </c>
      <c r="K24" s="310">
        <f>K6*$E$63</f>
        <v>-106.60119466500002</v>
      </c>
      <c r="L24" s="309">
        <f>L6*$E$63</f>
        <v>-109.79923050495003</v>
      </c>
      <c r="M24" s="309">
        <f t="shared" ref="M24:AF24" si="29">M6*$E$63</f>
        <v>-113.09320742009854</v>
      </c>
      <c r="N24" s="309">
        <f t="shared" si="29"/>
        <v>-116.48600364270149</v>
      </c>
      <c r="O24" s="309">
        <f t="shared" si="29"/>
        <v>-119.98058375198254</v>
      </c>
      <c r="P24" s="309">
        <f t="shared" si="29"/>
        <v>-123.58000126454203</v>
      </c>
      <c r="Q24" s="309">
        <f t="shared" si="29"/>
        <v>-127.28740130247829</v>
      </c>
      <c r="R24" s="309">
        <f t="shared" si="29"/>
        <v>-131.10602334155263</v>
      </c>
      <c r="S24" s="309">
        <f t="shared" si="29"/>
        <v>-135.0392040417992</v>
      </c>
      <c r="T24" s="309">
        <f t="shared" si="29"/>
        <v>-139.09038016305317</v>
      </c>
      <c r="U24" s="309">
        <f t="shared" si="29"/>
        <v>-143.26309156794477</v>
      </c>
      <c r="V24" s="309">
        <f t="shared" si="29"/>
        <v>-147.56098431498313</v>
      </c>
      <c r="W24" s="309">
        <f t="shared" si="29"/>
        <v>-151.98781384443262</v>
      </c>
      <c r="X24" s="309">
        <f t="shared" si="29"/>
        <v>-156.54744825976562</v>
      </c>
      <c r="Y24" s="309">
        <f t="shared" si="29"/>
        <v>-161.24387170755858</v>
      </c>
      <c r="Z24" s="309">
        <f t="shared" si="29"/>
        <v>-166.08118785878534</v>
      </c>
      <c r="AA24" s="309">
        <f t="shared" si="29"/>
        <v>-171.06362349454892</v>
      </c>
      <c r="AB24" s="309">
        <f t="shared" si="29"/>
        <v>-176.19553219938538</v>
      </c>
      <c r="AC24" s="309">
        <f t="shared" si="29"/>
        <v>-181.48139816536695</v>
      </c>
      <c r="AD24" s="309">
        <f t="shared" si="29"/>
        <v>-186.92584011032795</v>
      </c>
      <c r="AE24" s="309">
        <f t="shared" si="29"/>
        <v>-192.5336153136378</v>
      </c>
      <c r="AF24" s="702">
        <f t="shared" si="29"/>
        <v>-198.30962377304692</v>
      </c>
      <c r="AG24" s="412"/>
      <c r="AH24" s="414">
        <f>AG9-AG23</f>
        <v>2927.4999111226816</v>
      </c>
      <c r="AI24" s="7"/>
      <c r="AJ24" s="7"/>
      <c r="AK24" s="10"/>
      <c r="AL24" s="10"/>
      <c r="AM24" s="10"/>
      <c r="AN24" s="10"/>
    </row>
    <row r="25" spans="1:40" ht="14.45">
      <c r="A25" s="1105"/>
      <c r="B25" s="240">
        <v>18</v>
      </c>
      <c r="C25" s="257" t="s">
        <v>453</v>
      </c>
      <c r="D25" s="787">
        <f>Inputs!D67</f>
        <v>0</v>
      </c>
      <c r="E25" s="772">
        <f>Inputs!C67</f>
        <v>-0.40000000000000213</v>
      </c>
      <c r="F25" s="788">
        <f>Inputs!B67</f>
        <v>-0.44000000000001194</v>
      </c>
      <c r="G25" s="779">
        <f>(1+G5)*AVERAGE(D25:F25)</f>
        <v>-0.30380000000000507</v>
      </c>
      <c r="H25" s="309">
        <f t="shared" ref="H25:AF25" si="30">(1+H5)*AVERAGE(E25:G25)</f>
        <v>-0.40033000000000674</v>
      </c>
      <c r="I25" s="309">
        <f t="shared" si="30"/>
        <v>-0.40044550000000828</v>
      </c>
      <c r="J25" s="381">
        <f t="shared" si="30"/>
        <v>-0.38660142500000705</v>
      </c>
      <c r="K25" s="310">
        <f>(1+K5)*AVERAGE(H25:J25)</f>
        <v>-0.40766607758334084</v>
      </c>
      <c r="L25" s="309">
        <f>(1+L5)*AVERAGE(I25:K25)</f>
        <v>-0.41018479755361903</v>
      </c>
      <c r="M25" s="309">
        <f t="shared" si="30"/>
        <v>-0.41352862304702531</v>
      </c>
      <c r="N25" s="309">
        <f t="shared" si="30"/>
        <v>-0.42277362770983495</v>
      </c>
      <c r="O25" s="309">
        <f t="shared" si="30"/>
        <v>-0.42796055325326454</v>
      </c>
      <c r="P25" s="309">
        <f t="shared" si="30"/>
        <v>-0.43406356271014279</v>
      </c>
      <c r="Q25" s="309">
        <f t="shared" si="30"/>
        <v>-0.44111389199447987</v>
      </c>
      <c r="R25" s="309">
        <f t="shared" si="30"/>
        <v>-0.44741071606554128</v>
      </c>
      <c r="S25" s="309">
        <f t="shared" si="30"/>
        <v>-0.4540886052977563</v>
      </c>
      <c r="T25" s="309">
        <f t="shared" si="30"/>
        <v>-0.46096386991950355</v>
      </c>
      <c r="U25" s="309">
        <f t="shared" si="30"/>
        <v>-0.46777902900709506</v>
      </c>
      <c r="V25" s="309">
        <f t="shared" si="30"/>
        <v>-0.4747721497836952</v>
      </c>
      <c r="W25" s="309">
        <f t="shared" si="30"/>
        <v>-0.48187350005720092</v>
      </c>
      <c r="X25" s="309">
        <f t="shared" si="30"/>
        <v>-0.48905247307114369</v>
      </c>
      <c r="Y25" s="309">
        <f t="shared" si="30"/>
        <v>-0.49635635553313368</v>
      </c>
      <c r="Z25" s="309">
        <f t="shared" si="30"/>
        <v>-0.50376693284044094</v>
      </c>
      <c r="AA25" s="309">
        <f t="shared" si="30"/>
        <v>-0.51128367809601993</v>
      </c>
      <c r="AB25" s="309">
        <f t="shared" si="30"/>
        <v>-0.51891639182122751</v>
      </c>
      <c r="AC25" s="309">
        <f t="shared" si="30"/>
        <v>-0.52666200428013965</v>
      </c>
      <c r="AD25" s="309">
        <f t="shared" si="30"/>
        <v>-0.53452264547443618</v>
      </c>
      <c r="AE25" s="309">
        <f t="shared" si="30"/>
        <v>-0.54250135760769247</v>
      </c>
      <c r="AF25" s="702">
        <f t="shared" si="30"/>
        <v>-0.55059886252771217</v>
      </c>
      <c r="AG25" s="293"/>
      <c r="AH25" s="7"/>
      <c r="AI25" s="7"/>
      <c r="AJ25" s="7"/>
      <c r="AK25" s="10"/>
      <c r="AL25" s="10"/>
      <c r="AM25" s="10"/>
      <c r="AN25" s="10"/>
    </row>
    <row r="26" spans="1:40" ht="14.45">
      <c r="A26" s="1105"/>
      <c r="B26" s="240">
        <v>19</v>
      </c>
      <c r="C26" s="262" t="s">
        <v>454</v>
      </c>
      <c r="D26" s="789">
        <f t="shared" ref="D26:AF26" si="31">D23+D24+D25</f>
        <v>-97</v>
      </c>
      <c r="E26" s="773">
        <f t="shared" si="31"/>
        <v>-60.400000000000006</v>
      </c>
      <c r="F26" s="790">
        <f t="shared" si="31"/>
        <v>23.559999999999995</v>
      </c>
      <c r="G26" s="778">
        <f>G23+G24+G25</f>
        <v>-112.05880000000002</v>
      </c>
      <c r="H26" s="311">
        <f t="shared" si="31"/>
        <v>-117.74308000000001</v>
      </c>
      <c r="I26" s="311">
        <f t="shared" si="31"/>
        <v>-123.61033300000001</v>
      </c>
      <c r="J26" s="380">
        <f t="shared" si="31"/>
        <v>-129.75698330000003</v>
      </c>
      <c r="K26" s="312">
        <f>K23+K24+K25</f>
        <v>-186.95975674133339</v>
      </c>
      <c r="L26" s="311">
        <f>L23+L24+L25</f>
        <v>-192.55883818121617</v>
      </c>
      <c r="M26" s="311">
        <f t="shared" si="31"/>
        <v>-198.32664160821946</v>
      </c>
      <c r="N26" s="311">
        <f t="shared" si="31"/>
        <v>-204.27328000243745</v>
      </c>
      <c r="O26" s="311">
        <f t="shared" si="31"/>
        <v>-210.3939821192227</v>
      </c>
      <c r="P26" s="311">
        <f t="shared" si="31"/>
        <v>-216.69906577565871</v>
      </c>
      <c r="Q26" s="311">
        <f t="shared" si="31"/>
        <v>-223.19406617133149</v>
      </c>
      <c r="R26" s="311">
        <f t="shared" si="31"/>
        <v>-229.88295156378265</v>
      </c>
      <c r="S26" s="311">
        <f t="shared" si="31"/>
        <v>-236.77269567844635</v>
      </c>
      <c r="T26" s="311">
        <f t="shared" si="31"/>
        <v>-243.86912915526256</v>
      </c>
      <c r="U26" s="311">
        <f t="shared" si="31"/>
        <v>-251.17818927291046</v>
      </c>
      <c r="V26" s="311">
        <f t="shared" si="31"/>
        <v>-258.70649470100415</v>
      </c>
      <c r="W26" s="311">
        <f t="shared" si="31"/>
        <v>-266.46054772781429</v>
      </c>
      <c r="X26" s="311">
        <f t="shared" si="31"/>
        <v>-274.44708692766096</v>
      </c>
      <c r="Y26" s="311">
        <f t="shared" si="31"/>
        <v>-282.67313184376064</v>
      </c>
      <c r="Z26" s="311">
        <f t="shared" si="31"/>
        <v>-291.14584568571479</v>
      </c>
      <c r="AA26" s="311">
        <f t="shared" si="31"/>
        <v>-299.87262479355661</v>
      </c>
      <c r="AB26" s="311">
        <f t="shared" si="31"/>
        <v>-308.86109774074566</v>
      </c>
      <c r="AC26" s="311">
        <f t="shared" si="31"/>
        <v>-318.1191087936723</v>
      </c>
      <c r="AD26" s="311">
        <f t="shared" si="31"/>
        <v>-327.65474283854837</v>
      </c>
      <c r="AE26" s="311">
        <f t="shared" si="31"/>
        <v>-337.47632815647381</v>
      </c>
      <c r="AF26" s="701">
        <f t="shared" si="31"/>
        <v>-347.5924404653598</v>
      </c>
      <c r="AG26" s="412"/>
      <c r="AH26" s="7"/>
      <c r="AI26" s="7"/>
      <c r="AJ26" s="7"/>
      <c r="AK26" s="10"/>
      <c r="AL26" s="10"/>
      <c r="AM26" s="10"/>
      <c r="AN26" s="10"/>
    </row>
    <row r="27" spans="1:40" ht="14.45">
      <c r="A27" s="1105"/>
      <c r="B27" s="240">
        <v>20</v>
      </c>
      <c r="C27" s="257" t="s">
        <v>455</v>
      </c>
      <c r="D27" s="787">
        <f>Inputs!D71+Inputs!D72</f>
        <v>0</v>
      </c>
      <c r="E27" s="772">
        <f>Inputs!C71+Inputs!C72</f>
        <v>0</v>
      </c>
      <c r="F27" s="792">
        <f>Inputs!B71+Inputs!B72</f>
        <v>0</v>
      </c>
      <c r="G27" s="780">
        <f>G6*$D$66</f>
        <v>145.28149999999999</v>
      </c>
      <c r="H27" s="689">
        <f t="shared" ref="H27:J27" si="32">H6*$D$66</f>
        <v>152.54557500000001</v>
      </c>
      <c r="I27" s="689">
        <f t="shared" si="32"/>
        <v>160.17285375000003</v>
      </c>
      <c r="J27" s="710">
        <f t="shared" si="32"/>
        <v>168.18149643750004</v>
      </c>
      <c r="K27" s="713">
        <f>$E$66*K6</f>
        <v>79.950895998750013</v>
      </c>
      <c r="L27" s="319">
        <f>$E$66*L6</f>
        <v>82.349422878712517</v>
      </c>
      <c r="M27" s="689">
        <f t="shared" ref="M27:AE27" si="33">$E$66*M6</f>
        <v>84.819905565073896</v>
      </c>
      <c r="N27" s="689">
        <f t="shared" si="33"/>
        <v>87.364502732026111</v>
      </c>
      <c r="O27" s="689">
        <f t="shared" si="33"/>
        <v>89.985437813986906</v>
      </c>
      <c r="P27" s="689">
        <f t="shared" si="33"/>
        <v>92.685000948406511</v>
      </c>
      <c r="Q27" s="689">
        <f t="shared" si="33"/>
        <v>95.465550976858708</v>
      </c>
      <c r="R27" s="689">
        <f t="shared" si="33"/>
        <v>98.329517506164464</v>
      </c>
      <c r="S27" s="689">
        <f t="shared" si="33"/>
        <v>101.2794030313494</v>
      </c>
      <c r="T27" s="689">
        <f t="shared" si="33"/>
        <v>104.31778512228988</v>
      </c>
      <c r="U27" s="689">
        <f t="shared" si="33"/>
        <v>107.44731867595858</v>
      </c>
      <c r="V27" s="689">
        <f t="shared" si="33"/>
        <v>110.67073823623734</v>
      </c>
      <c r="W27" s="689">
        <f t="shared" si="33"/>
        <v>113.99086038332446</v>
      </c>
      <c r="X27" s="689">
        <f t="shared" si="33"/>
        <v>117.41058619482421</v>
      </c>
      <c r="Y27" s="689">
        <f t="shared" si="33"/>
        <v>120.93290378066892</v>
      </c>
      <c r="Z27" s="689">
        <f t="shared" si="33"/>
        <v>124.560890894089</v>
      </c>
      <c r="AA27" s="689">
        <f t="shared" si="33"/>
        <v>128.2977176209117</v>
      </c>
      <c r="AB27" s="689">
        <f t="shared" si="33"/>
        <v>132.14664914953903</v>
      </c>
      <c r="AC27" s="689">
        <f t="shared" si="33"/>
        <v>136.11104862402522</v>
      </c>
      <c r="AD27" s="689">
        <f t="shared" si="33"/>
        <v>140.19438008274597</v>
      </c>
      <c r="AE27" s="689">
        <f t="shared" si="33"/>
        <v>144.40021148522834</v>
      </c>
      <c r="AF27" s="703">
        <f>$E$66*AF6</f>
        <v>148.73221782978518</v>
      </c>
      <c r="AG27" s="412"/>
      <c r="AH27" s="7"/>
      <c r="AI27" s="7"/>
      <c r="AJ27" s="7"/>
      <c r="AK27" s="10"/>
      <c r="AL27" s="10"/>
      <c r="AM27" s="10"/>
      <c r="AN27" s="10"/>
    </row>
    <row r="28" spans="1:40" ht="14.45">
      <c r="A28" s="1105"/>
      <c r="B28" s="240">
        <v>21</v>
      </c>
      <c r="C28" s="257" t="s">
        <v>456</v>
      </c>
      <c r="D28" s="791">
        <f>+SUM(Inputs!D69:D70)</f>
        <v>-168</v>
      </c>
      <c r="E28" s="772">
        <f>+SUM(Inputs!C69:C70)</f>
        <v>-301</v>
      </c>
      <c r="F28" s="788">
        <f>+SUM(Inputs!B69:B70)</f>
        <v>-246</v>
      </c>
      <c r="G28" s="779">
        <f>G44-F44</f>
        <v>-186.75960499999997</v>
      </c>
      <c r="H28" s="309">
        <f>H44-G44</f>
        <v>47.433114749999959</v>
      </c>
      <c r="I28" s="309">
        <f>I44-H44</f>
        <v>49.779657987500173</v>
      </c>
      <c r="J28" s="381">
        <f t="shared" ref="J28:AF28" si="34">J44-I44</f>
        <v>52.242900574374858</v>
      </c>
      <c r="K28" s="310">
        <f>K44-J44</f>
        <v>-15.998483194374785</v>
      </c>
      <c r="L28" s="309">
        <f>L44-K44</f>
        <v>34.119634715761322</v>
      </c>
      <c r="M28" s="309">
        <f t="shared" si="34"/>
        <v>35.138273846303036</v>
      </c>
      <c r="N28" s="309">
        <f t="shared" si="34"/>
        <v>36.187348402987027</v>
      </c>
      <c r="O28" s="309">
        <f t="shared" si="34"/>
        <v>37.267768354904547</v>
      </c>
      <c r="P28" s="309">
        <f t="shared" si="34"/>
        <v>38.38047089287511</v>
      </c>
      <c r="Q28" s="309">
        <f t="shared" si="34"/>
        <v>39.526421244167977</v>
      </c>
      <c r="R28" s="309">
        <f t="shared" si="34"/>
        <v>40.706613511611749</v>
      </c>
      <c r="S28" s="309">
        <f t="shared" si="34"/>
        <v>41.92207153783238</v>
      </c>
      <c r="T28" s="309">
        <f t="shared" si="34"/>
        <v>43.173849795361093</v>
      </c>
      <c r="U28" s="309">
        <f t="shared" si="34"/>
        <v>44.463034303400946</v>
      </c>
      <c r="V28" s="309">
        <f t="shared" si="34"/>
        <v>45.79074357203649</v>
      </c>
      <c r="W28" s="309">
        <f t="shared" si="34"/>
        <v>47.158129574718714</v>
      </c>
      <c r="X28" s="309">
        <f t="shared" si="34"/>
        <v>48.56637874987041</v>
      </c>
      <c r="Y28" s="309">
        <f t="shared" si="34"/>
        <v>50.016713032473263</v>
      </c>
      <c r="Z28" s="309">
        <f t="shared" si="34"/>
        <v>51.510390916557981</v>
      </c>
      <c r="AA28" s="309">
        <f t="shared" si="34"/>
        <v>53.048708549491948</v>
      </c>
      <c r="AB28" s="309">
        <f t="shared" si="34"/>
        <v>54.633000859050753</v>
      </c>
      <c r="AC28" s="309">
        <f t="shared" si="34"/>
        <v>56.264642714223328</v>
      </c>
      <c r="AD28" s="309">
        <f t="shared" si="34"/>
        <v>57.945050120784799</v>
      </c>
      <c r="AE28" s="309">
        <f t="shared" si="34"/>
        <v>59.675681452672507</v>
      </c>
      <c r="AF28" s="702">
        <f t="shared" si="34"/>
        <v>61.458038720223158</v>
      </c>
      <c r="AG28" s="412"/>
      <c r="AH28" s="7"/>
      <c r="AI28" s="7"/>
      <c r="AJ28" s="7"/>
      <c r="AK28" s="10"/>
      <c r="AL28" s="10"/>
      <c r="AM28" s="10"/>
      <c r="AN28" s="10"/>
    </row>
    <row r="29" spans="1:40" ht="14.45">
      <c r="A29" s="1105"/>
      <c r="B29" s="240">
        <v>22</v>
      </c>
      <c r="C29" s="257" t="s">
        <v>457</v>
      </c>
      <c r="D29" s="791">
        <f>'Fin. Data'!D28</f>
        <v>-767</v>
      </c>
      <c r="E29" s="772">
        <f>'Fin. Data'!C28</f>
        <v>-15</v>
      </c>
      <c r="F29" s="792">
        <f>'Fin. Data'!B28</f>
        <v>-4</v>
      </c>
      <c r="G29" s="779">
        <f>-G17*$D$65</f>
        <v>-4.494846877635073</v>
      </c>
      <c r="H29" s="309">
        <f>-H17*$D$65</f>
        <v>-6.516407728157426</v>
      </c>
      <c r="I29" s="309">
        <f>-I17*$D$65</f>
        <v>-6.7816232370969116</v>
      </c>
      <c r="J29" s="381">
        <f>-J17*$D$65</f>
        <v>-6.7911312414001417</v>
      </c>
      <c r="K29" s="310">
        <f>-K17*$E$65</f>
        <v>-19.713537377032438</v>
      </c>
      <c r="L29" s="309">
        <f>-L17*$E$65</f>
        <v>-20.212937775501771</v>
      </c>
      <c r="M29" s="309">
        <f t="shared" ref="M29:AF29" si="35">-M17*$E$65</f>
        <v>-20.76434082463339</v>
      </c>
      <c r="N29" s="309">
        <f t="shared" si="35"/>
        <v>-21.669666711437884</v>
      </c>
      <c r="O29" s="309">
        <f t="shared" si="35"/>
        <v>-22.343314194582501</v>
      </c>
      <c r="P29" s="309">
        <f t="shared" si="35"/>
        <v>-23.103198365005621</v>
      </c>
      <c r="Q29" s="309">
        <f t="shared" si="35"/>
        <v>-23.935507350847743</v>
      </c>
      <c r="R29" s="309">
        <f t="shared" si="35"/>
        <v>-24.743618860546306</v>
      </c>
      <c r="S29" s="309">
        <f t="shared" si="35"/>
        <v>-25.598794135820778</v>
      </c>
      <c r="T29" s="309">
        <f t="shared" si="35"/>
        <v>-26.487610713493865</v>
      </c>
      <c r="U29" s="309">
        <f t="shared" si="35"/>
        <v>-27.396780634195853</v>
      </c>
      <c r="V29" s="309">
        <f t="shared" si="35"/>
        <v>-28.341628223632576</v>
      </c>
      <c r="W29" s="309">
        <f t="shared" si="35"/>
        <v>-29.318273655623017</v>
      </c>
      <c r="X29" s="309">
        <f t="shared" si="35"/>
        <v>-30.326114290968533</v>
      </c>
      <c r="Y29" s="309">
        <f t="shared" si="35"/>
        <v>-31.368903691781856</v>
      </c>
      <c r="Z29" s="309">
        <f t="shared" si="35"/>
        <v>-32.446423726626762</v>
      </c>
      <c r="AA29" s="309">
        <f t="shared" si="35"/>
        <v>-33.559714409262675</v>
      </c>
      <c r="AB29" s="309">
        <f t="shared" si="35"/>
        <v>-34.710380723187853</v>
      </c>
      <c r="AC29" s="309">
        <f t="shared" si="35"/>
        <v>-35.899290995222472</v>
      </c>
      <c r="AD29" s="309">
        <f t="shared" si="35"/>
        <v>-37.127687622149693</v>
      </c>
      <c r="AE29" s="309">
        <f t="shared" si="35"/>
        <v>-38.396883569787171</v>
      </c>
      <c r="AF29" s="702">
        <f t="shared" si="35"/>
        <v>-39.708092661259876</v>
      </c>
      <c r="AG29" s="412"/>
      <c r="AH29" s="7"/>
      <c r="AI29" s="7"/>
      <c r="AJ29" s="7"/>
      <c r="AK29" s="10"/>
      <c r="AL29" s="10"/>
      <c r="AM29" s="10"/>
      <c r="AN29" s="10"/>
    </row>
    <row r="30" spans="1:40" s="7" customFormat="1" ht="14.45">
      <c r="A30" s="1105"/>
      <c r="B30" s="240">
        <v>23</v>
      </c>
      <c r="C30" s="257" t="s">
        <v>458</v>
      </c>
      <c r="D30" s="787">
        <f>-'Fin. Data'!D27</f>
        <v>-0.12</v>
      </c>
      <c r="E30" s="772">
        <f>'Fin. Data'!C27</f>
        <v>-23.03</v>
      </c>
      <c r="F30" s="788">
        <f>'Fin. Data'!B27</f>
        <v>-27.07</v>
      </c>
      <c r="G30" s="779">
        <f>-$D$64*G17</f>
        <v>-22.474234388175365</v>
      </c>
      <c r="H30" s="309">
        <f t="shared" ref="H30:J30" si="36">-$D$64*H17</f>
        <v>-32.582038640787133</v>
      </c>
      <c r="I30" s="309">
        <f t="shared" si="36"/>
        <v>-33.908116185484559</v>
      </c>
      <c r="J30" s="381">
        <f t="shared" si="36"/>
        <v>-33.955656207000708</v>
      </c>
      <c r="K30" s="310">
        <f>-$E$64*K17</f>
        <v>-78.854149508129751</v>
      </c>
      <c r="L30" s="309">
        <f>-$E$64*L17</f>
        <v>-80.851751102007086</v>
      </c>
      <c r="M30" s="309">
        <f t="shared" ref="M30:AF30" si="37">-$E$64*M17</f>
        <v>-83.057363298533559</v>
      </c>
      <c r="N30" s="309">
        <f t="shared" si="37"/>
        <v>-86.678666845751536</v>
      </c>
      <c r="O30" s="309">
        <f t="shared" si="37"/>
        <v>-89.373256778330003</v>
      </c>
      <c r="P30" s="309">
        <f t="shared" si="37"/>
        <v>-92.412793460022485</v>
      </c>
      <c r="Q30" s="309">
        <f t="shared" si="37"/>
        <v>-95.742029403390973</v>
      </c>
      <c r="R30" s="309">
        <f t="shared" si="37"/>
        <v>-98.974475442185224</v>
      </c>
      <c r="S30" s="309">
        <f t="shared" si="37"/>
        <v>-102.39517654328311</v>
      </c>
      <c r="T30" s="309">
        <f t="shared" si="37"/>
        <v>-105.95044285397546</v>
      </c>
      <c r="U30" s="309">
        <f t="shared" si="37"/>
        <v>-109.58712253678341</v>
      </c>
      <c r="V30" s="309">
        <f t="shared" si="37"/>
        <v>-113.3665128945303</v>
      </c>
      <c r="W30" s="309">
        <f t="shared" si="37"/>
        <v>-117.27309462249207</v>
      </c>
      <c r="X30" s="309">
        <f t="shared" si="37"/>
        <v>-121.30445716387413</v>
      </c>
      <c r="Y30" s="309">
        <f t="shared" si="37"/>
        <v>-125.47561476712742</v>
      </c>
      <c r="Z30" s="309">
        <f t="shared" si="37"/>
        <v>-129.78569490650705</v>
      </c>
      <c r="AA30" s="309">
        <f t="shared" si="37"/>
        <v>-134.2388576370507</v>
      </c>
      <c r="AB30" s="309">
        <f t="shared" si="37"/>
        <v>-138.84152289275141</v>
      </c>
      <c r="AC30" s="309">
        <f t="shared" si="37"/>
        <v>-143.59716398088989</v>
      </c>
      <c r="AD30" s="309">
        <f t="shared" si="37"/>
        <v>-148.51075048859877</v>
      </c>
      <c r="AE30" s="309">
        <f t="shared" si="37"/>
        <v>-153.58753427914868</v>
      </c>
      <c r="AF30" s="702">
        <f t="shared" si="37"/>
        <v>-158.8323706450395</v>
      </c>
      <c r="AG30" s="412"/>
      <c r="AK30" s="10"/>
      <c r="AL30" s="10"/>
      <c r="AM30" s="10"/>
      <c r="AN30" s="10"/>
    </row>
    <row r="31" spans="1:40" s="3" customFormat="1" ht="14.45">
      <c r="A31" s="1105"/>
      <c r="B31" s="240">
        <v>24</v>
      </c>
      <c r="C31" s="257" t="s">
        <v>459</v>
      </c>
      <c r="D31" s="793">
        <f>Inputs!D75</f>
        <v>859.05</v>
      </c>
      <c r="E31" s="770">
        <f>Inputs!C75</f>
        <v>26.150000000000006</v>
      </c>
      <c r="F31" s="794">
        <f>Inputs!B75</f>
        <v>6.1900000000000048</v>
      </c>
      <c r="G31" s="779">
        <f>(1+G5)*AVERAGE(Inputs!B74:M74)</f>
        <v>-142.49666666666667</v>
      </c>
      <c r="H31" s="309">
        <f>(1+H5)*AVERAGE(Inputs!B74:L74,G31)</f>
        <v>-139.5745</v>
      </c>
      <c r="I31" s="309">
        <f>(1+I5)*AVERAGE(Inputs!B74:L74,G31,H31)</f>
        <v>-140.44684062499999</v>
      </c>
      <c r="J31" s="381">
        <f t="shared" ref="J31:AF31" si="38">(1+J5)*AVERAGE(G31:I31)</f>
        <v>-147.88130255208335</v>
      </c>
      <c r="K31" s="310">
        <f t="shared" si="38"/>
        <v>-146.91324082413195</v>
      </c>
      <c r="L31" s="309">
        <f>(1+L5)*AVERAGE(I31:K31)</f>
        <v>-149.4328751737506</v>
      </c>
      <c r="M31" s="309">
        <f t="shared" si="38"/>
        <v>-152.51808036882164</v>
      </c>
      <c r="N31" s="309">
        <f t="shared" si="38"/>
        <v>-154.11004075256844</v>
      </c>
      <c r="O31" s="309">
        <f t="shared" si="38"/>
        <v>-156.58094206133165</v>
      </c>
      <c r="P31" s="309">
        <f t="shared" si="38"/>
        <v>-159.03511169273449</v>
      </c>
      <c r="Q31" s="309">
        <f t="shared" si="38"/>
        <v>-161.27262578061121</v>
      </c>
      <c r="R31" s="309">
        <f t="shared" si="38"/>
        <v>-163.73177997357254</v>
      </c>
      <c r="S31" s="309">
        <f t="shared" si="38"/>
        <v>-166.1869009901086</v>
      </c>
      <c r="T31" s="309">
        <f t="shared" si="38"/>
        <v>-168.64234864887371</v>
      </c>
      <c r="U31" s="309">
        <f t="shared" si="38"/>
        <v>-171.17262016697717</v>
      </c>
      <c r="V31" s="309">
        <f t="shared" si="38"/>
        <v>-173.72730863337941</v>
      </c>
      <c r="W31" s="309">
        <f t="shared" si="38"/>
        <v>-176.31618192423571</v>
      </c>
      <c r="X31" s="309">
        <f t="shared" si="38"/>
        <v>-178.95086468210999</v>
      </c>
      <c r="Y31" s="309">
        <f t="shared" si="38"/>
        <v>-181.62139529897229</v>
      </c>
      <c r="Z31" s="309">
        <f>(1+Z5)*AVERAGE(W31:Y31)</f>
        <v>-184.33169838749254</v>
      </c>
      <c r="AA31" s="309">
        <f t="shared" si="38"/>
        <v>-187.08369237321071</v>
      </c>
      <c r="AB31" s="309">
        <f t="shared" si="38"/>
        <v>-189.87596321382196</v>
      </c>
      <c r="AC31" s="309">
        <f t="shared" si="38"/>
        <v>-192.71003153125366</v>
      </c>
      <c r="AD31" s="309">
        <f t="shared" si="38"/>
        <v>-195.58659257727831</v>
      </c>
      <c r="AE31" s="309">
        <f t="shared" si="38"/>
        <v>-198.50592164734152</v>
      </c>
      <c r="AF31" s="702">
        <f t="shared" si="38"/>
        <v>-201.4688740428499</v>
      </c>
      <c r="AG31" s="412"/>
      <c r="AH31" s="429"/>
      <c r="AI31" s="429"/>
      <c r="AJ31" s="429"/>
      <c r="AK31" s="427"/>
      <c r="AL31" s="427"/>
      <c r="AM31" s="427"/>
      <c r="AN31" s="427"/>
    </row>
    <row r="32" spans="1:40" s="7" customFormat="1" ht="16.5" customHeight="1">
      <c r="A32" s="1105"/>
      <c r="B32" s="241">
        <v>25</v>
      </c>
      <c r="C32" s="263" t="s">
        <v>460</v>
      </c>
      <c r="D32" s="795">
        <f t="shared" ref="D32:AF32" si="39">D27+D28+D29+D30+D31</f>
        <v>-76.07000000000005</v>
      </c>
      <c r="E32" s="796">
        <f t="shared" si="39"/>
        <v>-312.88</v>
      </c>
      <c r="F32" s="797">
        <f>F27+F28+F29+F30+F31</f>
        <v>-270.88</v>
      </c>
      <c r="G32" s="781">
        <f>G27+G28+G29+G30+G31</f>
        <v>-210.94385293247706</v>
      </c>
      <c r="H32" s="705">
        <f t="shared" si="39"/>
        <v>21.305743381055436</v>
      </c>
      <c r="I32" s="705">
        <f t="shared" si="39"/>
        <v>28.815931689918727</v>
      </c>
      <c r="J32" s="711">
        <f t="shared" si="39"/>
        <v>31.796307011390695</v>
      </c>
      <c r="K32" s="704">
        <f>K27+K28+K29+K30+K31</f>
        <v>-181.52851490491889</v>
      </c>
      <c r="L32" s="705">
        <f>L27+L28+L29+L30+L31</f>
        <v>-134.02850645678564</v>
      </c>
      <c r="M32" s="705">
        <f t="shared" si="39"/>
        <v>-136.38160508061168</v>
      </c>
      <c r="N32" s="705">
        <f t="shared" si="39"/>
        <v>-138.90652317474473</v>
      </c>
      <c r="O32" s="705">
        <f t="shared" si="39"/>
        <v>-141.04430686535272</v>
      </c>
      <c r="P32" s="705">
        <f t="shared" si="39"/>
        <v>-143.48563167648098</v>
      </c>
      <c r="Q32" s="705">
        <f t="shared" si="39"/>
        <v>-145.95819031382325</v>
      </c>
      <c r="R32" s="705">
        <f t="shared" si="39"/>
        <v>-148.41374325852786</v>
      </c>
      <c r="S32" s="705">
        <f t="shared" si="39"/>
        <v>-150.97939710003072</v>
      </c>
      <c r="T32" s="705">
        <f t="shared" si="39"/>
        <v>-153.58876729869206</v>
      </c>
      <c r="U32" s="705">
        <f t="shared" si="39"/>
        <v>-156.24617035859691</v>
      </c>
      <c r="V32" s="705">
        <f t="shared" si="39"/>
        <v>-158.97396794326843</v>
      </c>
      <c r="W32" s="705">
        <f t="shared" si="39"/>
        <v>-161.75856024430763</v>
      </c>
      <c r="X32" s="705">
        <f t="shared" si="39"/>
        <v>-164.60447119225805</v>
      </c>
      <c r="Y32" s="705">
        <f t="shared" si="39"/>
        <v>-167.51629694473939</v>
      </c>
      <c r="Z32" s="705">
        <f t="shared" si="39"/>
        <v>-170.49253520997937</v>
      </c>
      <c r="AA32" s="705">
        <f t="shared" si="39"/>
        <v>-173.53583824912045</v>
      </c>
      <c r="AB32" s="705">
        <f t="shared" si="39"/>
        <v>-176.64821682117145</v>
      </c>
      <c r="AC32" s="705">
        <f t="shared" si="39"/>
        <v>-179.83079516911749</v>
      </c>
      <c r="AD32" s="705">
        <f t="shared" si="39"/>
        <v>-183.08560048449601</v>
      </c>
      <c r="AE32" s="705">
        <f t="shared" si="39"/>
        <v>-186.41444655837654</v>
      </c>
      <c r="AF32" s="706">
        <f t="shared" si="39"/>
        <v>-189.81908079914095</v>
      </c>
      <c r="AG32" s="412"/>
      <c r="AK32" s="10"/>
      <c r="AL32" s="10"/>
      <c r="AM32" s="10"/>
      <c r="AN32" s="10"/>
    </row>
    <row r="33" spans="1:40">
      <c r="A33" s="1092"/>
      <c r="B33" s="1093"/>
      <c r="C33" s="1093"/>
      <c r="D33" s="1094"/>
      <c r="E33" s="1094"/>
      <c r="F33" s="1094"/>
      <c r="G33" s="1094"/>
      <c r="H33" s="1094"/>
      <c r="I33" s="1094"/>
      <c r="J33" s="1094"/>
      <c r="K33" s="1094"/>
      <c r="L33" s="1094"/>
      <c r="M33" s="1094"/>
      <c r="N33" s="1094"/>
      <c r="O33" s="1094"/>
      <c r="P33" s="1094"/>
      <c r="Q33" s="1094"/>
      <c r="R33" s="1094"/>
      <c r="S33" s="1094"/>
      <c r="T33" s="1094"/>
      <c r="U33" s="1094"/>
      <c r="V33" s="1094"/>
      <c r="W33" s="1094"/>
      <c r="X33" s="1094"/>
      <c r="Y33" s="1094"/>
      <c r="Z33" s="1094"/>
      <c r="AA33" s="1094"/>
      <c r="AB33" s="1094"/>
      <c r="AC33" s="1094"/>
      <c r="AD33" s="1094"/>
      <c r="AE33" s="1094"/>
      <c r="AF33" s="1095"/>
      <c r="AG33" s="7"/>
      <c r="AH33" s="7"/>
      <c r="AI33" s="7"/>
      <c r="AJ33" s="7"/>
      <c r="AK33" s="10"/>
      <c r="AL33" s="10"/>
      <c r="AM33" s="10"/>
      <c r="AN33" s="10"/>
    </row>
    <row r="34" spans="1:40" ht="14.45">
      <c r="A34" s="1120" t="s">
        <v>461</v>
      </c>
      <c r="B34" s="240">
        <v>26</v>
      </c>
      <c r="C34" s="244" t="s">
        <v>462</v>
      </c>
      <c r="D34" s="374">
        <f>D22+D26+D27+D28+D31</f>
        <v>820.55</v>
      </c>
      <c r="E34" s="375">
        <f t="shared" ref="E34:AF34" si="40">E22+E26+E27+E28+E31</f>
        <v>-214.98</v>
      </c>
      <c r="F34" s="398">
        <f t="shared" si="40"/>
        <v>62.480000000000025</v>
      </c>
      <c r="G34" s="486">
        <f t="shared" si="40"/>
        <v>-156.97668722578982</v>
      </c>
      <c r="H34" s="376">
        <f>H22+H26+H27+H28+H31</f>
        <v>137.83651357893564</v>
      </c>
      <c r="I34" s="376">
        <f t="shared" si="40"/>
        <v>149.94563394617296</v>
      </c>
      <c r="J34" s="377">
        <f t="shared" si="40"/>
        <v>149.42164362760758</v>
      </c>
      <c r="K34" s="397">
        <f t="shared" si="40"/>
        <v>34.715425028734359</v>
      </c>
      <c r="L34" s="376">
        <f t="shared" si="40"/>
        <v>88.425019959504453</v>
      </c>
      <c r="M34" s="376">
        <f t="shared" si="40"/>
        <v>93.020375485120667</v>
      </c>
      <c r="N34" s="376">
        <f t="shared" si="40"/>
        <v>102.70524603001061</v>
      </c>
      <c r="O34" s="376">
        <f t="shared" si="40"/>
        <v>109.26322716282669</v>
      </c>
      <c r="P34" s="376">
        <f t="shared" si="40"/>
        <v>116.76605638036969</v>
      </c>
      <c r="Q34" s="376">
        <f t="shared" si="40"/>
        <v>125.27745100741217</v>
      </c>
      <c r="R34" s="376">
        <f t="shared" si="40"/>
        <v>133.39659360638109</v>
      </c>
      <c r="S34" s="376">
        <f t="shared" si="40"/>
        <v>142.06269416704606</v>
      </c>
      <c r="T34" s="376">
        <f t="shared" si="40"/>
        <v>151.13947107056859</v>
      </c>
      <c r="U34" s="376">
        <f t="shared" si="40"/>
        <v>160.4219861805378</v>
      </c>
      <c r="V34" s="376">
        <f t="shared" si="40"/>
        <v>170.11589666643872</v>
      </c>
      <c r="W34" s="376">
        <f t="shared" si="40"/>
        <v>180.1750169434834</v>
      </c>
      <c r="X34" s="376">
        <f t="shared" si="40"/>
        <v>190.58410508982124</v>
      </c>
      <c r="Y34" s="376">
        <f t="shared" si="40"/>
        <v>201.39305922835371</v>
      </c>
      <c r="Z34" s="376">
        <f t="shared" si="40"/>
        <v>212.59831154983866</v>
      </c>
      <c r="AA34" s="376">
        <f t="shared" si="40"/>
        <v>224.21093802775502</v>
      </c>
      <c r="AB34" s="376">
        <f t="shared" si="40"/>
        <v>236.25106247554308</v>
      </c>
      <c r="AC34" s="376">
        <f t="shared" si="40"/>
        <v>248.72859858284556</v>
      </c>
      <c r="AD34" s="376">
        <f t="shared" si="40"/>
        <v>261.65810144703823</v>
      </c>
      <c r="AE34" s="376">
        <f t="shared" si="40"/>
        <v>275.05533380625559</v>
      </c>
      <c r="AF34" s="377">
        <f t="shared" si="40"/>
        <v>288.93457463083922</v>
      </c>
      <c r="AG34" s="412"/>
      <c r="AH34" s="7"/>
      <c r="AI34" s="7"/>
      <c r="AJ34" s="7"/>
      <c r="AK34" s="10"/>
      <c r="AL34" s="10"/>
      <c r="AM34" s="10"/>
      <c r="AN34" s="10"/>
    </row>
    <row r="35" spans="1:40" s="3" customFormat="1" ht="14.45">
      <c r="A35" s="1120"/>
      <c r="B35" s="240">
        <v>27</v>
      </c>
      <c r="C35" s="244" t="s">
        <v>463</v>
      </c>
      <c r="D35" s="316">
        <f>-1*(D29+D30)</f>
        <v>767.12</v>
      </c>
      <c r="E35" s="313">
        <f t="shared" ref="E35:AF35" si="41">-1*(E29+E30)</f>
        <v>38.03</v>
      </c>
      <c r="F35" s="317">
        <f t="shared" si="41"/>
        <v>31.07</v>
      </c>
      <c r="G35" s="323">
        <f>-1*(G29+G30)</f>
        <v>26.969081265810438</v>
      </c>
      <c r="H35" s="291">
        <f t="shared" si="41"/>
        <v>39.098446368944558</v>
      </c>
      <c r="I35" s="291">
        <f t="shared" si="41"/>
        <v>40.689739422581468</v>
      </c>
      <c r="J35" s="324">
        <f t="shared" si="41"/>
        <v>40.746787448400852</v>
      </c>
      <c r="K35" s="291">
        <f t="shared" si="41"/>
        <v>98.567686885162189</v>
      </c>
      <c r="L35" s="291">
        <f t="shared" si="41"/>
        <v>101.06468887750886</v>
      </c>
      <c r="M35" s="291">
        <f t="shared" si="41"/>
        <v>103.82170412316695</v>
      </c>
      <c r="N35" s="291">
        <f t="shared" si="41"/>
        <v>108.34833355718942</v>
      </c>
      <c r="O35" s="291">
        <f t="shared" si="41"/>
        <v>111.71657097291251</v>
      </c>
      <c r="P35" s="291">
        <f t="shared" si="41"/>
        <v>115.51599182502811</v>
      </c>
      <c r="Q35" s="291">
        <f t="shared" si="41"/>
        <v>119.67753675423872</v>
      </c>
      <c r="R35" s="291">
        <f t="shared" si="41"/>
        <v>123.71809430273153</v>
      </c>
      <c r="S35" s="291">
        <f t="shared" si="41"/>
        <v>127.9939706791039</v>
      </c>
      <c r="T35" s="291">
        <f t="shared" si="41"/>
        <v>132.43805356746932</v>
      </c>
      <c r="U35" s="291">
        <f t="shared" si="41"/>
        <v>136.98390317097926</v>
      </c>
      <c r="V35" s="291">
        <f t="shared" si="41"/>
        <v>141.70814111816287</v>
      </c>
      <c r="W35" s="291">
        <f t="shared" si="41"/>
        <v>146.59136827811508</v>
      </c>
      <c r="X35" s="291">
        <f t="shared" si="41"/>
        <v>151.63057145484265</v>
      </c>
      <c r="Y35" s="291">
        <f t="shared" si="41"/>
        <v>156.84451845890928</v>
      </c>
      <c r="Z35" s="291">
        <f t="shared" si="41"/>
        <v>162.23211863313381</v>
      </c>
      <c r="AA35" s="291">
        <f t="shared" si="41"/>
        <v>167.79857204631338</v>
      </c>
      <c r="AB35" s="291">
        <f t="shared" si="41"/>
        <v>173.55190361593927</v>
      </c>
      <c r="AC35" s="291">
        <f t="shared" si="41"/>
        <v>179.49645497611237</v>
      </c>
      <c r="AD35" s="291">
        <f t="shared" si="41"/>
        <v>185.63843811074847</v>
      </c>
      <c r="AE35" s="291">
        <f t="shared" si="41"/>
        <v>191.98441784893586</v>
      </c>
      <c r="AF35" s="324">
        <f t="shared" si="41"/>
        <v>198.54046330629939</v>
      </c>
      <c r="AG35" s="412"/>
      <c r="AH35" s="429"/>
      <c r="AI35" s="429"/>
      <c r="AJ35" s="429"/>
      <c r="AK35" s="427"/>
      <c r="AL35" s="427"/>
      <c r="AM35" s="427"/>
      <c r="AN35" s="427"/>
    </row>
    <row r="36" spans="1:40" s="7" customFormat="1" ht="15" thickBot="1">
      <c r="A36" s="1120"/>
      <c r="B36" s="241">
        <v>28</v>
      </c>
      <c r="C36" s="239" t="s">
        <v>464</v>
      </c>
      <c r="D36" s="364">
        <f>D34-D35</f>
        <v>53.42999999999995</v>
      </c>
      <c r="E36" s="365">
        <f>E34-E35</f>
        <v>-253.01</v>
      </c>
      <c r="F36" s="318">
        <f>F34-F35</f>
        <v>31.410000000000025</v>
      </c>
      <c r="G36" s="325">
        <f>G34-G35</f>
        <v>-183.94576849160026</v>
      </c>
      <c r="H36" s="326">
        <f t="shared" ref="H36:AF36" si="42">H34-H35</f>
        <v>98.738067209991073</v>
      </c>
      <c r="I36" s="326">
        <f t="shared" si="42"/>
        <v>109.25589452359149</v>
      </c>
      <c r="J36" s="327">
        <f>J34-J35</f>
        <v>108.67485617920673</v>
      </c>
      <c r="K36" s="326">
        <f t="shared" si="42"/>
        <v>-63.85226185642783</v>
      </c>
      <c r="L36" s="326">
        <f t="shared" si="42"/>
        <v>-12.639668918004404</v>
      </c>
      <c r="M36" s="326">
        <f t="shared" si="42"/>
        <v>-10.801328638046286</v>
      </c>
      <c r="N36" s="326">
        <f t="shared" si="42"/>
        <v>-5.6430875271788068</v>
      </c>
      <c r="O36" s="326">
        <f t="shared" si="42"/>
        <v>-2.453343810085812</v>
      </c>
      <c r="P36" s="326">
        <f t="shared" si="42"/>
        <v>1.2500645553415808</v>
      </c>
      <c r="Q36" s="326">
        <f t="shared" si="42"/>
        <v>5.599914253173452</v>
      </c>
      <c r="R36" s="326">
        <f t="shared" si="42"/>
        <v>9.6784993036495592</v>
      </c>
      <c r="S36" s="326">
        <f t="shared" si="42"/>
        <v>14.068723487942165</v>
      </c>
      <c r="T36" s="326">
        <f t="shared" si="42"/>
        <v>18.701417503099265</v>
      </c>
      <c r="U36" s="326">
        <f t="shared" si="42"/>
        <v>23.43808300955854</v>
      </c>
      <c r="V36" s="326">
        <f t="shared" si="42"/>
        <v>28.407755548275844</v>
      </c>
      <c r="W36" s="326">
        <f t="shared" si="42"/>
        <v>33.583648665368315</v>
      </c>
      <c r="X36" s="326">
        <f t="shared" si="42"/>
        <v>38.953533634978584</v>
      </c>
      <c r="Y36" s="326">
        <f t="shared" si="42"/>
        <v>44.548540769444429</v>
      </c>
      <c r="Z36" s="326">
        <f t="shared" si="42"/>
        <v>50.366192916704847</v>
      </c>
      <c r="AA36" s="326">
        <f t="shared" si="42"/>
        <v>56.412365981441638</v>
      </c>
      <c r="AB36" s="326">
        <f t="shared" si="42"/>
        <v>62.699158859603813</v>
      </c>
      <c r="AC36" s="326">
        <f t="shared" si="42"/>
        <v>69.232143606733189</v>
      </c>
      <c r="AD36" s="326">
        <f t="shared" si="42"/>
        <v>76.019663336289767</v>
      </c>
      <c r="AE36" s="326">
        <f t="shared" si="42"/>
        <v>83.070915957319727</v>
      </c>
      <c r="AF36" s="327">
        <f t="shared" si="42"/>
        <v>90.394111324539836</v>
      </c>
      <c r="AG36" s="412"/>
      <c r="AK36" s="10"/>
      <c r="AL36" s="10"/>
      <c r="AM36" s="10"/>
      <c r="AN36" s="10"/>
    </row>
    <row r="37" spans="1:40" ht="15" thickBot="1">
      <c r="A37" s="249"/>
      <c r="B37" s="247"/>
      <c r="C37" s="248"/>
      <c r="D37" s="378"/>
      <c r="E37" s="378"/>
      <c r="F37" s="378"/>
      <c r="G37" s="378"/>
      <c r="H37" s="378"/>
      <c r="I37" s="378"/>
      <c r="J37" s="378"/>
      <c r="K37" s="378"/>
      <c r="L37" s="378"/>
      <c r="M37" s="378"/>
      <c r="N37" s="378"/>
      <c r="O37" s="378"/>
      <c r="P37" s="378"/>
      <c r="Q37" s="378"/>
      <c r="R37" s="378"/>
      <c r="S37" s="378"/>
      <c r="T37" s="378"/>
      <c r="U37" s="378"/>
      <c r="V37" s="378"/>
      <c r="W37" s="378"/>
      <c r="X37" s="378"/>
      <c r="Y37" s="378"/>
      <c r="Z37" s="378"/>
      <c r="AA37" s="378"/>
      <c r="AB37" s="378"/>
      <c r="AC37" s="378"/>
      <c r="AD37" s="378"/>
      <c r="AE37" s="378"/>
      <c r="AF37" s="379"/>
      <c r="AG37" s="412"/>
      <c r="AH37" s="7"/>
      <c r="AI37" s="7"/>
      <c r="AJ37" s="7"/>
      <c r="AK37" s="10"/>
      <c r="AL37" s="10"/>
      <c r="AM37" s="10"/>
      <c r="AN37" s="10"/>
    </row>
    <row r="38" spans="1:40" ht="14.45">
      <c r="A38" s="1121" t="s">
        <v>465</v>
      </c>
      <c r="B38" s="242">
        <v>29</v>
      </c>
      <c r="C38" s="244" t="s">
        <v>466</v>
      </c>
      <c r="D38" s="314">
        <v>483.4</v>
      </c>
      <c r="E38" s="315">
        <v>487.9</v>
      </c>
      <c r="F38" s="691">
        <v>631.6</v>
      </c>
      <c r="G38" s="399">
        <f>+F38+(-G10)</f>
        <v>645.95000000000005</v>
      </c>
      <c r="H38" s="320">
        <f t="shared" ref="H38:AF38" si="43">+G38+(-H10)</f>
        <v>660.65875000000005</v>
      </c>
      <c r="I38" s="320">
        <f t="shared" si="43"/>
        <v>675.73521875000006</v>
      </c>
      <c r="J38" s="321">
        <f t="shared" si="43"/>
        <v>691.18859921875003</v>
      </c>
      <c r="K38" s="399">
        <f t="shared" si="43"/>
        <v>707.02831419921881</v>
      </c>
      <c r="L38" s="320">
        <f t="shared" si="43"/>
        <v>723.26402205419924</v>
      </c>
      <c r="M38" s="320">
        <f t="shared" si="43"/>
        <v>739.90562260555419</v>
      </c>
      <c r="N38" s="320">
        <f t="shared" si="43"/>
        <v>756.96326317069304</v>
      </c>
      <c r="O38" s="320">
        <f t="shared" si="43"/>
        <v>774.44734474996039</v>
      </c>
      <c r="P38" s="320">
        <f t="shared" si="43"/>
        <v>792.36852836870935</v>
      </c>
      <c r="Q38" s="320">
        <f t="shared" si="43"/>
        <v>810.73774157792707</v>
      </c>
      <c r="R38" s="320">
        <f t="shared" si="43"/>
        <v>829.5661851173752</v>
      </c>
      <c r="S38" s="320">
        <f t="shared" si="43"/>
        <v>848.8653397453096</v>
      </c>
      <c r="T38" s="320">
        <f t="shared" si="43"/>
        <v>868.64697323894234</v>
      </c>
      <c r="U38" s="320">
        <f t="shared" si="43"/>
        <v>888.92314756991584</v>
      </c>
      <c r="V38" s="320">
        <f t="shared" si="43"/>
        <v>909.70622625916371</v>
      </c>
      <c r="W38" s="320">
        <f t="shared" si="43"/>
        <v>931.00888191564275</v>
      </c>
      <c r="X38" s="320">
        <f t="shared" si="43"/>
        <v>952.84410396353383</v>
      </c>
      <c r="Y38" s="320">
        <f t="shared" si="43"/>
        <v>975.22520656262213</v>
      </c>
      <c r="Z38" s="320">
        <f t="shared" si="43"/>
        <v>998.16583672668764</v>
      </c>
      <c r="AA38" s="320">
        <f t="shared" si="43"/>
        <v>1021.6799826448548</v>
      </c>
      <c r="AB38" s="320">
        <f t="shared" si="43"/>
        <v>1045.7819822109761</v>
      </c>
      <c r="AC38" s="320">
        <f t="shared" si="43"/>
        <v>1070.4865317662504</v>
      </c>
      <c r="AD38" s="320">
        <f t="shared" si="43"/>
        <v>1095.8086950604068</v>
      </c>
      <c r="AE38" s="320">
        <f t="shared" si="43"/>
        <v>1121.7639124369168</v>
      </c>
      <c r="AF38" s="321">
        <f t="shared" si="43"/>
        <v>1148.3680102478397</v>
      </c>
      <c r="AG38" s="413">
        <f>SUM(G38:AF38)</f>
        <v>22685.088420161454</v>
      </c>
      <c r="AH38" s="7"/>
      <c r="AI38" s="7"/>
      <c r="AJ38" s="7"/>
      <c r="AK38" s="10"/>
      <c r="AL38" s="10"/>
      <c r="AM38" s="10"/>
      <c r="AN38" s="10"/>
    </row>
    <row r="39" spans="1:40" ht="14.45">
      <c r="A39" s="1120"/>
      <c r="B39" s="242">
        <v>30</v>
      </c>
      <c r="C39" s="244" t="s">
        <v>467</v>
      </c>
      <c r="D39" s="316">
        <v>146.71899999999999</v>
      </c>
      <c r="E39" s="313">
        <v>143.184</v>
      </c>
      <c r="F39" s="692">
        <v>160.89500000000001</v>
      </c>
      <c r="G39" s="400">
        <f>F39-G10</f>
        <v>175.245</v>
      </c>
      <c r="H39" s="319">
        <f t="shared" ref="H39:AF39" si="44">G39-H10</f>
        <v>189.95375000000001</v>
      </c>
      <c r="I39" s="319">
        <f t="shared" si="44"/>
        <v>205.03021875000002</v>
      </c>
      <c r="J39" s="322">
        <f t="shared" si="44"/>
        <v>220.48359921875002</v>
      </c>
      <c r="K39" s="400">
        <f t="shared" si="44"/>
        <v>236.32331419921877</v>
      </c>
      <c r="L39" s="319">
        <f t="shared" si="44"/>
        <v>252.55902205419923</v>
      </c>
      <c r="M39" s="319">
        <f t="shared" si="44"/>
        <v>269.2006226055542</v>
      </c>
      <c r="N39" s="319">
        <f t="shared" si="44"/>
        <v>286.25826317069306</v>
      </c>
      <c r="O39" s="319">
        <f t="shared" si="44"/>
        <v>303.74234474996035</v>
      </c>
      <c r="P39" s="319">
        <f t="shared" si="44"/>
        <v>321.66352836870936</v>
      </c>
      <c r="Q39" s="319">
        <f t="shared" si="44"/>
        <v>340.03274157792708</v>
      </c>
      <c r="R39" s="319">
        <f t="shared" si="44"/>
        <v>358.86118511737521</v>
      </c>
      <c r="S39" s="319">
        <f t="shared" si="44"/>
        <v>378.16033974530956</v>
      </c>
      <c r="T39" s="319">
        <f t="shared" si="44"/>
        <v>397.9419732389423</v>
      </c>
      <c r="U39" s="319">
        <f t="shared" si="44"/>
        <v>418.2181475699158</v>
      </c>
      <c r="V39" s="319">
        <f t="shared" si="44"/>
        <v>439.00122625916367</v>
      </c>
      <c r="W39" s="319">
        <f t="shared" si="44"/>
        <v>460.30388191564276</v>
      </c>
      <c r="X39" s="319">
        <f t="shared" si="44"/>
        <v>482.13910396353378</v>
      </c>
      <c r="Y39" s="319">
        <f t="shared" si="44"/>
        <v>504.52020656262209</v>
      </c>
      <c r="Z39" s="319">
        <f t="shared" si="44"/>
        <v>527.4608367266876</v>
      </c>
      <c r="AA39" s="319">
        <f t="shared" si="44"/>
        <v>550.97498264485478</v>
      </c>
      <c r="AB39" s="319">
        <f t="shared" si="44"/>
        <v>575.0769822109761</v>
      </c>
      <c r="AC39" s="319">
        <f t="shared" si="44"/>
        <v>599.78153176625051</v>
      </c>
      <c r="AD39" s="319">
        <f t="shared" si="44"/>
        <v>625.10369506040672</v>
      </c>
      <c r="AE39" s="319">
        <f t="shared" si="44"/>
        <v>651.0589124369169</v>
      </c>
      <c r="AF39" s="322">
        <f t="shared" si="44"/>
        <v>677.66301024783979</v>
      </c>
      <c r="AG39" s="413">
        <f>SUM(G39:AF39)</f>
        <v>10446.758420161448</v>
      </c>
      <c r="AH39" s="7"/>
      <c r="AI39" s="7"/>
      <c r="AJ39" s="7"/>
      <c r="AK39" s="10"/>
      <c r="AL39" s="10"/>
      <c r="AM39" s="10"/>
      <c r="AN39" s="10"/>
    </row>
    <row r="40" spans="1:40" ht="14.45">
      <c r="A40" s="1120"/>
      <c r="B40" s="242">
        <v>31</v>
      </c>
      <c r="C40" s="244" t="s">
        <v>468</v>
      </c>
      <c r="D40" s="316">
        <v>547.9</v>
      </c>
      <c r="E40" s="313">
        <v>536.87</v>
      </c>
      <c r="F40" s="692">
        <v>765.4</v>
      </c>
      <c r="G40" s="400">
        <f>F40+(-G23)</f>
        <v>843.62850000000003</v>
      </c>
      <c r="H40" s="319">
        <f t="shared" ref="H40:AF40" si="45">G40+(-H23)</f>
        <v>925.76842499999998</v>
      </c>
      <c r="I40" s="319">
        <f t="shared" si="45"/>
        <v>1012.01534625</v>
      </c>
      <c r="J40" s="322">
        <f t="shared" si="45"/>
        <v>1102.5746135625</v>
      </c>
      <c r="K40" s="400">
        <f t="shared" si="45"/>
        <v>1182.5255095612499</v>
      </c>
      <c r="L40" s="319">
        <f t="shared" si="45"/>
        <v>1264.8749324399623</v>
      </c>
      <c r="M40" s="319">
        <f t="shared" si="45"/>
        <v>1349.6948380050362</v>
      </c>
      <c r="N40" s="319">
        <f t="shared" si="45"/>
        <v>1437.0593407370623</v>
      </c>
      <c r="O40" s="319">
        <f t="shared" si="45"/>
        <v>1527.0447785510491</v>
      </c>
      <c r="P40" s="319">
        <f t="shared" si="45"/>
        <v>1619.7297794994556</v>
      </c>
      <c r="Q40" s="319">
        <f t="shared" si="45"/>
        <v>1715.1953304763142</v>
      </c>
      <c r="R40" s="319">
        <f t="shared" si="45"/>
        <v>1813.5248479824786</v>
      </c>
      <c r="S40" s="319">
        <f t="shared" si="45"/>
        <v>1914.804251013828</v>
      </c>
      <c r="T40" s="319">
        <f t="shared" si="45"/>
        <v>2019.1220361361179</v>
      </c>
      <c r="U40" s="319">
        <f t="shared" si="45"/>
        <v>2126.5693548120767</v>
      </c>
      <c r="V40" s="319">
        <f t="shared" si="45"/>
        <v>2237.2400930483141</v>
      </c>
      <c r="W40" s="319">
        <f t="shared" si="45"/>
        <v>2351.2309534316387</v>
      </c>
      <c r="X40" s="319">
        <f t="shared" si="45"/>
        <v>2468.6415396264629</v>
      </c>
      <c r="Y40" s="319">
        <f t="shared" si="45"/>
        <v>2589.5744434071316</v>
      </c>
      <c r="Z40" s="319">
        <f t="shared" si="45"/>
        <v>2714.1353343012206</v>
      </c>
      <c r="AA40" s="319">
        <f t="shared" si="45"/>
        <v>2842.4330519221321</v>
      </c>
      <c r="AB40" s="319">
        <f t="shared" si="45"/>
        <v>2974.579701071671</v>
      </c>
      <c r="AC40" s="319">
        <f t="shared" si="45"/>
        <v>3110.6907496956965</v>
      </c>
      <c r="AD40" s="319">
        <f t="shared" si="45"/>
        <v>3250.8851297784422</v>
      </c>
      <c r="AE40" s="319">
        <f t="shared" si="45"/>
        <v>3395.2853412636705</v>
      </c>
      <c r="AF40" s="322">
        <f t="shared" si="45"/>
        <v>3544.0175590934555</v>
      </c>
      <c r="AG40" s="413">
        <f>SUM(G40:AF40)</f>
        <v>53332.845780666961</v>
      </c>
      <c r="AH40" s="7"/>
      <c r="AI40" s="7"/>
      <c r="AJ40" s="7"/>
      <c r="AK40" s="10"/>
      <c r="AL40" s="10"/>
      <c r="AM40" s="10"/>
      <c r="AN40" s="10"/>
    </row>
    <row r="41" spans="1:40" ht="15" thickBot="1">
      <c r="A41" s="1120"/>
      <c r="B41" s="243">
        <v>32</v>
      </c>
      <c r="C41" s="239" t="s">
        <v>469</v>
      </c>
      <c r="D41" s="693">
        <v>447.47500000000002</v>
      </c>
      <c r="E41" s="694">
        <v>435.16</v>
      </c>
      <c r="F41" s="695">
        <v>436.64800000000002</v>
      </c>
      <c r="G41" s="489">
        <f>F41-G9</f>
        <v>457.73871250000002</v>
      </c>
      <c r="H41" s="487">
        <f t="shared" ref="H41:AF41" si="46">G41-H9</f>
        <v>480.88292312500005</v>
      </c>
      <c r="I41" s="487">
        <f t="shared" si="46"/>
        <v>506.18330678125005</v>
      </c>
      <c r="J41" s="488">
        <f t="shared" si="46"/>
        <v>533.74767212031259</v>
      </c>
      <c r="K41" s="489">
        <f t="shared" si="46"/>
        <v>563.31080985934386</v>
      </c>
      <c r="L41" s="487">
        <f t="shared" si="46"/>
        <v>594.9326831703429</v>
      </c>
      <c r="M41" s="487">
        <f t="shared" si="46"/>
        <v>628.67505412046876</v>
      </c>
      <c r="N41" s="487">
        <f t="shared" si="46"/>
        <v>664.60153763889537</v>
      </c>
      <c r="O41" s="487">
        <f t="shared" si="46"/>
        <v>702.77765710267158</v>
      </c>
      <c r="P41" s="487">
        <f t="shared" si="46"/>
        <v>743.27090159015802</v>
      </c>
      <c r="Q41" s="487">
        <f t="shared" si="46"/>
        <v>786.15078485206584</v>
      </c>
      <c r="R41" s="487">
        <f t="shared" si="46"/>
        <v>831.48890605162785</v>
      </c>
      <c r="S41" s="487">
        <f t="shared" si="46"/>
        <v>879.35901232697358</v>
      </c>
      <c r="T41" s="487">
        <f t="shared" si="46"/>
        <v>929.83706323037654</v>
      </c>
      <c r="U41" s="487">
        <f t="shared" si="46"/>
        <v>983.00129710067847</v>
      </c>
      <c r="V41" s="487">
        <f t="shared" si="46"/>
        <v>1038.9322994268864</v>
      </c>
      <c r="W41" s="487">
        <f t="shared" si="46"/>
        <v>1097.7130732626774</v>
      </c>
      <c r="X41" s="487">
        <f t="shared" si="46"/>
        <v>1159.4291117533389</v>
      </c>
      <c r="Y41" s="487">
        <f t="shared" si="46"/>
        <v>1224.1684728385171</v>
      </c>
      <c r="Z41" s="487">
        <f t="shared" si="46"/>
        <v>1292.0218561960476</v>
      </c>
      <c r="AA41" s="487">
        <f t="shared" si="46"/>
        <v>1363.0826824941009</v>
      </c>
      <c r="AB41" s="487">
        <f t="shared" si="46"/>
        <v>1437.4471750208927</v>
      </c>
      <c r="AC41" s="487">
        <f t="shared" si="46"/>
        <v>1515.2144437632851</v>
      </c>
      <c r="AD41" s="487">
        <f t="shared" si="46"/>
        <v>1596.4865720077462</v>
      </c>
      <c r="AE41" s="487">
        <f t="shared" si="46"/>
        <v>1681.368705539338</v>
      </c>
      <c r="AF41" s="488">
        <f t="shared" si="46"/>
        <v>1769.9691445166743</v>
      </c>
      <c r="AG41" s="413">
        <f>SUM(G41:AF41)</f>
        <v>25461.791858389672</v>
      </c>
      <c r="AH41" s="7"/>
      <c r="AI41" s="7"/>
      <c r="AJ41" s="7"/>
      <c r="AK41" s="10"/>
      <c r="AL41" s="10"/>
      <c r="AM41" s="10"/>
      <c r="AN41" s="10"/>
    </row>
    <row r="42" spans="1:40" s="7" customFormat="1" ht="15" thickBot="1">
      <c r="A42" s="1111"/>
      <c r="B42" s="1112"/>
      <c r="C42" s="1112"/>
      <c r="D42" s="1113"/>
      <c r="E42" s="1113"/>
      <c r="F42" s="1113"/>
      <c r="G42" s="1114"/>
      <c r="H42" s="1114"/>
      <c r="I42" s="1114"/>
      <c r="J42" s="1114"/>
      <c r="K42" s="1114"/>
      <c r="L42" s="1114"/>
      <c r="M42" s="1114"/>
      <c r="N42" s="1114"/>
      <c r="O42" s="1114"/>
      <c r="P42" s="1114"/>
      <c r="Q42" s="1114"/>
      <c r="R42" s="1114"/>
      <c r="S42" s="1114"/>
      <c r="T42" s="1114"/>
      <c r="U42" s="1114"/>
      <c r="V42" s="1114"/>
      <c r="W42" s="1114"/>
      <c r="X42" s="1114"/>
      <c r="Y42" s="1114"/>
      <c r="Z42" s="1114"/>
      <c r="AA42" s="1114"/>
      <c r="AB42" s="1114"/>
      <c r="AC42" s="1114"/>
      <c r="AD42" s="1114"/>
      <c r="AE42" s="1114"/>
      <c r="AF42" s="1115"/>
      <c r="AG42" s="412"/>
      <c r="AK42" s="10"/>
      <c r="AL42" s="10"/>
      <c r="AM42" s="10"/>
      <c r="AN42" s="10"/>
    </row>
    <row r="43" spans="1:40" ht="15" customHeight="1">
      <c r="A43" s="1105" t="s">
        <v>470</v>
      </c>
      <c r="B43" s="240">
        <v>33</v>
      </c>
      <c r="C43" s="244" t="s">
        <v>471</v>
      </c>
      <c r="D43" s="482">
        <f>'Fin. Data'!D39</f>
        <v>523</v>
      </c>
      <c r="E43" s="298">
        <f>E36+D43</f>
        <v>269.99</v>
      </c>
      <c r="F43" s="715">
        <f>F36+E43</f>
        <v>301.40000000000003</v>
      </c>
      <c r="G43" s="570">
        <f>G36+F43</f>
        <v>117.45423150839977</v>
      </c>
      <c r="H43" s="571">
        <f>H36+G43+190</f>
        <v>406.19229871839082</v>
      </c>
      <c r="I43" s="571">
        <f t="shared" ref="I43:AF43" si="47">I36+H43</f>
        <v>515.44819324198227</v>
      </c>
      <c r="J43" s="720">
        <f t="shared" si="47"/>
        <v>624.12304942118897</v>
      </c>
      <c r="K43" s="570">
        <f t="shared" si="47"/>
        <v>560.27078756476112</v>
      </c>
      <c r="L43" s="571">
        <f t="shared" si="47"/>
        <v>547.6311186467567</v>
      </c>
      <c r="M43" s="571">
        <f t="shared" si="47"/>
        <v>536.82979000871046</v>
      </c>
      <c r="N43" s="571">
        <f t="shared" si="47"/>
        <v>531.18670248153171</v>
      </c>
      <c r="O43" s="571">
        <f t="shared" si="47"/>
        <v>528.7333586714459</v>
      </c>
      <c r="P43" s="571">
        <f t="shared" si="47"/>
        <v>529.98342322678752</v>
      </c>
      <c r="Q43" s="571">
        <f t="shared" si="47"/>
        <v>535.58333747996096</v>
      </c>
      <c r="R43" s="571">
        <f t="shared" si="47"/>
        <v>545.26183678361053</v>
      </c>
      <c r="S43" s="571">
        <f t="shared" si="47"/>
        <v>559.33056027155271</v>
      </c>
      <c r="T43" s="571">
        <f t="shared" si="47"/>
        <v>578.03197777465198</v>
      </c>
      <c r="U43" s="571">
        <f t="shared" si="47"/>
        <v>601.47006078421055</v>
      </c>
      <c r="V43" s="571">
        <f t="shared" si="47"/>
        <v>629.87781633248642</v>
      </c>
      <c r="W43" s="571">
        <f t="shared" si="47"/>
        <v>663.4614649978547</v>
      </c>
      <c r="X43" s="571">
        <f t="shared" si="47"/>
        <v>702.41499863283332</v>
      </c>
      <c r="Y43" s="571">
        <f t="shared" si="47"/>
        <v>746.96353940227777</v>
      </c>
      <c r="Z43" s="571">
        <f t="shared" si="47"/>
        <v>797.32973231898268</v>
      </c>
      <c r="AA43" s="571">
        <f t="shared" si="47"/>
        <v>853.74209830042435</v>
      </c>
      <c r="AB43" s="571">
        <f t="shared" si="47"/>
        <v>916.44125716002816</v>
      </c>
      <c r="AC43" s="571">
        <f t="shared" si="47"/>
        <v>985.67340076676135</v>
      </c>
      <c r="AD43" s="571">
        <f t="shared" si="47"/>
        <v>1061.693064103051</v>
      </c>
      <c r="AE43" s="571">
        <f t="shared" si="47"/>
        <v>1144.7639800603708</v>
      </c>
      <c r="AF43" s="572">
        <f t="shared" si="47"/>
        <v>1235.1580913849107</v>
      </c>
      <c r="AG43" s="412"/>
      <c r="AH43" s="7"/>
      <c r="AI43" s="7"/>
      <c r="AJ43" s="7"/>
      <c r="AK43" s="10"/>
      <c r="AL43" s="10"/>
      <c r="AM43" s="10"/>
      <c r="AN43" s="10"/>
    </row>
    <row r="44" spans="1:40" ht="14.45">
      <c r="A44" s="1105"/>
      <c r="B44" s="240">
        <v>34</v>
      </c>
      <c r="C44" s="244" t="s">
        <v>305</v>
      </c>
      <c r="D44" s="482">
        <f>'Fin. Data'!D58</f>
        <v>1212.96</v>
      </c>
      <c r="E44" s="297">
        <f>'Fin. Data'!C58</f>
        <v>978.77</v>
      </c>
      <c r="F44" s="716">
        <f>'Fin. Data'!B58</f>
        <v>1099.57</v>
      </c>
      <c r="G44" s="567">
        <f>G12*$D$67</f>
        <v>912.81039499999997</v>
      </c>
      <c r="H44" s="568">
        <f>H12*$D$67</f>
        <v>960.24350974999993</v>
      </c>
      <c r="I44" s="568">
        <f>I12*$D$67</f>
        <v>1010.0231677375001</v>
      </c>
      <c r="J44" s="569">
        <f>J12*$D$67</f>
        <v>1062.266068311875</v>
      </c>
      <c r="K44" s="567">
        <f t="shared" ref="K44:AF44" si="48">K12*$E$67</f>
        <v>1046.2675851175002</v>
      </c>
      <c r="L44" s="568">
        <f t="shared" si="48"/>
        <v>1080.3872198332615</v>
      </c>
      <c r="M44" s="568">
        <f t="shared" si="48"/>
        <v>1115.5254936795645</v>
      </c>
      <c r="N44" s="568">
        <f t="shared" si="48"/>
        <v>1151.7128420825516</v>
      </c>
      <c r="O44" s="568">
        <f t="shared" si="48"/>
        <v>1188.9806104374561</v>
      </c>
      <c r="P44" s="568">
        <f t="shared" si="48"/>
        <v>1227.3610813303312</v>
      </c>
      <c r="Q44" s="568">
        <f t="shared" si="48"/>
        <v>1266.8875025744992</v>
      </c>
      <c r="R44" s="568">
        <f t="shared" si="48"/>
        <v>1307.5941160861109</v>
      </c>
      <c r="S44" s="568">
        <f t="shared" si="48"/>
        <v>1349.5161876239433</v>
      </c>
      <c r="T44" s="568">
        <f t="shared" si="48"/>
        <v>1392.6900374193044</v>
      </c>
      <c r="U44" s="568">
        <f t="shared" si="48"/>
        <v>1437.1530717227054</v>
      </c>
      <c r="V44" s="568">
        <f t="shared" si="48"/>
        <v>1482.9438152947419</v>
      </c>
      <c r="W44" s="568">
        <f t="shared" si="48"/>
        <v>1530.1019448694606</v>
      </c>
      <c r="X44" s="568">
        <f t="shared" si="48"/>
        <v>1578.668323619331</v>
      </c>
      <c r="Y44" s="568">
        <f t="shared" si="48"/>
        <v>1628.6850366518042</v>
      </c>
      <c r="Z44" s="568">
        <f t="shared" si="48"/>
        <v>1680.1954275683622</v>
      </c>
      <c r="AA44" s="568">
        <f t="shared" si="48"/>
        <v>1733.2441361178542</v>
      </c>
      <c r="AB44" s="568">
        <f t="shared" si="48"/>
        <v>1787.8771369769049</v>
      </c>
      <c r="AC44" s="568">
        <f t="shared" si="48"/>
        <v>1844.1417796911282</v>
      </c>
      <c r="AD44" s="568">
        <f t="shared" si="48"/>
        <v>1902.086829811913</v>
      </c>
      <c r="AE44" s="568">
        <f t="shared" si="48"/>
        <v>1961.7625112645856</v>
      </c>
      <c r="AF44" s="569">
        <f t="shared" si="48"/>
        <v>2023.2205499848087</v>
      </c>
      <c r="AG44" s="426"/>
      <c r="AH44" s="10"/>
      <c r="AI44" s="10"/>
      <c r="AJ44" s="10"/>
      <c r="AK44" s="10"/>
      <c r="AL44" s="10"/>
      <c r="AM44" s="10"/>
      <c r="AN44" s="10"/>
    </row>
    <row r="45" spans="1:40" ht="14.45">
      <c r="A45" s="1105"/>
      <c r="B45" s="240">
        <v>35</v>
      </c>
      <c r="C45" s="244" t="s">
        <v>472</v>
      </c>
      <c r="D45" s="483"/>
      <c r="E45" s="373"/>
      <c r="F45" s="717">
        <f>1/((1+$F$50)^G50)</f>
        <v>1</v>
      </c>
      <c r="G45" s="328">
        <f t="shared" ref="G45:AF45" si="49">1/((1+$F$50)^G49)</f>
        <v>0.92165898617511521</v>
      </c>
      <c r="H45" s="292">
        <f t="shared" si="49"/>
        <v>0.84945528679734128</v>
      </c>
      <c r="I45" s="292">
        <f t="shared" si="49"/>
        <v>0.78290809843072917</v>
      </c>
      <c r="J45" s="718">
        <f t="shared" si="49"/>
        <v>0.72157428426795334</v>
      </c>
      <c r="K45" s="328">
        <f t="shared" si="49"/>
        <v>0.66504542328843619</v>
      </c>
      <c r="L45" s="292">
        <f t="shared" si="49"/>
        <v>0.6129450905884205</v>
      </c>
      <c r="M45" s="292">
        <f t="shared" si="49"/>
        <v>0.56492635077273778</v>
      </c>
      <c r="N45" s="292">
        <f t="shared" si="49"/>
        <v>0.52066944771680901</v>
      </c>
      <c r="O45" s="292">
        <f t="shared" si="49"/>
        <v>0.4798796753150314</v>
      </c>
      <c r="P45" s="292">
        <f t="shared" si="49"/>
        <v>0.44228541503689528</v>
      </c>
      <c r="Q45" s="292">
        <f t="shared" si="49"/>
        <v>0.40763632722294496</v>
      </c>
      <c r="R45" s="292">
        <f t="shared" si="49"/>
        <v>0.37570168407644705</v>
      </c>
      <c r="S45" s="292">
        <f t="shared" si="49"/>
        <v>0.3462688332501816</v>
      </c>
      <c r="T45" s="292">
        <f t="shared" si="49"/>
        <v>0.31914178179740244</v>
      </c>
      <c r="U45" s="292">
        <f t="shared" si="49"/>
        <v>0.2941398910575137</v>
      </c>
      <c r="V45" s="292">
        <f t="shared" si="49"/>
        <v>0.27109667378572694</v>
      </c>
      <c r="W45" s="292">
        <f t="shared" si="49"/>
        <v>0.24985868551679907</v>
      </c>
      <c r="X45" s="292">
        <f t="shared" si="49"/>
        <v>0.23028450278045995</v>
      </c>
      <c r="Y45" s="292">
        <f t="shared" si="49"/>
        <v>0.21224378136447922</v>
      </c>
      <c r="Z45" s="292">
        <f t="shared" si="49"/>
        <v>0.19561638835435877</v>
      </c>
      <c r="AA45" s="292">
        <f t="shared" si="49"/>
        <v>0.18029160216991591</v>
      </c>
      <c r="AB45" s="292">
        <f t="shared" si="49"/>
        <v>0.16616737527181191</v>
      </c>
      <c r="AC45" s="292">
        <f t="shared" si="49"/>
        <v>0.15314965462839805</v>
      </c>
      <c r="AD45" s="292">
        <f t="shared" si="49"/>
        <v>0.14115175541787842</v>
      </c>
      <c r="AE45" s="292">
        <f t="shared" si="49"/>
        <v>0.13009378379527964</v>
      </c>
      <c r="AF45" s="329">
        <f t="shared" si="49"/>
        <v>0.11990210488044206</v>
      </c>
      <c r="AG45" s="426"/>
      <c r="AH45" s="10"/>
      <c r="AI45" s="10"/>
      <c r="AJ45" s="10"/>
      <c r="AK45" s="10"/>
      <c r="AL45" s="10"/>
      <c r="AM45" s="10"/>
      <c r="AN45" s="10"/>
    </row>
    <row r="46" spans="1:40" ht="14.45">
      <c r="A46" s="1105"/>
      <c r="B46" s="240">
        <v>36</v>
      </c>
      <c r="C46" s="244" t="s">
        <v>473</v>
      </c>
      <c r="D46" s="484"/>
      <c r="E46" s="485" t="s">
        <v>474</v>
      </c>
      <c r="F46" s="718">
        <f>1/((1+$F$50+0.001)^G50)</f>
        <v>1</v>
      </c>
      <c r="G46" s="328">
        <f>1/((1+$F$50+0.001)^G49)</f>
        <v>0.92081031307550654</v>
      </c>
      <c r="H46" s="292">
        <f t="shared" ref="H46:AF46" si="50">1/((1+$F$50+0.001)^H49)</f>
        <v>0.84789163266621248</v>
      </c>
      <c r="I46" s="292">
        <f t="shared" si="50"/>
        <v>0.78074735972947751</v>
      </c>
      <c r="J46" s="718">
        <f t="shared" si="50"/>
        <v>0.71892022074537532</v>
      </c>
      <c r="K46" s="328">
        <f t="shared" si="50"/>
        <v>0.66198915354086141</v>
      </c>
      <c r="L46" s="292">
        <f t="shared" si="50"/>
        <v>0.60956643972455005</v>
      </c>
      <c r="M46" s="292">
        <f t="shared" si="50"/>
        <v>0.56129506420308495</v>
      </c>
      <c r="N46" s="292">
        <f t="shared" si="50"/>
        <v>0.51684628379657915</v>
      </c>
      <c r="O46" s="292">
        <f t="shared" si="50"/>
        <v>0.47591738839464021</v>
      </c>
      <c r="P46" s="292">
        <f t="shared" si="50"/>
        <v>0.43822963940574611</v>
      </c>
      <c r="Q46" s="292">
        <f t="shared" si="50"/>
        <v>0.4035263714601714</v>
      </c>
      <c r="R46" s="292">
        <f t="shared" si="50"/>
        <v>0.37157124443846357</v>
      </c>
      <c r="S46" s="292">
        <f t="shared" si="50"/>
        <v>0.34214663392123723</v>
      </c>
      <c r="T46" s="292">
        <f t="shared" si="50"/>
        <v>0.31505214909874518</v>
      </c>
      <c r="U46" s="292">
        <f t="shared" si="50"/>
        <v>0.2901032680467267</v>
      </c>
      <c r="V46" s="292">
        <f t="shared" si="50"/>
        <v>0.26713008107433406</v>
      </c>
      <c r="W46" s="292">
        <f t="shared" si="50"/>
        <v>0.24597613358594295</v>
      </c>
      <c r="X46" s="292">
        <f t="shared" si="50"/>
        <v>0.22649736057637476</v>
      </c>
      <c r="Y46" s="292">
        <f t="shared" si="50"/>
        <v>0.20856110550310758</v>
      </c>
      <c r="Z46" s="292">
        <f t="shared" si="50"/>
        <v>0.19204521685369022</v>
      </c>
      <c r="AA46" s="292">
        <f t="shared" si="50"/>
        <v>0.17683721625570006</v>
      </c>
      <c r="AB46" s="292">
        <f t="shared" si="50"/>
        <v>0.16283353246381221</v>
      </c>
      <c r="AC46" s="292">
        <f t="shared" si="50"/>
        <v>0.14993879600719359</v>
      </c>
      <c r="AD46" s="292">
        <f t="shared" si="50"/>
        <v>0.13806518969354845</v>
      </c>
      <c r="AE46" s="292">
        <f t="shared" si="50"/>
        <v>0.12713185054654555</v>
      </c>
      <c r="AF46" s="329">
        <f t="shared" si="50"/>
        <v>0.11706431910363313</v>
      </c>
      <c r="AG46" s="426"/>
      <c r="AH46" s="10"/>
      <c r="AI46" s="10"/>
      <c r="AJ46" s="10"/>
      <c r="AK46" s="10"/>
      <c r="AL46" s="10"/>
      <c r="AM46" s="10"/>
      <c r="AN46" s="10"/>
    </row>
    <row r="47" spans="1:40" ht="15" thickBot="1">
      <c r="A47" s="1105"/>
      <c r="B47" s="241">
        <v>37</v>
      </c>
      <c r="C47" s="239" t="s">
        <v>475</v>
      </c>
      <c r="D47" s="484"/>
      <c r="E47" s="485" t="s">
        <v>476</v>
      </c>
      <c r="F47" s="719">
        <f>1/((1+$F$50+0.005)^G50)</f>
        <v>1</v>
      </c>
      <c r="G47" s="573">
        <f t="shared" ref="G47:AF47" si="51">1/((1+$F$50+0.005)^G49)</f>
        <v>0.91743119266055062</v>
      </c>
      <c r="H47" s="574">
        <f t="shared" si="51"/>
        <v>0.84167999326656029</v>
      </c>
      <c r="I47" s="574">
        <f t="shared" si="51"/>
        <v>0.77218348006106452</v>
      </c>
      <c r="J47" s="721">
        <f t="shared" si="51"/>
        <v>0.70842521106519685</v>
      </c>
      <c r="K47" s="573">
        <f t="shared" si="51"/>
        <v>0.64993138629834579</v>
      </c>
      <c r="L47" s="574">
        <f t="shared" si="51"/>
        <v>0.59626732687921646</v>
      </c>
      <c r="M47" s="574">
        <f t="shared" si="51"/>
        <v>0.54703424484331786</v>
      </c>
      <c r="N47" s="574">
        <f t="shared" si="51"/>
        <v>0.50186627967276876</v>
      </c>
      <c r="O47" s="574">
        <f t="shared" si="51"/>
        <v>0.46042777951630176</v>
      </c>
      <c r="P47" s="574">
        <f t="shared" si="51"/>
        <v>0.42241080689568972</v>
      </c>
      <c r="Q47" s="574">
        <f t="shared" si="51"/>
        <v>0.3875328503630181</v>
      </c>
      <c r="R47" s="574">
        <f t="shared" si="51"/>
        <v>0.35553472510368633</v>
      </c>
      <c r="S47" s="574">
        <f t="shared" si="51"/>
        <v>0.32617864688411596</v>
      </c>
      <c r="T47" s="574">
        <f t="shared" si="51"/>
        <v>0.29924646503129909</v>
      </c>
      <c r="U47" s="574">
        <f t="shared" si="51"/>
        <v>0.27453804131311843</v>
      </c>
      <c r="V47" s="574">
        <f t="shared" si="51"/>
        <v>0.25186976267258576</v>
      </c>
      <c r="W47" s="574">
        <f t="shared" si="51"/>
        <v>0.2310731767638402</v>
      </c>
      <c r="X47" s="574">
        <f t="shared" si="51"/>
        <v>0.21199374015031211</v>
      </c>
      <c r="Y47" s="574">
        <f t="shared" si="51"/>
        <v>0.19448966986267169</v>
      </c>
      <c r="Z47" s="574">
        <f t="shared" si="51"/>
        <v>0.17843088978226762</v>
      </c>
      <c r="AA47" s="574">
        <f t="shared" si="51"/>
        <v>0.16369806402042905</v>
      </c>
      <c r="AB47" s="574">
        <f t="shared" si="51"/>
        <v>0.15018171011048537</v>
      </c>
      <c r="AC47" s="574">
        <f t="shared" si="51"/>
        <v>0.13778138542246365</v>
      </c>
      <c r="AD47" s="574">
        <f t="shared" si="51"/>
        <v>0.12640494075455383</v>
      </c>
      <c r="AE47" s="574">
        <f t="shared" si="51"/>
        <v>0.11596783555463655</v>
      </c>
      <c r="AF47" s="575">
        <f t="shared" si="51"/>
        <v>0.10639250968315282</v>
      </c>
      <c r="AG47" s="426"/>
      <c r="AH47" s="10"/>
      <c r="AI47" s="10"/>
      <c r="AJ47" s="10"/>
      <c r="AK47" s="10"/>
      <c r="AL47" s="10"/>
      <c r="AM47" s="10"/>
      <c r="AN47" s="10"/>
    </row>
    <row r="48" spans="1:40" ht="15" thickBot="1">
      <c r="A48" s="1116" t="s">
        <v>144</v>
      </c>
      <c r="B48" s="1117"/>
      <c r="C48" s="1117"/>
      <c r="D48" s="1117"/>
      <c r="E48" s="1117"/>
      <c r="F48" s="1117"/>
      <c r="G48" s="1118"/>
      <c r="H48" s="1118"/>
      <c r="I48" s="1118"/>
      <c r="J48" s="1118"/>
      <c r="K48" s="1118"/>
      <c r="L48" s="1118"/>
      <c r="M48" s="1118"/>
      <c r="N48" s="1118"/>
      <c r="O48" s="1118"/>
      <c r="P48" s="1118"/>
      <c r="Q48" s="1118"/>
      <c r="R48" s="1118"/>
      <c r="S48" s="1118"/>
      <c r="T48" s="1118"/>
      <c r="U48" s="1118"/>
      <c r="V48" s="1118"/>
      <c r="W48" s="1118"/>
      <c r="X48" s="1118"/>
      <c r="Y48" s="1118"/>
      <c r="Z48" s="1118"/>
      <c r="AA48" s="1118"/>
      <c r="AB48" s="1118"/>
      <c r="AC48" s="1118"/>
      <c r="AD48" s="1118"/>
      <c r="AE48" s="1118"/>
      <c r="AF48" s="1119"/>
      <c r="AG48" s="426"/>
      <c r="AH48" s="10"/>
      <c r="AI48" s="10"/>
      <c r="AJ48" s="428"/>
      <c r="AK48" s="10"/>
      <c r="AL48" s="10"/>
      <c r="AM48" s="10"/>
      <c r="AN48" s="10"/>
    </row>
    <row r="49" spans="1:40" ht="14.45">
      <c r="A49" s="1122" t="s">
        <v>477</v>
      </c>
      <c r="C49" s="252" t="s">
        <v>478</v>
      </c>
      <c r="D49" s="245" t="s">
        <v>479</v>
      </c>
      <c r="E49" s="246" t="s">
        <v>480</v>
      </c>
      <c r="F49" s="253" t="s">
        <v>481</v>
      </c>
      <c r="G49" s="293">
        <v>1</v>
      </c>
      <c r="H49" s="294">
        <v>2</v>
      </c>
      <c r="I49" s="294">
        <v>3</v>
      </c>
      <c r="J49" s="293">
        <v>4</v>
      </c>
      <c r="K49" s="294">
        <v>5</v>
      </c>
      <c r="L49" s="294">
        <v>6</v>
      </c>
      <c r="M49" s="293">
        <v>7</v>
      </c>
      <c r="N49" s="294">
        <v>8</v>
      </c>
      <c r="O49" s="294">
        <v>9</v>
      </c>
      <c r="P49" s="293">
        <v>10</v>
      </c>
      <c r="Q49" s="294">
        <v>11</v>
      </c>
      <c r="R49" s="294">
        <v>12</v>
      </c>
      <c r="S49" s="293">
        <v>13</v>
      </c>
      <c r="T49" s="294">
        <v>14</v>
      </c>
      <c r="U49" s="294">
        <v>15</v>
      </c>
      <c r="V49" s="293">
        <v>16</v>
      </c>
      <c r="W49" s="294">
        <v>17</v>
      </c>
      <c r="X49" s="294">
        <v>18</v>
      </c>
      <c r="Y49" s="293">
        <v>19</v>
      </c>
      <c r="Z49" s="294">
        <v>20</v>
      </c>
      <c r="AA49" s="294">
        <v>21</v>
      </c>
      <c r="AB49" s="293">
        <v>22</v>
      </c>
      <c r="AC49" s="294">
        <v>23</v>
      </c>
      <c r="AD49" s="294">
        <v>24</v>
      </c>
      <c r="AE49" s="293">
        <v>25</v>
      </c>
      <c r="AF49" s="294">
        <v>26</v>
      </c>
      <c r="AG49" s="426"/>
      <c r="AH49" s="10"/>
      <c r="AI49" s="10"/>
      <c r="AJ49" s="10"/>
      <c r="AK49" s="10"/>
      <c r="AL49" s="10"/>
      <c r="AM49" s="10"/>
      <c r="AN49" s="10"/>
    </row>
    <row r="50" spans="1:40" ht="14.45">
      <c r="A50" s="1123"/>
      <c r="C50" s="684">
        <v>0.04</v>
      </c>
      <c r="D50" s="685">
        <v>0.04</v>
      </c>
      <c r="E50" s="686">
        <v>5.0000000000000001E-3</v>
      </c>
      <c r="F50" s="251">
        <f>E50+D50+C50</f>
        <v>8.4999999999999992E-2</v>
      </c>
      <c r="G50" s="293">
        <v>0</v>
      </c>
      <c r="S50" s="238"/>
      <c r="T50" s="238"/>
      <c r="U50" s="238"/>
      <c r="V50" s="238"/>
      <c r="W50" s="238"/>
      <c r="X50" s="238"/>
      <c r="Y50" s="238"/>
      <c r="Z50" s="238"/>
      <c r="AA50" s="238"/>
      <c r="AB50" s="238"/>
      <c r="AC50" s="238"/>
      <c r="AD50" s="238"/>
      <c r="AE50" s="238"/>
      <c r="AF50" s="238"/>
      <c r="AG50" s="425"/>
      <c r="AH50" s="10"/>
      <c r="AI50" s="10"/>
      <c r="AJ50" s="10"/>
      <c r="AK50" s="10"/>
      <c r="AL50" s="10"/>
      <c r="AM50" s="10"/>
      <c r="AN50" s="10"/>
    </row>
    <row r="51" spans="1:40" ht="14.45">
      <c r="A51" s="238"/>
      <c r="C51" s="238"/>
      <c r="D51" s="238"/>
      <c r="G51"/>
      <c r="H51"/>
      <c r="I51"/>
      <c r="J51"/>
      <c r="K51"/>
      <c r="L51"/>
      <c r="M51"/>
      <c r="N51"/>
      <c r="O51"/>
      <c r="P51"/>
      <c r="Q51"/>
      <c r="R51"/>
      <c r="S51"/>
      <c r="T51"/>
      <c r="U51"/>
      <c r="V51"/>
      <c r="W51"/>
      <c r="X51"/>
      <c r="Y51"/>
      <c r="Z51"/>
      <c r="AA51"/>
      <c r="AB51"/>
      <c r="AC51"/>
      <c r="AD51"/>
      <c r="AE51"/>
      <c r="AF51"/>
      <c r="AG51" s="425"/>
      <c r="AH51" s="10"/>
      <c r="AI51" s="10"/>
      <c r="AJ51" s="10"/>
      <c r="AK51" s="10"/>
      <c r="AL51" s="10"/>
      <c r="AM51" s="10"/>
      <c r="AN51" s="10"/>
    </row>
    <row r="52" spans="1:40" ht="15" customHeight="1">
      <c r="A52" s="1124" t="s">
        <v>482</v>
      </c>
      <c r="C52" s="386" t="s">
        <v>144</v>
      </c>
      <c r="D52" s="387" t="s">
        <v>423</v>
      </c>
      <c r="E52" s="388" t="s">
        <v>424</v>
      </c>
      <c r="F52" s="387" t="s">
        <v>483</v>
      </c>
      <c r="G52" s="823"/>
      <c r="H52" s="823"/>
      <c r="I52" s="823"/>
      <c r="J52" s="823"/>
      <c r="K52" s="823"/>
      <c r="L52" s="823"/>
      <c r="M52" s="823"/>
      <c r="N52" s="823"/>
      <c r="O52" s="823"/>
      <c r="P52" s="823"/>
      <c r="Q52" s="823"/>
      <c r="R52" s="823"/>
      <c r="S52" s="823"/>
      <c r="T52" s="823"/>
      <c r="U52" s="823"/>
      <c r="V52" s="823"/>
      <c r="W52" s="823"/>
      <c r="X52" s="823"/>
      <c r="Y52" s="823"/>
      <c r="Z52" s="823"/>
      <c r="AA52" s="823"/>
      <c r="AB52" s="823"/>
      <c r="AC52" s="823"/>
      <c r="AD52" s="823"/>
      <c r="AE52" s="823"/>
      <c r="AF52" s="823"/>
      <c r="AG52" s="425"/>
      <c r="AH52" s="10"/>
      <c r="AI52" s="10"/>
      <c r="AJ52" s="10"/>
      <c r="AK52" s="10"/>
      <c r="AL52" s="10"/>
      <c r="AM52" s="10"/>
      <c r="AN52" s="10"/>
    </row>
    <row r="53" spans="1:40" ht="15" customHeight="1">
      <c r="A53" s="1124"/>
      <c r="C53" s="389" t="s">
        <v>484</v>
      </c>
      <c r="D53" s="362">
        <f>Assumptions!L17</f>
        <v>2.5000000000000001E-2</v>
      </c>
      <c r="E53" s="363">
        <f>Assumptions!M17</f>
        <v>2.5000000000000001E-2</v>
      </c>
      <c r="F53" s="390" t="str">
        <f>Assumptions!O17</f>
        <v>% PPE</v>
      </c>
      <c r="G53" s="405"/>
      <c r="I53" s="238"/>
      <c r="J53" s="238"/>
      <c r="K53" s="238"/>
      <c r="S53" s="238"/>
      <c r="T53" s="238"/>
      <c r="U53" s="238"/>
      <c r="V53" s="238"/>
      <c r="X53" s="238"/>
      <c r="Y53" s="238"/>
      <c r="Z53" s="238"/>
      <c r="AA53" s="238"/>
      <c r="AB53" s="238"/>
      <c r="AC53" s="238"/>
      <c r="AD53" s="238"/>
      <c r="AE53" s="238"/>
      <c r="AF53" s="238"/>
      <c r="AG53" s="425"/>
      <c r="AH53" s="10"/>
      <c r="AI53" s="10"/>
      <c r="AJ53" s="10"/>
      <c r="AK53" s="10"/>
      <c r="AL53" s="10"/>
      <c r="AM53" s="10"/>
      <c r="AN53" s="10"/>
    </row>
    <row r="54" spans="1:40" ht="15" customHeight="1">
      <c r="A54" s="1124"/>
      <c r="C54" s="391" t="s">
        <v>485</v>
      </c>
      <c r="D54" s="362">
        <f>Assumptions!L18</f>
        <v>2.5000000000000001E-2</v>
      </c>
      <c r="E54" s="363">
        <f>Assumptions!M18</f>
        <v>2.5000000000000001E-2</v>
      </c>
      <c r="F54" s="390" t="str">
        <f>Assumptions!O18</f>
        <v>% IA</v>
      </c>
      <c r="G54" s="238"/>
      <c r="I54" s="238"/>
      <c r="J54" s="238"/>
      <c r="K54" s="238"/>
      <c r="S54" s="238"/>
      <c r="T54" s="238"/>
      <c r="U54" s="238"/>
      <c r="V54" s="238"/>
      <c r="W54" s="238"/>
      <c r="X54" s="238"/>
      <c r="Y54" s="238"/>
      <c r="Z54" s="238"/>
      <c r="AA54" s="238"/>
      <c r="AB54" s="238"/>
      <c r="AC54" s="238"/>
      <c r="AD54" s="238"/>
      <c r="AE54" s="238"/>
      <c r="AF54" s="238"/>
      <c r="AG54" s="425"/>
      <c r="AH54" s="10"/>
      <c r="AI54" s="10"/>
      <c r="AJ54" s="10"/>
      <c r="AK54" s="10"/>
      <c r="AL54" s="10"/>
      <c r="AM54" s="10"/>
      <c r="AN54" s="10"/>
    </row>
    <row r="55" spans="1:40" ht="15" customHeight="1">
      <c r="A55" s="1124"/>
      <c r="C55" s="372" t="s">
        <v>486</v>
      </c>
      <c r="D55" s="362">
        <f>Assumptions!L19</f>
        <v>0.06</v>
      </c>
      <c r="E55" s="363">
        <f>Assumptions!M19</f>
        <v>0.06</v>
      </c>
      <c r="F55" s="390" t="str">
        <f>Assumptions!O19</f>
        <v>% Revenue</v>
      </c>
      <c r="G55" s="238"/>
      <c r="I55" s="238"/>
      <c r="J55" s="238"/>
      <c r="K55" s="238"/>
      <c r="L55" s="238"/>
      <c r="M55" s="238"/>
      <c r="N55" s="238"/>
      <c r="O55" s="238"/>
      <c r="P55" s="238"/>
      <c r="Q55" s="238"/>
      <c r="R55" s="238"/>
      <c r="S55" s="238"/>
      <c r="T55" s="238"/>
      <c r="U55" s="238"/>
      <c r="V55" s="238"/>
      <c r="W55" s="238"/>
      <c r="X55" s="238"/>
      <c r="Y55" s="238"/>
      <c r="Z55" s="238"/>
      <c r="AA55" s="238"/>
      <c r="AB55" s="238"/>
      <c r="AC55" s="238"/>
      <c r="AD55" s="238"/>
      <c r="AE55" s="238"/>
      <c r="AF55" s="238"/>
      <c r="AG55" s="425"/>
      <c r="AH55" s="10"/>
      <c r="AI55" s="10"/>
      <c r="AJ55" s="10"/>
      <c r="AK55" s="10"/>
      <c r="AL55" s="10"/>
      <c r="AM55" s="10"/>
      <c r="AN55" s="10"/>
    </row>
    <row r="56" spans="1:40" ht="15" customHeight="1">
      <c r="A56" s="1124"/>
      <c r="C56" s="391" t="s">
        <v>487</v>
      </c>
      <c r="D56" s="362">
        <f>Assumptions!L20</f>
        <v>0.24</v>
      </c>
      <c r="E56" s="363">
        <f>Assumptions!M20</f>
        <v>0.24</v>
      </c>
      <c r="F56" s="390" t="str">
        <f>Assumptions!O20</f>
        <v>% EBT</v>
      </c>
      <c r="I56" s="820"/>
      <c r="J56" s="238"/>
      <c r="K56" s="238"/>
      <c r="L56" s="238"/>
      <c r="M56" s="238"/>
      <c r="N56" s="238"/>
      <c r="O56" s="238"/>
      <c r="P56" s="238"/>
      <c r="Q56" s="238"/>
      <c r="R56" s="238"/>
      <c r="S56" s="238"/>
      <c r="T56" s="238"/>
      <c r="U56" s="238"/>
      <c r="V56" s="238"/>
      <c r="W56" s="238"/>
      <c r="X56" s="238"/>
      <c r="Y56" s="238"/>
      <c r="Z56" s="238"/>
      <c r="AA56" s="238"/>
      <c r="AB56" s="238"/>
      <c r="AC56" s="238"/>
      <c r="AD56" s="238"/>
      <c r="AE56" s="238"/>
      <c r="AF56" s="238"/>
      <c r="AG56" s="425"/>
      <c r="AH56" s="10"/>
      <c r="AI56" s="10"/>
      <c r="AJ56" s="10"/>
      <c r="AK56" s="10"/>
      <c r="AL56" s="10"/>
      <c r="AM56" s="10"/>
      <c r="AN56" s="10"/>
    </row>
    <row r="57" spans="1:40" ht="15" customHeight="1">
      <c r="A57" s="1124"/>
      <c r="C57" s="372" t="s">
        <v>488</v>
      </c>
      <c r="D57" s="362">
        <f>Assumptions!L21</f>
        <v>1.6792165556810779E-2</v>
      </c>
      <c r="E57" s="363">
        <f>Assumptions!M21</f>
        <v>2.5000000000000001E-2</v>
      </c>
      <c r="F57" s="390" t="str">
        <f>Assumptions!O21</f>
        <v>% Debt</v>
      </c>
      <c r="I57" s="819"/>
      <c r="J57" s="238"/>
      <c r="K57" s="238"/>
      <c r="L57" s="238"/>
      <c r="M57" s="238"/>
      <c r="N57" s="238"/>
      <c r="O57" s="238"/>
      <c r="P57" s="238"/>
      <c r="Q57" s="238"/>
      <c r="R57" s="238"/>
      <c r="S57" s="238"/>
      <c r="T57" s="238"/>
      <c r="U57" s="238"/>
      <c r="V57" s="238"/>
      <c r="W57" s="238"/>
      <c r="X57" s="238"/>
      <c r="Y57" s="238"/>
      <c r="Z57" s="238"/>
      <c r="AA57" s="238"/>
      <c r="AB57" s="238"/>
      <c r="AC57" s="238"/>
      <c r="AD57" s="238"/>
      <c r="AE57" s="238"/>
      <c r="AF57" s="238"/>
      <c r="AG57" s="425"/>
      <c r="AH57" s="10"/>
      <c r="AI57" s="10"/>
      <c r="AJ57" s="10"/>
      <c r="AK57" s="10"/>
      <c r="AL57" s="10"/>
      <c r="AM57" s="10"/>
      <c r="AN57" s="10"/>
    </row>
    <row r="58" spans="1:40" ht="15" customHeight="1">
      <c r="A58" s="1124"/>
      <c r="C58" s="391" t="s">
        <v>489</v>
      </c>
      <c r="D58" s="362">
        <f>Assumptions!L22</f>
        <v>0.01</v>
      </c>
      <c r="E58" s="363">
        <f>Assumptions!M22</f>
        <v>5.0000000000000001E-3</v>
      </c>
      <c r="F58" s="390" t="str">
        <f>Assumptions!O22</f>
        <v xml:space="preserve">% Cash </v>
      </c>
      <c r="G58" s="238"/>
      <c r="H58" s="238"/>
      <c r="I58" s="821"/>
      <c r="J58" s="255"/>
      <c r="K58" s="255"/>
      <c r="L58" s="255"/>
      <c r="M58" s="255"/>
      <c r="N58" s="255"/>
      <c r="O58" s="238"/>
      <c r="P58" s="238"/>
      <c r="Q58" s="238"/>
      <c r="R58" s="238"/>
      <c r="S58" s="238"/>
      <c r="T58" s="238"/>
      <c r="U58" s="238"/>
      <c r="V58" s="238"/>
      <c r="W58" s="238"/>
      <c r="X58" s="238"/>
      <c r="Y58" s="238"/>
      <c r="Z58" s="238"/>
      <c r="AA58" s="238"/>
      <c r="AB58" s="238"/>
      <c r="AC58" s="238"/>
      <c r="AD58" s="238"/>
      <c r="AE58" s="238"/>
      <c r="AF58" s="238"/>
      <c r="AG58" s="425"/>
      <c r="AH58" s="10"/>
      <c r="AI58" s="10"/>
      <c r="AJ58" s="10"/>
      <c r="AK58" s="10"/>
      <c r="AL58" s="10"/>
      <c r="AM58" s="10"/>
      <c r="AN58" s="10"/>
    </row>
    <row r="59" spans="1:40" ht="15" customHeight="1">
      <c r="A59" s="1124"/>
      <c r="C59" s="372" t="s">
        <v>490</v>
      </c>
      <c r="D59" s="362" t="str">
        <f>Assumptions!L23</f>
        <v>--</v>
      </c>
      <c r="E59" s="363" t="str">
        <f>Assumptions!M23</f>
        <v>--</v>
      </c>
      <c r="F59" s="390" t="str">
        <f>Assumptions!O23</f>
        <v>Growing with CAPEX</v>
      </c>
      <c r="G59" s="238"/>
      <c r="H59" s="238"/>
      <c r="I59" s="238"/>
      <c r="J59" s="256"/>
      <c r="K59" s="256"/>
      <c r="L59" s="256"/>
      <c r="M59" s="256"/>
      <c r="N59" s="255"/>
      <c r="O59" s="238"/>
      <c r="P59" s="238"/>
      <c r="Q59" s="238"/>
      <c r="R59" s="238"/>
      <c r="S59" s="238"/>
      <c r="T59" s="238"/>
      <c r="U59" s="238"/>
      <c r="V59" s="238"/>
      <c r="W59" s="238"/>
      <c r="X59" s="238"/>
      <c r="Y59" s="238"/>
      <c r="Z59" s="238"/>
      <c r="AA59" s="238"/>
      <c r="AB59" s="238"/>
      <c r="AC59" s="238"/>
      <c r="AD59" s="238"/>
      <c r="AE59" s="238"/>
      <c r="AF59" s="238"/>
      <c r="AG59" s="425"/>
      <c r="AH59" s="10"/>
      <c r="AI59" s="10"/>
      <c r="AJ59" s="10"/>
      <c r="AK59" s="10"/>
      <c r="AL59" s="10"/>
      <c r="AM59" s="10"/>
      <c r="AN59" s="10"/>
    </row>
    <row r="60" spans="1:40" ht="15" customHeight="1">
      <c r="A60" s="1124"/>
      <c r="C60" s="386" t="s">
        <v>491</v>
      </c>
      <c r="D60" s="362">
        <f>Assumptions!L24</f>
        <v>-0.05</v>
      </c>
      <c r="E60" s="363">
        <f>Assumptions!M24</f>
        <v>0.8</v>
      </c>
      <c r="F60" s="390" t="str">
        <f>Assumptions!O24</f>
        <v xml:space="preserve">% Change in Revenues </v>
      </c>
      <c r="G60" s="238"/>
      <c r="H60" s="238"/>
      <c r="I60" s="238"/>
      <c r="J60" s="255"/>
      <c r="K60" s="255"/>
      <c r="L60" s="255"/>
      <c r="M60" s="255"/>
      <c r="N60" s="255"/>
      <c r="O60" s="238"/>
      <c r="P60" s="238"/>
      <c r="Q60" s="238"/>
      <c r="R60" s="238"/>
      <c r="S60" s="238"/>
      <c r="T60" s="238"/>
      <c r="U60" s="238"/>
      <c r="V60" s="238"/>
      <c r="W60" s="238"/>
      <c r="X60" s="238"/>
      <c r="Y60" s="238"/>
      <c r="Z60" s="238"/>
      <c r="AA60" s="238"/>
      <c r="AB60" s="238"/>
      <c r="AC60" s="238"/>
      <c r="AD60" s="238"/>
      <c r="AE60" s="238"/>
      <c r="AF60" s="238"/>
      <c r="AG60" s="425"/>
      <c r="AH60" s="10"/>
      <c r="AI60" s="10"/>
      <c r="AJ60" s="10"/>
      <c r="AK60" s="10"/>
      <c r="AL60" s="10"/>
      <c r="AM60" s="10"/>
      <c r="AN60" s="10"/>
    </row>
    <row r="61" spans="1:40" ht="15" customHeight="1">
      <c r="A61" s="1124"/>
      <c r="C61" s="393" t="s">
        <v>492</v>
      </c>
      <c r="D61" s="362" t="str">
        <f>Assumptions!L25</f>
        <v>--</v>
      </c>
      <c r="E61" s="363" t="str">
        <f>Assumptions!M25</f>
        <v>--</v>
      </c>
      <c r="F61" s="390" t="str">
        <f>Assumptions!O25</f>
        <v>Growing with Amortization</v>
      </c>
      <c r="G61" s="238"/>
      <c r="H61" s="238"/>
      <c r="I61" s="238"/>
      <c r="J61" s="238"/>
      <c r="K61" s="238"/>
      <c r="L61" s="238"/>
      <c r="M61" s="238"/>
      <c r="N61" s="238"/>
      <c r="O61" s="238"/>
      <c r="P61" s="238"/>
      <c r="Q61" s="238"/>
      <c r="R61" s="238"/>
      <c r="S61" s="238"/>
      <c r="T61" s="238"/>
      <c r="U61" s="238"/>
      <c r="V61" s="238"/>
      <c r="W61" s="238"/>
      <c r="X61" s="238"/>
      <c r="Y61" s="238"/>
      <c r="Z61" s="238"/>
      <c r="AA61" s="238"/>
      <c r="AB61" s="238"/>
      <c r="AC61" s="238"/>
      <c r="AD61" s="238"/>
      <c r="AE61" s="238"/>
      <c r="AF61" s="238"/>
      <c r="AG61" s="425"/>
      <c r="AH61" s="10"/>
      <c r="AI61" s="10"/>
      <c r="AJ61" s="10"/>
      <c r="AK61" s="10"/>
      <c r="AL61" s="10"/>
      <c r="AM61" s="10"/>
      <c r="AN61" s="10"/>
    </row>
    <row r="62" spans="1:40" ht="15" customHeight="1">
      <c r="A62" s="1124"/>
      <c r="C62" s="393" t="s">
        <v>493</v>
      </c>
      <c r="D62" s="362">
        <f>Assumptions!L26</f>
        <v>-3.5000000000000003E-2</v>
      </c>
      <c r="E62" s="363">
        <f>Assumptions!M26</f>
        <v>-0.03</v>
      </c>
      <c r="F62" s="390" t="str">
        <f>Assumptions!O26</f>
        <v>% Revenue</v>
      </c>
      <c r="G62" s="238"/>
      <c r="H62" s="238"/>
      <c r="I62" s="238"/>
      <c r="J62" s="238"/>
      <c r="K62" s="238"/>
      <c r="L62" s="238"/>
      <c r="M62" s="238"/>
      <c r="N62" s="238"/>
      <c r="O62" s="238"/>
      <c r="P62" s="238"/>
      <c r="Q62" s="238"/>
      <c r="R62" s="238"/>
      <c r="S62" s="238"/>
      <c r="T62" s="238"/>
      <c r="U62" s="238"/>
      <c r="V62" s="238"/>
      <c r="W62" s="238"/>
      <c r="X62" s="238"/>
      <c r="Y62" s="238"/>
      <c r="Z62" s="238"/>
      <c r="AA62" s="238"/>
      <c r="AB62" s="238"/>
      <c r="AC62" s="238"/>
      <c r="AD62" s="238"/>
      <c r="AE62" s="238"/>
      <c r="AF62" s="238"/>
      <c r="AG62" s="425"/>
      <c r="AH62" s="10"/>
      <c r="AI62" s="10"/>
      <c r="AJ62" s="10"/>
      <c r="AK62" s="10"/>
      <c r="AL62" s="10"/>
      <c r="AM62" s="10"/>
      <c r="AN62" s="10"/>
    </row>
    <row r="63" spans="1:40" ht="15" customHeight="1">
      <c r="A63" s="1124"/>
      <c r="C63" s="393" t="s">
        <v>494</v>
      </c>
      <c r="D63" s="362">
        <f>Assumptions!L27</f>
        <v>-1.4999999999999999E-2</v>
      </c>
      <c r="E63" s="363">
        <f>Assumptions!M27</f>
        <v>-0.04</v>
      </c>
      <c r="F63" s="390" t="str">
        <f>Assumptions!O27</f>
        <v>% Revenue</v>
      </c>
      <c r="G63" s="238"/>
      <c r="H63" s="238"/>
      <c r="I63" s="238"/>
      <c r="J63" s="238"/>
      <c r="K63" s="238"/>
      <c r="L63" s="238"/>
      <c r="M63" s="238"/>
      <c r="N63" s="238"/>
      <c r="O63" s="238"/>
      <c r="P63" s="238"/>
      <c r="Q63" s="238"/>
      <c r="R63" s="238"/>
      <c r="S63" s="238"/>
      <c r="T63" s="238"/>
      <c r="U63" s="238"/>
      <c r="V63" s="238"/>
      <c r="W63" s="238"/>
      <c r="X63" s="238"/>
      <c r="Y63" s="238"/>
      <c r="Z63" s="238"/>
      <c r="AA63" s="238"/>
      <c r="AB63" s="238"/>
      <c r="AC63" s="238"/>
      <c r="AD63" s="238"/>
      <c r="AE63" s="238"/>
      <c r="AF63" s="238"/>
      <c r="AG63" s="425"/>
      <c r="AH63" s="10"/>
      <c r="AI63" s="10"/>
      <c r="AJ63" s="10"/>
      <c r="AK63" s="10"/>
      <c r="AL63" s="10"/>
      <c r="AM63" s="10"/>
      <c r="AN63" s="10"/>
    </row>
    <row r="64" spans="1:40" ht="15" customHeight="1">
      <c r="A64" s="1124"/>
      <c r="C64" s="393" t="s">
        <v>127</v>
      </c>
      <c r="D64" s="362">
        <f>Assumptions!L28</f>
        <v>0.2</v>
      </c>
      <c r="E64" s="363">
        <f>Assumptions!M28</f>
        <v>0.4</v>
      </c>
      <c r="F64" s="390" t="str">
        <f>Assumptions!O28</f>
        <v>% Net Income</v>
      </c>
      <c r="G64" s="238"/>
      <c r="I64" s="238"/>
      <c r="J64" s="238"/>
      <c r="K64" s="238"/>
      <c r="L64" s="238"/>
      <c r="M64" s="238"/>
      <c r="N64" s="238"/>
      <c r="O64" s="238"/>
      <c r="P64" s="238"/>
      <c r="Q64" s="238"/>
      <c r="R64" s="238"/>
      <c r="S64" s="238"/>
      <c r="T64" s="238"/>
      <c r="U64" s="238"/>
      <c r="V64" s="238"/>
      <c r="W64" s="238"/>
      <c r="X64" s="238"/>
      <c r="Y64" s="238"/>
      <c r="Z64" s="238"/>
      <c r="AA64" s="238"/>
      <c r="AB64" s="238"/>
      <c r="AC64" s="238"/>
      <c r="AD64" s="238"/>
      <c r="AE64" s="238"/>
      <c r="AF64" s="238"/>
      <c r="AG64" s="238"/>
    </row>
    <row r="65" spans="1:33" ht="15" customHeight="1">
      <c r="A65" s="1124"/>
      <c r="C65" s="393" t="s">
        <v>495</v>
      </c>
      <c r="D65" s="362">
        <f>Assumptions!L29</f>
        <v>0.04</v>
      </c>
      <c r="E65" s="363">
        <f>Assumptions!M29</f>
        <v>0.1</v>
      </c>
      <c r="F65" s="390" t="str">
        <f>Assumptions!O29</f>
        <v>% Net Income</v>
      </c>
      <c r="G65" s="238"/>
      <c r="I65" s="238"/>
      <c r="J65" s="238"/>
      <c r="K65" s="238"/>
      <c r="L65" s="238"/>
      <c r="M65" s="238"/>
      <c r="N65" s="238"/>
      <c r="O65" s="238"/>
      <c r="P65" s="238"/>
      <c r="Q65" s="238"/>
      <c r="R65" s="238"/>
      <c r="S65" s="238"/>
      <c r="T65" s="238"/>
      <c r="U65" s="238"/>
      <c r="V65" s="238"/>
      <c r="W65" s="238"/>
      <c r="X65" s="238"/>
      <c r="Y65" s="238"/>
      <c r="Z65" s="238"/>
      <c r="AA65" s="238"/>
      <c r="AB65" s="238"/>
      <c r="AC65" s="238"/>
      <c r="AD65" s="238"/>
      <c r="AE65" s="238"/>
      <c r="AF65" s="238"/>
      <c r="AG65" s="238"/>
    </row>
    <row r="66" spans="1:33" ht="15" customHeight="1">
      <c r="A66" s="1124"/>
      <c r="C66" s="393" t="s">
        <v>496</v>
      </c>
      <c r="D66" s="362">
        <f>Assumptions!L30</f>
        <v>6.5000000000000002E-2</v>
      </c>
      <c r="E66" s="363">
        <f>Assumptions!M30</f>
        <v>0.03</v>
      </c>
      <c r="F66" s="390" t="str">
        <f>Assumptions!O30</f>
        <v>% Revenue</v>
      </c>
      <c r="G66" s="238"/>
      <c r="I66" s="238"/>
      <c r="J66" s="238"/>
      <c r="K66" s="238"/>
      <c r="L66" s="238"/>
      <c r="M66" s="238"/>
      <c r="N66" s="238"/>
      <c r="O66" s="238"/>
      <c r="P66" s="238"/>
      <c r="Q66" s="238"/>
      <c r="R66" s="238"/>
      <c r="S66" s="238"/>
      <c r="T66" s="238"/>
      <c r="U66" s="238"/>
      <c r="V66" s="238"/>
      <c r="W66" s="238"/>
      <c r="X66" s="238"/>
      <c r="Y66" s="238"/>
      <c r="Z66" s="238"/>
      <c r="AA66" s="238"/>
      <c r="AB66" s="238"/>
      <c r="AC66" s="238"/>
      <c r="AD66" s="238"/>
      <c r="AE66" s="238"/>
      <c r="AF66" s="238"/>
      <c r="AG66" s="238"/>
    </row>
    <row r="67" spans="1:33" ht="15.75" customHeight="1">
      <c r="A67" s="1124"/>
      <c r="C67" s="391" t="s">
        <v>305</v>
      </c>
      <c r="D67" s="579">
        <f>Assumptions!L31</f>
        <v>2.8</v>
      </c>
      <c r="E67" s="579">
        <f>Assumptions!M31</f>
        <v>2.5</v>
      </c>
      <c r="F67" s="578" t="s">
        <v>497</v>
      </c>
      <c r="G67" s="238"/>
      <c r="J67" s="238"/>
      <c r="K67" s="238"/>
      <c r="L67" s="238"/>
      <c r="M67" s="238"/>
      <c r="N67" s="238"/>
      <c r="O67" s="238"/>
      <c r="P67" s="238"/>
      <c r="Q67" s="238"/>
      <c r="R67" s="238"/>
      <c r="S67" s="238"/>
      <c r="T67" s="238"/>
      <c r="U67" s="238"/>
      <c r="V67" s="238"/>
      <c r="W67" s="238"/>
      <c r="X67" s="238"/>
      <c r="Y67" s="238"/>
      <c r="Z67" s="238"/>
      <c r="AA67" s="238"/>
      <c r="AB67" s="238"/>
      <c r="AC67" s="238"/>
      <c r="AD67" s="238"/>
      <c r="AE67" s="238"/>
      <c r="AF67" s="238"/>
      <c r="AG67" s="238"/>
    </row>
    <row r="68" spans="1:33" ht="14.45">
      <c r="A68" s="238"/>
      <c r="C68" s="238"/>
      <c r="D68" s="238"/>
      <c r="E68" s="238"/>
      <c r="F68" s="238"/>
      <c r="G68" s="238"/>
      <c r="H68" s="238"/>
      <c r="I68" s="238"/>
      <c r="J68" s="238"/>
      <c r="K68" s="238"/>
      <c r="L68" s="238"/>
      <c r="M68" s="238"/>
      <c r="N68" s="238"/>
      <c r="O68" s="238"/>
      <c r="P68" s="238"/>
      <c r="Q68" s="238"/>
      <c r="R68" s="238"/>
      <c r="S68" s="238"/>
      <c r="T68" s="238"/>
      <c r="U68" s="238"/>
      <c r="V68" s="238"/>
      <c r="W68" s="238"/>
      <c r="X68" s="238"/>
      <c r="Y68" s="238"/>
      <c r="Z68" s="238"/>
      <c r="AA68" s="238"/>
      <c r="AB68" s="238"/>
      <c r="AC68" s="238"/>
      <c r="AD68" s="238"/>
      <c r="AE68" s="238"/>
      <c r="AF68" s="238"/>
      <c r="AG68" s="238"/>
    </row>
    <row r="69" spans="1:33" ht="14.45">
      <c r="A69" s="1100" t="s">
        <v>102</v>
      </c>
      <c r="C69" s="295"/>
      <c r="D69" s="366" t="s">
        <v>498</v>
      </c>
      <c r="E69" s="2"/>
      <c r="G69" s="238"/>
      <c r="H69" s="238"/>
      <c r="I69" s="238"/>
      <c r="J69" s="238"/>
      <c r="K69" s="238"/>
      <c r="L69" s="238"/>
      <c r="M69" s="238"/>
      <c r="N69" s="238"/>
      <c r="O69" s="238"/>
      <c r="P69" s="238"/>
      <c r="Q69" s="238"/>
      <c r="R69" s="238"/>
      <c r="S69" s="238"/>
      <c r="T69" s="238"/>
      <c r="U69" s="238"/>
      <c r="V69" s="238"/>
      <c r="W69" s="238"/>
      <c r="X69" s="238"/>
      <c r="Y69" s="238"/>
      <c r="Z69" s="238"/>
      <c r="AA69" s="238"/>
      <c r="AB69" s="238"/>
      <c r="AC69" s="238"/>
      <c r="AD69" s="238"/>
      <c r="AE69" s="238"/>
      <c r="AF69" s="238"/>
      <c r="AG69" s="238"/>
    </row>
    <row r="70" spans="1:33" ht="14.45">
      <c r="A70" s="1101"/>
      <c r="C70" s="295" t="s">
        <v>499</v>
      </c>
      <c r="D70" s="367">
        <f>SUMPRODUCT(G35:AF35,G45:AF45)+((AF43-AF44)*AF45)</f>
        <v>930.79988196804095</v>
      </c>
      <c r="E70" s="330">
        <f>D70/D72</f>
        <v>0.59640344238041465</v>
      </c>
      <c r="G70" s="238"/>
      <c r="H70" s="238"/>
      <c r="I70" s="238"/>
      <c r="J70" s="238"/>
      <c r="K70" s="238"/>
      <c r="L70" s="238"/>
      <c r="M70" s="238"/>
      <c r="N70" s="238"/>
      <c r="O70" s="238"/>
      <c r="P70" s="238"/>
      <c r="Q70" s="238"/>
      <c r="R70" s="238"/>
      <c r="S70" s="238"/>
      <c r="T70" s="238"/>
      <c r="U70" s="238"/>
      <c r="V70" s="238"/>
      <c r="W70" s="238"/>
      <c r="X70" s="238"/>
      <c r="Y70" s="238"/>
      <c r="Z70" s="238"/>
      <c r="AA70" s="238"/>
      <c r="AB70" s="238"/>
      <c r="AC70" s="238"/>
      <c r="AD70" s="238"/>
      <c r="AE70" s="238"/>
      <c r="AF70" s="238"/>
      <c r="AG70" s="238"/>
    </row>
    <row r="71" spans="1:33" ht="14.45">
      <c r="A71" s="1101"/>
      <c r="C71" s="295" t="s">
        <v>500</v>
      </c>
      <c r="D71" s="367">
        <f>(AF34/(F50-AF5))*AF45</f>
        <v>629.8884303813237</v>
      </c>
      <c r="E71" s="330">
        <f>D71/D72</f>
        <v>0.40359655761958529</v>
      </c>
      <c r="G71" s="238"/>
      <c r="H71" s="238"/>
      <c r="I71" s="238"/>
      <c r="J71" s="238"/>
      <c r="K71" s="238"/>
      <c r="L71" s="238"/>
      <c r="M71" s="238"/>
      <c r="N71" s="238"/>
      <c r="O71" s="238"/>
      <c r="P71" s="238"/>
      <c r="Q71" s="238"/>
      <c r="R71" s="238"/>
      <c r="S71" s="238"/>
      <c r="T71" s="238"/>
      <c r="U71" s="238"/>
      <c r="V71" s="238"/>
      <c r="W71" s="238"/>
      <c r="X71" s="238"/>
      <c r="Y71" s="238"/>
      <c r="Z71" s="238"/>
      <c r="AA71" s="238"/>
      <c r="AB71" s="238"/>
      <c r="AC71" s="238"/>
      <c r="AD71" s="238"/>
      <c r="AE71" s="238"/>
      <c r="AF71" s="238"/>
      <c r="AG71" s="238"/>
    </row>
    <row r="72" spans="1:33" ht="14.45">
      <c r="A72" s="1101"/>
      <c r="C72" s="295" t="s">
        <v>501</v>
      </c>
      <c r="D72" s="367">
        <f>D70+D71</f>
        <v>1560.6883123493647</v>
      </c>
      <c r="E72" s="2"/>
      <c r="G72" s="238"/>
      <c r="H72" s="238"/>
      <c r="I72" s="238"/>
      <c r="J72" s="238"/>
      <c r="K72" s="238"/>
      <c r="L72" s="238"/>
      <c r="M72" s="238"/>
      <c r="N72" s="238"/>
      <c r="O72" s="238"/>
      <c r="P72" s="238"/>
      <c r="Q72" s="238"/>
      <c r="R72" s="238"/>
      <c r="S72" s="238"/>
      <c r="T72" s="238"/>
      <c r="U72" s="238"/>
      <c r="V72" s="238"/>
      <c r="W72" s="238"/>
      <c r="X72" s="238"/>
      <c r="Y72" s="238"/>
      <c r="Z72" s="238"/>
      <c r="AA72" s="238"/>
      <c r="AB72" s="238"/>
      <c r="AC72" s="238"/>
      <c r="AD72" s="238"/>
      <c r="AE72" s="238"/>
      <c r="AF72" s="238"/>
      <c r="AG72" s="238"/>
    </row>
    <row r="73" spans="1:33" ht="14.45">
      <c r="A73" s="1101"/>
      <c r="C73" s="563" t="s">
        <v>502</v>
      </c>
      <c r="D73" s="564">
        <f ca="1">OP!C20</f>
        <v>9.44</v>
      </c>
      <c r="E73" s="296"/>
      <c r="G73" s="238"/>
      <c r="H73" s="238"/>
      <c r="I73" s="238"/>
      <c r="J73" s="238"/>
      <c r="K73" s="238"/>
      <c r="L73" s="238"/>
      <c r="M73" s="238"/>
      <c r="N73" s="238"/>
      <c r="O73" s="238"/>
      <c r="P73" s="238"/>
      <c r="Q73" s="238"/>
      <c r="R73" s="238"/>
      <c r="S73" s="238"/>
      <c r="T73" s="238"/>
      <c r="U73" s="238"/>
      <c r="V73" s="238"/>
      <c r="W73" s="238"/>
      <c r="X73" s="238"/>
      <c r="Y73" s="238"/>
      <c r="Z73" s="238"/>
      <c r="AA73" s="238"/>
      <c r="AB73" s="238"/>
      <c r="AC73" s="238"/>
      <c r="AD73" s="238"/>
      <c r="AE73" s="238"/>
      <c r="AF73" s="238"/>
      <c r="AG73" s="238"/>
    </row>
    <row r="74" spans="1:33" ht="14.45">
      <c r="A74" s="1101"/>
      <c r="C74" s="563" t="s">
        <v>503</v>
      </c>
      <c r="D74" s="368">
        <f ca="1">D75/D73-1</f>
        <v>-0.34933471552955675</v>
      </c>
      <c r="H74" s="238"/>
      <c r="I74" s="238"/>
      <c r="J74" s="238"/>
      <c r="K74" s="238"/>
      <c r="L74" s="238"/>
      <c r="M74" s="238"/>
      <c r="N74" s="238"/>
      <c r="O74" s="238"/>
      <c r="P74" s="238"/>
      <c r="Q74" s="238"/>
      <c r="R74" s="238"/>
      <c r="S74" s="238"/>
      <c r="T74" s="238"/>
      <c r="U74" s="238"/>
      <c r="V74" s="238"/>
      <c r="W74" s="238"/>
      <c r="X74" s="238"/>
      <c r="Y74" s="238"/>
      <c r="Z74" s="238"/>
      <c r="AA74" s="238"/>
      <c r="AB74" s="238"/>
      <c r="AC74" s="238"/>
      <c r="AD74" s="238"/>
      <c r="AE74" s="238"/>
      <c r="AF74" s="238"/>
      <c r="AG74" s="238"/>
    </row>
    <row r="75" spans="1:33" ht="14.45">
      <c r="A75" s="1102"/>
      <c r="C75" s="369" t="s">
        <v>504</v>
      </c>
      <c r="D75" s="370">
        <f ca="1">D72*1000000/OP!C21</f>
        <v>6.1422802854009841</v>
      </c>
    </row>
    <row r="76" spans="1:33" ht="14.45">
      <c r="A76" s="351"/>
      <c r="C76" s="296"/>
      <c r="D76" s="565"/>
    </row>
    <row r="77" spans="1:33" ht="14.45">
      <c r="A77" s="1096" t="s">
        <v>505</v>
      </c>
      <c r="C77" s="385" t="s">
        <v>506</v>
      </c>
      <c r="D77" s="564">
        <f ca="1">(SUMPRODUCT(G35:AF35,G45:AF45)+((AF43-AF44)*AF45)+(AF34/(F50+0.001-AF5))*AF45)*1000000/OP!C21</f>
        <v>6.0980123714880818</v>
      </c>
      <c r="E77" s="371">
        <f ca="1">D77/D75-1</f>
        <v>-7.2070813860641847E-3</v>
      </c>
    </row>
    <row r="78" spans="1:33" ht="14.45">
      <c r="A78" s="1097"/>
      <c r="C78" s="385" t="s">
        <v>507</v>
      </c>
      <c r="D78" s="564">
        <f ca="1">(SUMPRODUCT(G35:AF35,G45:AF45)+((AF43-AF44)*AF45)+(AF34/(F50+0.005-AF5))*AF45)*1000000/OP!C21</f>
        <v>5.9356966871407764</v>
      </c>
      <c r="E78" s="371">
        <f ca="1">D78/D75-1</f>
        <v>-3.3633046468298899E-2</v>
      </c>
    </row>
    <row r="79" spans="1:33" ht="14.45">
      <c r="A79" s="383"/>
      <c r="C79" s="384"/>
      <c r="D79" s="565"/>
      <c r="E79" s="371"/>
    </row>
    <row r="80" spans="1:33" ht="14.45">
      <c r="A80" s="590" t="s">
        <v>508</v>
      </c>
      <c r="C80" s="581" t="s">
        <v>509</v>
      </c>
      <c r="D80" s="370">
        <f ca="1">D75/1.15</f>
        <v>5.3411132916530297</v>
      </c>
      <c r="J80" s="5"/>
    </row>
    <row r="81" spans="7:12">
      <c r="G81" s="1"/>
      <c r="H81" s="1"/>
      <c r="I81" s="1"/>
      <c r="J81" s="4"/>
    </row>
    <row r="82" spans="7:12">
      <c r="G82" s="1"/>
      <c r="H82" s="1"/>
      <c r="I82" s="1"/>
      <c r="J82" s="4"/>
    </row>
    <row r="83" spans="7:12">
      <c r="G83" s="1"/>
      <c r="H83" s="1"/>
      <c r="I83" s="1"/>
      <c r="K83" s="4"/>
    </row>
    <row r="84" spans="7:12">
      <c r="L84" s="5"/>
    </row>
    <row r="85" spans="7:12">
      <c r="G85" s="1"/>
      <c r="H85" s="1"/>
      <c r="I85" s="1"/>
    </row>
    <row r="86" spans="7:12">
      <c r="G86" s="1"/>
      <c r="H86" s="1"/>
      <c r="I86" s="1"/>
    </row>
    <row r="87" spans="7:12">
      <c r="G87" s="1"/>
      <c r="H87" s="1"/>
      <c r="I87" s="1"/>
    </row>
  </sheetData>
  <mergeCells count="15">
    <mergeCell ref="A33:AF33"/>
    <mergeCell ref="A77:A78"/>
    <mergeCell ref="A1:AF2"/>
    <mergeCell ref="A69:A75"/>
    <mergeCell ref="A5:A17"/>
    <mergeCell ref="A19:A32"/>
    <mergeCell ref="A43:A47"/>
    <mergeCell ref="G3:J3"/>
    <mergeCell ref="K3:AF3"/>
    <mergeCell ref="A42:AF42"/>
    <mergeCell ref="A48:AF48"/>
    <mergeCell ref="A34:A36"/>
    <mergeCell ref="A38:A41"/>
    <mergeCell ref="A49:A50"/>
    <mergeCell ref="A52:A67"/>
  </mergeCells>
  <phoneticPr fontId="0" type="noConversion"/>
  <conditionalFormatting sqref="D74">
    <cfRule type="cellIs" dxfId="1" priority="1" operator="lessThan">
      <formula>0</formula>
    </cfRule>
    <cfRule type="cellIs" dxfId="0" priority="2" operator="greaterThan">
      <formula>0%</formula>
    </cfRule>
  </conditionalFormatting>
  <pageMargins left="0.75" right="0.75" top="1" bottom="1" header="0" footer="0"/>
  <pageSetup orientation="portrait" r:id="rId1"/>
  <headerFooter alignWithMargins="0"/>
  <ignoredErrors>
    <ignoredError sqref="D28:F28" formulaRange="1"/>
    <ignoredError sqref="H43" formula="1"/>
  </ignoredError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4465F-F60F-4DA4-8EB4-9D275D264FB2}">
  <dimension ref="A2:AI84"/>
  <sheetViews>
    <sheetView showGridLines="0" topLeftCell="A2" zoomScale="85" zoomScaleNormal="85" workbookViewId="0">
      <selection activeCell="E39" sqref="E39"/>
    </sheetView>
  </sheetViews>
  <sheetFormatPr defaultColWidth="9.140625" defaultRowHeight="12.75" customHeight="1"/>
  <cols>
    <col min="1" max="1" width="9.140625" style="533"/>
    <col min="2" max="2" width="22.85546875" style="533" customWidth="1"/>
    <col min="3" max="3" width="18" style="533" customWidth="1"/>
    <col min="4" max="4" width="19.85546875" style="533" bestFit="1" customWidth="1"/>
    <col min="5" max="5" width="21.7109375" style="533" customWidth="1"/>
    <col min="6" max="6" width="31.7109375" style="533" customWidth="1"/>
    <col min="7" max="7" width="14.42578125" style="533" customWidth="1"/>
    <col min="8" max="8" width="21.85546875" style="533" customWidth="1"/>
    <col min="9" max="13" width="14.140625" style="533" customWidth="1"/>
    <col min="14" max="16" width="11.28515625" style="533" bestFit="1" customWidth="1"/>
    <col min="17" max="17" width="11.7109375" style="533" bestFit="1" customWidth="1"/>
    <col min="18" max="18" width="11.28515625" style="533" bestFit="1" customWidth="1"/>
    <col min="19" max="19" width="18.42578125" style="533" bestFit="1" customWidth="1"/>
    <col min="20" max="20" width="18.140625" style="533" bestFit="1" customWidth="1"/>
    <col min="21" max="21" width="12.28515625" style="533" bestFit="1" customWidth="1"/>
    <col min="22" max="22" width="22.140625" style="533" bestFit="1" customWidth="1"/>
    <col min="23" max="34" width="12.28515625" style="533" bestFit="1" customWidth="1"/>
    <col min="35" max="16384" width="9.140625" style="533"/>
  </cols>
  <sheetData>
    <row r="2" spans="1:34" s="532" customFormat="1" ht="15" customHeight="1">
      <c r="A2" s="529"/>
      <c r="B2" s="530" t="s">
        <v>510</v>
      </c>
      <c r="C2" s="531"/>
      <c r="D2" s="529"/>
      <c r="E2" s="529"/>
      <c r="F2" s="529"/>
      <c r="G2" s="529"/>
      <c r="H2" s="529"/>
      <c r="I2" s="529"/>
      <c r="J2" s="529"/>
      <c r="K2" s="529"/>
      <c r="L2" s="529"/>
      <c r="M2" s="529"/>
      <c r="N2" s="529"/>
      <c r="O2" s="529"/>
      <c r="P2" s="529"/>
      <c r="Q2" s="529"/>
      <c r="R2" s="529"/>
      <c r="S2" s="529"/>
      <c r="T2" s="529"/>
      <c r="U2" s="529"/>
      <c r="V2" s="529"/>
      <c r="W2" s="529"/>
      <c r="X2" s="529"/>
      <c r="Y2" s="529"/>
      <c r="Z2" s="529"/>
      <c r="AA2" s="529"/>
      <c r="AB2" s="529"/>
      <c r="AC2" s="529"/>
      <c r="AD2" s="529"/>
      <c r="AE2" s="529"/>
      <c r="AF2" s="529"/>
      <c r="AG2" s="529"/>
      <c r="AH2" s="529"/>
    </row>
    <row r="3" spans="1:34" ht="12.6" customHeight="1">
      <c r="C3" s="534"/>
    </row>
    <row r="4" spans="1:34" ht="12.95">
      <c r="B4" s="533" t="s">
        <v>511</v>
      </c>
      <c r="F4" s="535"/>
      <c r="G4" s="536"/>
      <c r="H4" s="536"/>
      <c r="I4" s="536"/>
      <c r="J4" s="536"/>
      <c r="K4" s="536"/>
      <c r="L4" s="536"/>
      <c r="M4" s="536"/>
    </row>
    <row r="5" spans="1:34" ht="12.6">
      <c r="B5" s="537"/>
      <c r="G5" s="538"/>
      <c r="H5" s="538"/>
      <c r="I5" s="538"/>
      <c r="J5" s="538"/>
      <c r="K5" s="538"/>
      <c r="L5" s="538"/>
      <c r="M5" s="538"/>
    </row>
    <row r="6" spans="1:34" ht="12.6">
      <c r="B6" s="533" t="s">
        <v>512</v>
      </c>
      <c r="C6" s="682" t="s">
        <v>513</v>
      </c>
      <c r="F6" s="682" t="s">
        <v>514</v>
      </c>
    </row>
    <row r="8" spans="1:34" ht="12.95">
      <c r="B8" s="536"/>
      <c r="C8" s="552">
        <v>2023</v>
      </c>
      <c r="D8" s="552">
        <f>C8-1</f>
        <v>2022</v>
      </c>
      <c r="E8" s="552">
        <f t="shared" ref="E8:G8" si="0">D8-1</f>
        <v>2021</v>
      </c>
      <c r="F8" s="552">
        <f t="shared" si="0"/>
        <v>2020</v>
      </c>
      <c r="G8" s="552">
        <f t="shared" si="0"/>
        <v>2019</v>
      </c>
      <c r="H8" s="552"/>
      <c r="I8" s="552" t="s">
        <v>515</v>
      </c>
      <c r="J8" s="552"/>
      <c r="L8" s="548" t="s">
        <v>516</v>
      </c>
      <c r="M8" s="548" t="s">
        <v>517</v>
      </c>
      <c r="O8" s="552"/>
    </row>
    <row r="9" spans="1:34" ht="12.95">
      <c r="B9" s="551" t="s">
        <v>518</v>
      </c>
      <c r="C9" s="392">
        <f>(Inputs!B6-Inputs!C6)/Inputs!C6</f>
        <v>0.30959949141767323</v>
      </c>
      <c r="D9" s="392">
        <f>(Inputs!C6-Inputs!D6)/Inputs!D6</f>
        <v>2.8776978417266189E-2</v>
      </c>
      <c r="E9" s="392">
        <f>(Inputs!D6-Inputs!E6)/Inputs!E6</f>
        <v>0.32037996545768566</v>
      </c>
      <c r="F9" s="392">
        <f>(Inputs!E6-Inputs!F6)/Inputs!F6</f>
        <v>-0.21703853955375255</v>
      </c>
      <c r="G9" s="392">
        <f>(Inputs!F6-Inputs!G6)/Inputs!G6</f>
        <v>5.9455587392550142E-2</v>
      </c>
      <c r="H9" s="284"/>
      <c r="I9" s="540">
        <f>AVERAGE(C9:G9)</f>
        <v>0.10023469662628455</v>
      </c>
      <c r="J9" s="540"/>
      <c r="L9" s="664">
        <v>0.05</v>
      </c>
      <c r="M9" s="687">
        <v>0.03</v>
      </c>
      <c r="O9" s="538"/>
    </row>
    <row r="10" spans="1:34" ht="12.75" customHeight="1">
      <c r="B10" s="551" t="s">
        <v>117</v>
      </c>
      <c r="C10" s="392">
        <f>Inputs!B8/Inputs!B6</f>
        <v>0.11683009708737864</v>
      </c>
      <c r="D10" s="392">
        <f>Inputs!C8/Inputs!C6</f>
        <v>0.10912269548633186</v>
      </c>
      <c r="E10" s="392">
        <f>Inputs!D8/Inputs!D6</f>
        <v>9.2851536952256369E-2</v>
      </c>
      <c r="F10" s="392">
        <f>Inputs!E8/Inputs!E6</f>
        <v>2.0803108808290154E-2</v>
      </c>
      <c r="G10" s="392">
        <f>Inputs!F8/Inputs!F6</f>
        <v>8.1920216362407025E-2</v>
      </c>
      <c r="H10" s="284"/>
      <c r="I10" s="540">
        <f>AVERAGE(C10:G10)</f>
        <v>8.430553093933281E-2</v>
      </c>
      <c r="J10" s="540"/>
      <c r="L10" s="664">
        <v>0.13</v>
      </c>
      <c r="M10" s="664">
        <v>0.14000000000000001</v>
      </c>
      <c r="O10" s="538"/>
    </row>
    <row r="13" spans="1:34" s="532" customFormat="1" ht="14.1">
      <c r="A13" s="529"/>
      <c r="B13" s="531" t="s">
        <v>519</v>
      </c>
      <c r="C13" s="531"/>
      <c r="D13" s="529"/>
      <c r="E13" s="529"/>
      <c r="F13" s="529"/>
      <c r="G13" s="529"/>
      <c r="H13" s="529"/>
      <c r="I13" s="529"/>
      <c r="J13" s="529"/>
      <c r="K13" s="529"/>
      <c r="L13" s="529"/>
      <c r="M13" s="529"/>
      <c r="N13" s="529"/>
      <c r="O13" s="529"/>
      <c r="P13" s="529"/>
      <c r="Q13" s="529"/>
      <c r="R13" s="529"/>
      <c r="S13" s="529"/>
      <c r="T13" s="529"/>
      <c r="U13" s="529"/>
      <c r="V13" s="529"/>
      <c r="W13" s="529"/>
      <c r="X13" s="529"/>
      <c r="Y13" s="529"/>
      <c r="Z13" s="529"/>
      <c r="AA13" s="529"/>
      <c r="AB13" s="529"/>
      <c r="AC13" s="529"/>
      <c r="AD13" s="529"/>
      <c r="AE13" s="529"/>
      <c r="AF13" s="529"/>
      <c r="AG13" s="529"/>
      <c r="AH13" s="529"/>
    </row>
    <row r="14" spans="1:34" ht="14.1">
      <c r="A14" s="549"/>
      <c r="B14" s="550"/>
      <c r="C14" s="550"/>
      <c r="D14" s="549"/>
      <c r="E14" s="549"/>
      <c r="F14" s="549"/>
      <c r="G14" s="549"/>
      <c r="H14" s="549"/>
      <c r="I14" s="549"/>
      <c r="J14" s="549"/>
      <c r="K14" s="549"/>
      <c r="L14" s="549"/>
      <c r="M14" s="549"/>
      <c r="N14" s="549"/>
      <c r="O14" s="549"/>
      <c r="P14" s="549"/>
      <c r="Q14" s="549"/>
      <c r="R14" s="549"/>
      <c r="S14" s="549"/>
      <c r="T14" s="549"/>
      <c r="U14" s="549"/>
      <c r="V14" s="549"/>
      <c r="W14" s="549"/>
      <c r="X14" s="549"/>
      <c r="Y14" s="549"/>
      <c r="Z14" s="549"/>
      <c r="AA14" s="549"/>
      <c r="AB14" s="549"/>
      <c r="AC14" s="549"/>
      <c r="AD14" s="549"/>
      <c r="AE14" s="549"/>
      <c r="AF14" s="549"/>
      <c r="AG14" s="549"/>
      <c r="AH14" s="549"/>
    </row>
    <row r="15" spans="1:34" ht="14.45">
      <c r="C15" s="1125" t="s">
        <v>520</v>
      </c>
      <c r="D15" s="1125"/>
      <c r="E15" s="1125"/>
      <c r="F15" s="1125"/>
      <c r="G15" s="1125"/>
      <c r="H15" s="675"/>
      <c r="I15" s="674"/>
      <c r="J15" s="674"/>
      <c r="K15" s="674"/>
      <c r="L15" s="674"/>
      <c r="M15" s="674"/>
    </row>
    <row r="16" spans="1:34" ht="14.45">
      <c r="B16" s="539"/>
      <c r="C16" s="547">
        <f>C8</f>
        <v>2023</v>
      </c>
      <c r="D16" s="547">
        <f>D8</f>
        <v>2022</v>
      </c>
      <c r="E16" s="547">
        <f>E8</f>
        <v>2021</v>
      </c>
      <c r="F16" s="547">
        <f>F8</f>
        <v>2020</v>
      </c>
      <c r="G16" s="547">
        <f>G8</f>
        <v>2019</v>
      </c>
      <c r="H16" s="676"/>
      <c r="I16" s="547" t="str">
        <f>I8</f>
        <v xml:space="preserve">5Y Average </v>
      </c>
      <c r="J16" s="547"/>
      <c r="L16" s="548" t="s">
        <v>516</v>
      </c>
      <c r="M16" s="548" t="s">
        <v>517</v>
      </c>
      <c r="O16" s="577" t="s">
        <v>521</v>
      </c>
    </row>
    <row r="17" spans="2:35" ht="14.45">
      <c r="B17" s="551" t="s">
        <v>484</v>
      </c>
      <c r="C17" s="678">
        <f>DCF!F9/DCF!F40</f>
        <v>-2.3138228377319051E-2</v>
      </c>
      <c r="D17" s="678">
        <f>DCF!E9/DCF!E40</f>
        <v>-2.6598617914951477E-2</v>
      </c>
      <c r="E17" s="678">
        <f>DCF!D9/DCF!D40</f>
        <v>-2.8143821865303887E-2</v>
      </c>
      <c r="F17" s="678">
        <f>-175.8/727.6</f>
        <v>-0.24161627267729521</v>
      </c>
      <c r="G17" s="678">
        <f>-173.6/823.9</f>
        <v>-0.2107051826677995</v>
      </c>
      <c r="H17" s="676"/>
      <c r="I17" s="540">
        <f>AVERAGE(C17:G17)</f>
        <v>-0.10604042470053383</v>
      </c>
      <c r="J17" s="540"/>
      <c r="L17" s="817">
        <v>2.5000000000000001E-2</v>
      </c>
      <c r="M17" s="817">
        <v>2.5000000000000001E-2</v>
      </c>
      <c r="O17" s="576" t="s">
        <v>522</v>
      </c>
      <c r="AI17" s="541"/>
    </row>
    <row r="18" spans="2:35" ht="14.45">
      <c r="B18" s="551" t="s">
        <v>485</v>
      </c>
      <c r="C18" s="679">
        <f>DCF!F10/DCF!F38</f>
        <v>-2.2165927802406584E-2</v>
      </c>
      <c r="D18" s="679">
        <f>DCF!E10/DCF!E38</f>
        <v>-2.459520393523263E-2</v>
      </c>
      <c r="E18" s="679">
        <f>DCF!D10/DCF!D38</f>
        <v>-2.0686801820438562E-2</v>
      </c>
      <c r="F18" s="679">
        <f>-13.03/473.7</f>
        <v>-2.7506860882415031E-2</v>
      </c>
      <c r="G18" s="679">
        <f>-13.73/470.8</f>
        <v>-2.9163126593033134E-2</v>
      </c>
      <c r="H18" s="676"/>
      <c r="I18" s="540">
        <f>AVERAGE(C18:G18)</f>
        <v>-2.4823584206705183E-2</v>
      </c>
      <c r="J18" s="540"/>
      <c r="L18" s="817">
        <v>2.5000000000000001E-2</v>
      </c>
      <c r="M18" s="817">
        <v>2.5000000000000001E-2</v>
      </c>
      <c r="O18" s="576" t="s">
        <v>523</v>
      </c>
    </row>
    <row r="19" spans="2:35" ht="14.45">
      <c r="B19" s="551" t="s">
        <v>486</v>
      </c>
      <c r="C19" s="679">
        <f>DCF!F11/DCF!F6</f>
        <v>-6.9524271844660188E-2</v>
      </c>
      <c r="D19" s="679">
        <f>DCF!E11/DCF!E6</f>
        <v>-7.7940241576605215E-2</v>
      </c>
      <c r="E19" s="679">
        <f>DCF!D11/DCF!D6</f>
        <v>-7.6128188358404195E-2</v>
      </c>
      <c r="F19" s="680" t="s">
        <v>524</v>
      </c>
      <c r="G19" s="680" t="s">
        <v>524</v>
      </c>
      <c r="H19" s="676"/>
      <c r="I19" s="540">
        <f>AVERAGE(C19:E19)</f>
        <v>-7.4530900593223204E-2</v>
      </c>
      <c r="J19" s="540"/>
      <c r="L19" s="817">
        <v>0.06</v>
      </c>
      <c r="M19" s="817">
        <v>0.06</v>
      </c>
      <c r="O19" s="576" t="s">
        <v>525</v>
      </c>
    </row>
    <row r="20" spans="2:35" ht="12.6" customHeight="1">
      <c r="B20" s="551" t="s">
        <v>487</v>
      </c>
      <c r="C20" s="678">
        <f>'Fin. Data'!B21/('Fin. Data'!B21+'Fin. Data'!B23)</f>
        <v>-0.37944788495853893</v>
      </c>
      <c r="D20" s="678">
        <f>'Fin. Data'!C21/('Fin. Data'!C21+'Fin. Data'!C23)</f>
        <v>-2.2832929782082321</v>
      </c>
      <c r="E20" s="678">
        <f>'Fin. Data'!D21/('Fin. Data'!D21+'Fin. Data'!D23)</f>
        <v>0.18418783913991582</v>
      </c>
      <c r="F20" s="678">
        <f>'Fin. Data'!E21/('Fin. Data'!E21+'Fin. Data'!E23)</f>
        <v>0.22851797407456906</v>
      </c>
      <c r="G20" s="678">
        <f>'Fin. Data'!F21/('Fin. Data'!F21+'Fin. Data'!F23)</f>
        <v>1.986223662884927</v>
      </c>
      <c r="H20" s="676"/>
      <c r="I20" s="540">
        <f>AVERAGE(C20:G20)</f>
        <v>-5.2762277413471767E-2</v>
      </c>
      <c r="J20" s="540"/>
      <c r="L20" s="817">
        <v>0.24</v>
      </c>
      <c r="M20" s="817">
        <v>0.24</v>
      </c>
      <c r="O20" s="576" t="s">
        <v>526</v>
      </c>
    </row>
    <row r="21" spans="2:35" ht="14.45">
      <c r="B21" s="551" t="s">
        <v>488</v>
      </c>
      <c r="C21" s="679">
        <f>32.86/'Fin. Data'!B58</f>
        <v>2.9884409360022554E-2</v>
      </c>
      <c r="D21" s="679">
        <f>15.45/'Fin. Data'!C58</f>
        <v>1.5785118056336013E-2</v>
      </c>
      <c r="E21" s="679">
        <f>13.99/'Fin. Data'!D58</f>
        <v>1.1533768632106582E-2</v>
      </c>
      <c r="F21" s="678">
        <f>16.41/'Fin. Data'!E58</f>
        <v>1.2481270488374392E-2</v>
      </c>
      <c r="G21" s="678">
        <f>18.77/'Fin. Data'!E58</f>
        <v>1.4276261247214341E-2</v>
      </c>
      <c r="H21" s="676"/>
      <c r="I21" s="540">
        <f>AVERAGE(C21:G21)</f>
        <v>1.6792165556810779E-2</v>
      </c>
      <c r="J21" s="540"/>
      <c r="L21" s="817">
        <f t="shared" ref="L21:L25" si="1">I21</f>
        <v>1.6792165556810779E-2</v>
      </c>
      <c r="M21" s="817">
        <v>2.5000000000000001E-2</v>
      </c>
      <c r="O21" s="576" t="s">
        <v>527</v>
      </c>
    </row>
    <row r="22" spans="2:35" ht="14.45">
      <c r="B22" s="551" t="s">
        <v>489</v>
      </c>
      <c r="C22" s="678">
        <f>3.13/'Fin. Data'!B39</f>
        <v>9.5718654434250768E-3</v>
      </c>
      <c r="D22" s="678">
        <f>1.82/'Fin. Data'!C39</f>
        <v>6.6911764705882351E-3</v>
      </c>
      <c r="E22" s="678">
        <f>2.91/'Fin. Data'!D39</f>
        <v>5.5640535372848948E-3</v>
      </c>
      <c r="F22" s="678">
        <f>4.4/'Fin. Data'!E39</f>
        <v>1.1340206185567012E-2</v>
      </c>
      <c r="G22" s="678">
        <f>6.89/'Fin. Data'!F39</f>
        <v>2.9194915254237286E-2</v>
      </c>
      <c r="H22" s="676"/>
      <c r="I22" s="540">
        <f>AVERAGE(C22:G22)</f>
        <v>1.24724433782205E-2</v>
      </c>
      <c r="J22" s="540"/>
      <c r="L22" s="817">
        <v>0.01</v>
      </c>
      <c r="M22" s="817">
        <v>5.0000000000000001E-3</v>
      </c>
      <c r="O22" s="576" t="s">
        <v>528</v>
      </c>
    </row>
    <row r="23" spans="2:35" ht="14.45">
      <c r="B23" s="551" t="s">
        <v>490</v>
      </c>
      <c r="C23" s="678">
        <f>Inputs!B33/Inputs!C33-1</f>
        <v>0.42568964553802591</v>
      </c>
      <c r="D23" s="678">
        <f>Inputs!C33/Inputs!D33-1</f>
        <v>-2.0095641381324358E-2</v>
      </c>
      <c r="E23" s="678">
        <f>Inputs!D33/Inputs!E33-1</f>
        <v>-0.24702454577939037</v>
      </c>
      <c r="F23" s="678">
        <f>Inputs!E33/Inputs!F33-1</f>
        <v>-0.11686956099573975</v>
      </c>
      <c r="G23" s="681" t="s">
        <v>524</v>
      </c>
      <c r="H23" s="676"/>
      <c r="I23" s="540">
        <f>AVERAGE(C23:F23)</f>
        <v>1.0424974345392857E-2</v>
      </c>
      <c r="J23" s="540"/>
      <c r="L23" s="714" t="s">
        <v>524</v>
      </c>
      <c r="M23" s="714" t="s">
        <v>524</v>
      </c>
      <c r="O23" s="576" t="s">
        <v>529</v>
      </c>
    </row>
    <row r="24" spans="2:35" ht="14.45">
      <c r="B24" s="551" t="s">
        <v>491</v>
      </c>
      <c r="C24" s="678">
        <f>Inputs!B62/(Inputs!B6-Inputs!C6)</f>
        <v>-4.5174537987679675E-2</v>
      </c>
      <c r="D24" s="678">
        <f>Inputs!C62/(Inputs!C6-Inputs!D6)</f>
        <v>-0.90909090909090906</v>
      </c>
      <c r="E24" s="678">
        <f>Inputs!D62/(Inputs!D6-Inputs!E6)</f>
        <v>6.4690026954177901E-2</v>
      </c>
      <c r="F24" s="678">
        <f>Inputs!E62/(Inputs!E6-Inputs!F6)</f>
        <v>3.4267912772585667E-2</v>
      </c>
      <c r="G24" s="678">
        <f>Inputs!F62/(Inputs!F6-Inputs!G6)</f>
        <v>-0.15662650602409639</v>
      </c>
      <c r="H24" s="676"/>
      <c r="I24" s="540">
        <f t="shared" ref="I24:I31" si="2">AVERAGE(C24:G24)</f>
        <v>-0.20238680267518433</v>
      </c>
      <c r="J24" s="540"/>
      <c r="L24" s="817">
        <v>-0.05</v>
      </c>
      <c r="M24" s="817">
        <v>0.8</v>
      </c>
      <c r="O24" s="576" t="s">
        <v>530</v>
      </c>
    </row>
    <row r="25" spans="2:35" ht="14.45">
      <c r="B25" s="551" t="s">
        <v>492</v>
      </c>
      <c r="C25" s="679">
        <v>2.0000000000000001E-4</v>
      </c>
      <c r="D25" s="679">
        <v>5.2699999999999997E-2</v>
      </c>
      <c r="E25" s="679">
        <v>4.9700000000000001E-2</v>
      </c>
      <c r="F25" s="679">
        <v>4.2999999999999997E-2</v>
      </c>
      <c r="G25" s="679">
        <v>5.1900000000000002E-2</v>
      </c>
      <c r="H25" s="676"/>
      <c r="I25" s="540">
        <f t="shared" si="2"/>
        <v>3.95E-2</v>
      </c>
      <c r="J25" s="540"/>
      <c r="L25" s="714" t="s">
        <v>524</v>
      </c>
      <c r="M25" s="714" t="s">
        <v>524</v>
      </c>
      <c r="O25" s="576" t="s">
        <v>531</v>
      </c>
    </row>
    <row r="26" spans="2:35" ht="12.6" customHeight="1">
      <c r="B26" s="551" t="s">
        <v>532</v>
      </c>
      <c r="C26" s="678">
        <f>Inputs!B65/Inputs!B6</f>
        <v>-2.9834951456310679E-2</v>
      </c>
      <c r="D26" s="678">
        <f>Inputs!C65/Inputs!C6</f>
        <v>-3.2752701843610933E-2</v>
      </c>
      <c r="E26" s="678">
        <f>Inputs!D65/Inputs!D6</f>
        <v>-5.8665794637017661E-2</v>
      </c>
      <c r="F26" s="678">
        <f>Inputs!E65/Inputs!E6</f>
        <v>-2.5777202072538863E-2</v>
      </c>
      <c r="G26" s="678">
        <f>Inputs!F65/Inputs!F6</f>
        <v>-3.5165652467883703E-2</v>
      </c>
      <c r="H26" s="676"/>
      <c r="I26" s="540">
        <f t="shared" si="2"/>
        <v>-3.6439260495472366E-2</v>
      </c>
      <c r="J26" s="540"/>
      <c r="L26" s="817">
        <v>-3.5000000000000003E-2</v>
      </c>
      <c r="M26" s="817">
        <v>-0.03</v>
      </c>
      <c r="O26" s="576" t="s">
        <v>525</v>
      </c>
    </row>
    <row r="27" spans="2:35" ht="14.45">
      <c r="B27" s="551" t="s">
        <v>494</v>
      </c>
      <c r="C27" s="678">
        <f>Inputs!B66/Inputs!B6</f>
        <v>4.1485436893203886E-2</v>
      </c>
      <c r="D27" s="678">
        <f>Inputs!C66/Inputs!C6</f>
        <v>-5.390972663699937E-3</v>
      </c>
      <c r="E27" s="678">
        <f>Inputs!D66/Inputs!D6</f>
        <v>-4.7743623283191634E-3</v>
      </c>
      <c r="F27" s="678">
        <f>Inputs!E66/Inputs!E6</f>
        <v>0.11731433506044904</v>
      </c>
      <c r="G27" s="678">
        <f>Inputs!F66/Inputs!F6</f>
        <v>9.8722109533468549E-2</v>
      </c>
      <c r="H27" s="676"/>
      <c r="I27" s="540">
        <f t="shared" si="2"/>
        <v>4.947130929902048E-2</v>
      </c>
      <c r="J27" s="540"/>
      <c r="L27" s="817">
        <v>-1.4999999999999999E-2</v>
      </c>
      <c r="M27" s="817">
        <v>-0.04</v>
      </c>
      <c r="O27" s="576" t="s">
        <v>525</v>
      </c>
    </row>
    <row r="28" spans="2:35" ht="14.45">
      <c r="B28" s="551" t="s">
        <v>127</v>
      </c>
      <c r="C28" s="678">
        <f>Inputs!B73/Inputs!B12</f>
        <v>-0.2059808248364024</v>
      </c>
      <c r="D28" s="678">
        <f>Inputs!C73/Inputs!C12</f>
        <v>-0.42459439528023601</v>
      </c>
      <c r="E28" s="678">
        <f>Inputs!D73/Inputs!D12</f>
        <v>-7.459439298812705E-4</v>
      </c>
      <c r="F28" s="678">
        <f>Inputs!E73/Inputs!E12</f>
        <v>0</v>
      </c>
      <c r="G28" s="678">
        <f>Inputs!F73/Inputs!F12</f>
        <v>0</v>
      </c>
      <c r="H28" s="676"/>
      <c r="I28" s="540">
        <f t="shared" si="2"/>
        <v>-0.12626423280930393</v>
      </c>
      <c r="J28" s="540"/>
      <c r="L28" s="817">
        <v>0.2</v>
      </c>
      <c r="M28" s="817">
        <v>0.4</v>
      </c>
      <c r="O28" s="576" t="s">
        <v>533</v>
      </c>
    </row>
    <row r="29" spans="2:35" ht="14.45">
      <c r="B29" s="551" t="s">
        <v>495</v>
      </c>
      <c r="C29" s="678">
        <f>Inputs!B74/Inputs!B12</f>
        <v>-3.0436767615279262E-2</v>
      </c>
      <c r="D29" s="678">
        <f>Inputs!C74/Inputs!C12</f>
        <v>-0.27654867256637167</v>
      </c>
      <c r="E29" s="678">
        <f>Inputs!D74/Inputs!D12</f>
        <v>4.767824951824454</v>
      </c>
      <c r="F29" s="678">
        <f>Inputs!E74/Inputs!E12</f>
        <v>-1.7322016282695307E-2</v>
      </c>
      <c r="G29" s="678">
        <f>Inputs!F74/Inputs!F12</f>
        <v>0</v>
      </c>
      <c r="H29" s="676"/>
      <c r="I29" s="540">
        <f t="shared" si="2"/>
        <v>0.88870349907202151</v>
      </c>
      <c r="J29" s="540"/>
      <c r="L29" s="817">
        <v>0.04</v>
      </c>
      <c r="M29" s="817">
        <v>0.1</v>
      </c>
      <c r="O29" s="576" t="s">
        <v>533</v>
      </c>
    </row>
    <row r="30" spans="2:35" ht="14.45">
      <c r="B30" s="551" t="s">
        <v>496</v>
      </c>
      <c r="C30" s="678">
        <f>Inputs!B72/Inputs!B6</f>
        <v>6.6019417475728162E-2</v>
      </c>
      <c r="D30" s="678">
        <f>Inputs!C72/Inputs!C6</f>
        <v>8.1373172282263193E-2</v>
      </c>
      <c r="E30" s="678">
        <f>Inputs!D72/Inputs!D6</f>
        <v>7.7828646173969909E-2</v>
      </c>
      <c r="F30" s="678">
        <f>Inputs!E72/Inputs!E6</f>
        <v>8.9810017271157172E-2</v>
      </c>
      <c r="G30" s="678">
        <f>Inputs!F72/Inputs!F6</f>
        <v>8.3840432724814062E-2</v>
      </c>
      <c r="H30" s="676"/>
      <c r="I30" s="540">
        <f t="shared" si="2"/>
        <v>7.9774337185586491E-2</v>
      </c>
      <c r="J30" s="540"/>
      <c r="L30" s="817">
        <v>6.5000000000000002E-2</v>
      </c>
      <c r="M30" s="817">
        <v>0.03</v>
      </c>
      <c r="O30" s="576" t="s">
        <v>525</v>
      </c>
    </row>
    <row r="31" spans="2:35" ht="14.45">
      <c r="B31" s="551" t="s">
        <v>305</v>
      </c>
      <c r="C31" s="580">
        <f>'Fin. Data'!B58/'Fin. Data'!B19</f>
        <v>2.2382193091375413</v>
      </c>
      <c r="D31" s="580">
        <f>'Fin. Data'!C58/'Fin. Data'!C19</f>
        <v>2.4072060993605509</v>
      </c>
      <c r="E31" s="580">
        <f>'Fin. Data'!D58/'Fin. Data'!D19</f>
        <v>2.0376293508936971</v>
      </c>
      <c r="F31" s="580">
        <f>'Fin. Data'!E58/'Fin. Data'!E19</f>
        <v>4.298038574697614</v>
      </c>
      <c r="G31" s="580">
        <f>'Fin. Data'!F58/'Fin. Data'!F19</f>
        <v>3.5266066766650006</v>
      </c>
      <c r="H31" s="676"/>
      <c r="I31" s="815">
        <f t="shared" si="2"/>
        <v>2.9015400021508806</v>
      </c>
      <c r="J31" s="540"/>
      <c r="L31" s="814">
        <v>2.8</v>
      </c>
      <c r="M31" s="814">
        <v>2.5</v>
      </c>
      <c r="O31" s="576" t="s">
        <v>497</v>
      </c>
    </row>
    <row r="34" spans="2:2" s="532" customFormat="1" ht="14.1">
      <c r="B34" s="542" t="s">
        <v>534</v>
      </c>
    </row>
    <row r="35" spans="2:2" s="536" customFormat="1" ht="14.1">
      <c r="B35" s="816"/>
    </row>
    <row r="39" spans="2:2" ht="12" customHeight="1"/>
    <row r="40" spans="2:2" ht="12" customHeight="1"/>
    <row r="41" spans="2:2" ht="12" customHeight="1"/>
    <row r="42" spans="2:2" ht="12" customHeight="1"/>
    <row r="43" spans="2:2" ht="12" customHeight="1"/>
    <row r="44" spans="2:2" ht="12" customHeight="1"/>
    <row r="45" spans="2:2" ht="12" customHeight="1"/>
    <row r="46" spans="2:2" ht="12" customHeight="1"/>
    <row r="47" spans="2:2" ht="12" customHeight="1"/>
    <row r="48" spans="2:2" ht="12" customHeight="1"/>
    <row r="49" ht="12" customHeight="1"/>
    <row r="50" ht="12" customHeight="1"/>
    <row r="51" ht="12" customHeight="1"/>
    <row r="52" ht="12" customHeight="1"/>
    <row r="53" ht="12" customHeight="1"/>
    <row r="54" ht="12" customHeight="1"/>
    <row r="55" ht="12" customHeight="1"/>
    <row r="56" ht="12" customHeight="1"/>
    <row r="57" ht="12" customHeight="1"/>
    <row r="58" ht="12" customHeight="1"/>
    <row r="59" ht="12" customHeight="1"/>
    <row r="60" ht="12" customHeight="1"/>
    <row r="61" ht="12" customHeight="1"/>
    <row r="62" ht="12" customHeight="1"/>
    <row r="63" ht="12" customHeight="1"/>
    <row r="64" ht="12" customHeight="1"/>
    <row r="65" ht="12" customHeight="1"/>
    <row r="66" ht="12" customHeight="1"/>
    <row r="67" ht="12" customHeight="1"/>
    <row r="68" ht="12" customHeight="1"/>
    <row r="69" ht="12" customHeight="1"/>
    <row r="70" ht="12" customHeight="1"/>
    <row r="71" ht="12" customHeight="1"/>
    <row r="72" ht="12" customHeight="1"/>
    <row r="73" ht="12" customHeight="1"/>
    <row r="74" ht="12" customHeight="1"/>
    <row r="75" ht="12" customHeight="1"/>
    <row r="76" ht="12" customHeight="1"/>
    <row r="77" ht="12" customHeight="1"/>
    <row r="78" ht="12" customHeight="1"/>
    <row r="79" ht="12" customHeight="1"/>
    <row r="80" ht="12" customHeight="1"/>
    <row r="81" ht="12" customHeight="1"/>
    <row r="82" ht="12" customHeight="1"/>
    <row r="83" ht="12" customHeight="1"/>
    <row r="84" ht="12" customHeight="1"/>
  </sheetData>
  <mergeCells count="1">
    <mergeCell ref="C15:G15"/>
  </mergeCells>
  <phoneticPr fontId="80" type="noConversion"/>
  <hyperlinks>
    <hyperlink ref="C6" r:id="rId1" xr:uid="{22CACD8E-3E64-2148-BCC6-55E1FE65CE55}"/>
    <hyperlink ref="F6" r:id="rId2" xr:uid="{909DFB14-DD6F-6D41-B809-BC6DA5FFC660}"/>
  </hyperlinks>
  <pageMargins left="0.7" right="0.7" top="0.75" bottom="0.75" header="0.3" footer="0.3"/>
  <pageSetup paperSize="9" orientation="portrait" r:id="rId3"/>
  <legacy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A3883-DD98-4992-AC33-2C1B89D086E1}">
  <sheetPr>
    <tabColor rgb="FFFFFF00"/>
  </sheetPr>
  <dimension ref="A1:IA99"/>
  <sheetViews>
    <sheetView tabSelected="1" topLeftCell="A71" zoomScale="115" zoomScaleNormal="115" workbookViewId="0">
      <selection activeCell="B58" sqref="B58"/>
    </sheetView>
  </sheetViews>
  <sheetFormatPr defaultColWidth="11.42578125" defaultRowHeight="12.6"/>
  <cols>
    <col min="1" max="1" width="36.140625" style="10" customWidth="1"/>
    <col min="2" max="10" width="12.42578125" style="42" customWidth="1"/>
    <col min="11" max="12" width="12.42578125" style="49" customWidth="1"/>
    <col min="13" max="13" width="12.140625" style="49" bestFit="1" customWidth="1"/>
    <col min="14" max="16384" width="11.42578125" style="41"/>
  </cols>
  <sheetData>
    <row r="1" spans="1:25" ht="15.6">
      <c r="A1" s="1127" t="e" vm="1">
        <f>Inputs!H3</f>
        <v>#VALUE!</v>
      </c>
      <c r="B1" s="1127"/>
      <c r="C1" s="1127"/>
      <c r="D1" s="1127"/>
      <c r="E1" s="1127"/>
      <c r="F1" s="1127"/>
      <c r="G1" s="1127"/>
      <c r="H1" s="1127"/>
      <c r="I1" s="1127"/>
      <c r="J1" s="1127"/>
      <c r="K1" s="1127"/>
      <c r="L1" s="1127"/>
      <c r="M1" s="1127"/>
    </row>
    <row r="2" spans="1:25" ht="11.45">
      <c r="A2" s="1128" t="str">
        <f>Inputs!G2</f>
        <v>Figures in Millions of USD</v>
      </c>
      <c r="B2" s="1128"/>
      <c r="C2" s="1128"/>
      <c r="D2" s="1128"/>
      <c r="E2" s="1128"/>
      <c r="F2" s="1128"/>
      <c r="G2" s="1128"/>
      <c r="H2" s="1128"/>
      <c r="I2" s="1128"/>
      <c r="J2" s="1128"/>
      <c r="K2" s="1128"/>
      <c r="L2" s="1128"/>
      <c r="M2" s="1128"/>
    </row>
    <row r="3" spans="1:25" ht="20.100000000000001">
      <c r="A3" s="1126" t="s">
        <v>535</v>
      </c>
      <c r="B3" s="1126"/>
      <c r="C3" s="1126"/>
      <c r="D3" s="1126"/>
      <c r="E3" s="1126"/>
      <c r="F3" s="1126"/>
      <c r="G3" s="1126"/>
      <c r="H3" s="1126"/>
      <c r="I3" s="1126"/>
      <c r="J3" s="1126"/>
      <c r="K3" s="1126"/>
      <c r="L3" s="1126"/>
      <c r="M3" s="1126"/>
    </row>
    <row r="4" spans="1:25">
      <c r="A4" s="112"/>
      <c r="B4" s="52">
        <f>OP!J20</f>
        <v>2023</v>
      </c>
      <c r="C4" s="43">
        <f>B4-1</f>
        <v>2022</v>
      </c>
      <c r="D4" s="43">
        <f t="shared" ref="D4:M4" si="0">C4-1</f>
        <v>2021</v>
      </c>
      <c r="E4" s="43">
        <f t="shared" si="0"/>
        <v>2020</v>
      </c>
      <c r="F4" s="43">
        <f t="shared" si="0"/>
        <v>2019</v>
      </c>
      <c r="G4" s="43">
        <f t="shared" si="0"/>
        <v>2018</v>
      </c>
      <c r="H4" s="43">
        <f t="shared" si="0"/>
        <v>2017</v>
      </c>
      <c r="I4" s="43">
        <f t="shared" si="0"/>
        <v>2016</v>
      </c>
      <c r="J4" s="43">
        <f>I4-1</f>
        <v>2015</v>
      </c>
      <c r="K4" s="43">
        <f t="shared" si="0"/>
        <v>2014</v>
      </c>
      <c r="L4" s="43">
        <f t="shared" si="0"/>
        <v>2013</v>
      </c>
      <c r="M4" s="43">
        <f t="shared" si="0"/>
        <v>2012</v>
      </c>
    </row>
    <row r="5" spans="1:25">
      <c r="A5" s="113" t="s">
        <v>116</v>
      </c>
      <c r="B5" s="53">
        <f>_xlfn.XLOOKUP($A5,Inputs!$A:$A,Inputs!B:B,,0)</f>
        <v>2060</v>
      </c>
      <c r="C5" s="53">
        <f>_xlfn.XLOOKUP($A5,Inputs!$A:$A,Inputs!C:C,,0)</f>
        <v>1573</v>
      </c>
      <c r="D5" s="53">
        <f>_xlfn.XLOOKUP($A5,Inputs!$A:$A,Inputs!D:D,,0)</f>
        <v>1529</v>
      </c>
      <c r="E5" s="53">
        <f>_xlfn.XLOOKUP($A5,Inputs!$A:$A,Inputs!E:E,,0)</f>
        <v>1158</v>
      </c>
      <c r="F5" s="53">
        <f>_xlfn.XLOOKUP($A5,Inputs!$A:$A,Inputs!F:F,,0)</f>
        <v>1479</v>
      </c>
      <c r="G5" s="53">
        <f>_xlfn.XLOOKUP($A5,Inputs!$A:$A,Inputs!G:G,,0)</f>
        <v>1396</v>
      </c>
      <c r="H5" s="53" t="str">
        <f>_xlfn.XLOOKUP($A5,Inputs!$A:$A,Inputs!H:H,,0)</f>
        <v>N/A</v>
      </c>
      <c r="I5" s="53" t="str">
        <f>_xlfn.XLOOKUP($A5,Inputs!$A:$A,Inputs!I:I,,0)</f>
        <v>N/A</v>
      </c>
      <c r="J5" s="53" t="str">
        <f>_xlfn.XLOOKUP($A5,Inputs!$A:$A,Inputs!J:J,,0)</f>
        <v>N/A</v>
      </c>
      <c r="K5" s="53" t="str">
        <f>_xlfn.XLOOKUP($A5,Inputs!$A:$A,Inputs!K:K,,0)</f>
        <v>N/A</v>
      </c>
      <c r="L5" s="53" t="str">
        <f>_xlfn.XLOOKUP($A5,Inputs!$A:$A,Inputs!L:L,,0)</f>
        <v>N/A</v>
      </c>
      <c r="M5" s="54" t="str">
        <f>_xlfn.XLOOKUP($A5,Inputs!$A:$A,Inputs!M:M,,0)</f>
        <v>N/A</v>
      </c>
    </row>
    <row r="6" spans="1:25" ht="12.95">
      <c r="A6" s="114" t="s">
        <v>536</v>
      </c>
      <c r="B6" s="55">
        <f t="shared" ref="B6:L6" si="1">IFERROR(B5/C5-1,"-")</f>
        <v>0.30959949141767318</v>
      </c>
      <c r="C6" s="55">
        <f t="shared" si="1"/>
        <v>2.877697841726623E-2</v>
      </c>
      <c r="D6" s="55">
        <f t="shared" si="1"/>
        <v>0.32037996545768577</v>
      </c>
      <c r="E6" s="55">
        <f t="shared" si="1"/>
        <v>-0.21703853955375252</v>
      </c>
      <c r="F6" s="55">
        <f t="shared" si="1"/>
        <v>5.9455587392550191E-2</v>
      </c>
      <c r="G6" s="55" t="str">
        <f t="shared" si="1"/>
        <v>-</v>
      </c>
      <c r="H6" s="55" t="str">
        <f t="shared" si="1"/>
        <v>-</v>
      </c>
      <c r="I6" s="55" t="str">
        <f t="shared" si="1"/>
        <v>-</v>
      </c>
      <c r="J6" s="55" t="str">
        <f t="shared" si="1"/>
        <v>-</v>
      </c>
      <c r="K6" s="55" t="str">
        <f t="shared" si="1"/>
        <v>-</v>
      </c>
      <c r="L6" s="55" t="str">
        <f t="shared" si="1"/>
        <v>-</v>
      </c>
      <c r="M6" s="56" t="str">
        <f>IFERROR(M5/#REF!-1,"-")</f>
        <v>-</v>
      </c>
      <c r="N6" s="396"/>
    </row>
    <row r="7" spans="1:25">
      <c r="A7" s="113" t="s">
        <v>537</v>
      </c>
      <c r="B7" s="53">
        <f>_xlfn.XLOOKUP($A7,Inputs!$A:$A,Inputs!B:B,,0)</f>
        <v>1323.93</v>
      </c>
      <c r="C7" s="53">
        <f>_xlfn.XLOOKUP($A7,Inputs!$A:$A,Inputs!C:C,,0)</f>
        <v>977.64</v>
      </c>
      <c r="D7" s="53">
        <f>_xlfn.XLOOKUP($A7,Inputs!$A:$A,Inputs!D:D,,0)</f>
        <v>942.36</v>
      </c>
      <c r="E7" s="53">
        <f>_xlfn.XLOOKUP($A7,Inputs!$A:$A,Inputs!E:E,,0)</f>
        <v>611.17999999999995</v>
      </c>
      <c r="F7" s="53">
        <f>_xlfn.XLOOKUP($A7,Inputs!$A:$A,Inputs!F:F,,0)</f>
        <v>855.62</v>
      </c>
      <c r="G7" s="53">
        <f>_xlfn.XLOOKUP($A7,Inputs!$A:$A,Inputs!G:G,,0)</f>
        <v>858.76</v>
      </c>
      <c r="H7" s="53" t="str">
        <f>_xlfn.XLOOKUP($A7,Inputs!$A:$A,Inputs!H:H,,0)</f>
        <v>N/A</v>
      </c>
      <c r="I7" s="53" t="str">
        <f>_xlfn.XLOOKUP($A7,Inputs!$A:$A,Inputs!I:I,,0)</f>
        <v>N/A</v>
      </c>
      <c r="J7" s="53" t="str">
        <f>_xlfn.XLOOKUP($A7,Inputs!$A:$A,Inputs!J:J,,0)</f>
        <v>N/A</v>
      </c>
      <c r="K7" s="53" t="str">
        <f>_xlfn.XLOOKUP($A7,Inputs!$A:$A,Inputs!K:K,,0)</f>
        <v>N/A</v>
      </c>
      <c r="L7" s="53" t="str">
        <f>_xlfn.XLOOKUP($A7,Inputs!$A:$A,Inputs!L:L,,0)</f>
        <v>N/A</v>
      </c>
      <c r="M7" s="54" t="str">
        <f>_xlfn.XLOOKUP($A7,Inputs!$A:$A,Inputs!M:M,,0)</f>
        <v>N/A</v>
      </c>
    </row>
    <row r="8" spans="1:25" ht="12.95">
      <c r="A8" s="114" t="s">
        <v>538</v>
      </c>
      <c r="B8" s="55">
        <f>IFERROR(B7/B$5,"-")</f>
        <v>0.64268446601941753</v>
      </c>
      <c r="C8" s="55">
        <f t="shared" ref="C8:M8" si="2">IFERROR(C7/C$5,"-")</f>
        <v>0.6215130324221233</v>
      </c>
      <c r="D8" s="55">
        <f t="shared" si="2"/>
        <v>0.61632439502943104</v>
      </c>
      <c r="E8" s="55">
        <f t="shared" si="2"/>
        <v>0.52778929188255608</v>
      </c>
      <c r="F8" s="55">
        <f t="shared" si="2"/>
        <v>0.57851250845165658</v>
      </c>
      <c r="G8" s="55">
        <f t="shared" si="2"/>
        <v>0.61515759312320917</v>
      </c>
      <c r="H8" s="55" t="str">
        <f t="shared" si="2"/>
        <v>-</v>
      </c>
      <c r="I8" s="55" t="str">
        <f t="shared" si="2"/>
        <v>-</v>
      </c>
      <c r="J8" s="55" t="str">
        <f t="shared" si="2"/>
        <v>-</v>
      </c>
      <c r="K8" s="55" t="str">
        <f t="shared" si="2"/>
        <v>-</v>
      </c>
      <c r="L8" s="55" t="str">
        <f t="shared" si="2"/>
        <v>-</v>
      </c>
      <c r="M8" s="56" t="str">
        <f t="shared" si="2"/>
        <v>-</v>
      </c>
    </row>
    <row r="9" spans="1:25">
      <c r="A9" s="113" t="s">
        <v>539</v>
      </c>
      <c r="B9" s="53">
        <f t="shared" ref="B9:M9" si="3">B5-B11</f>
        <v>1819.33</v>
      </c>
      <c r="C9" s="53">
        <f t="shared" si="3"/>
        <v>1401.35</v>
      </c>
      <c r="D9" s="53">
        <f t="shared" si="3"/>
        <v>1387.03</v>
      </c>
      <c r="E9" s="53">
        <f t="shared" si="3"/>
        <v>1133.9100000000001</v>
      </c>
      <c r="F9" s="53">
        <f t="shared" si="3"/>
        <v>1357.84</v>
      </c>
      <c r="G9" s="53">
        <f t="shared" si="3"/>
        <v>1270.3699999999999</v>
      </c>
      <c r="H9" s="53" t="e">
        <f t="shared" si="3"/>
        <v>#VALUE!</v>
      </c>
      <c r="I9" s="53" t="e">
        <f t="shared" si="3"/>
        <v>#VALUE!</v>
      </c>
      <c r="J9" s="53" t="e">
        <f t="shared" si="3"/>
        <v>#VALUE!</v>
      </c>
      <c r="K9" s="53" t="e">
        <f t="shared" si="3"/>
        <v>#VALUE!</v>
      </c>
      <c r="L9" s="53" t="e">
        <f t="shared" si="3"/>
        <v>#VALUE!</v>
      </c>
      <c r="M9" s="54" t="e">
        <f t="shared" si="3"/>
        <v>#VALUE!</v>
      </c>
    </row>
    <row r="10" spans="1:25" ht="12.95">
      <c r="A10" s="114" t="s">
        <v>538</v>
      </c>
      <c r="B10" s="55">
        <f>IFERROR(B9/B$5,"-")</f>
        <v>0.88316990291262132</v>
      </c>
      <c r="C10" s="55">
        <f t="shared" ref="C10:M10" si="4">IFERROR(C9/C$5,"-")</f>
        <v>0.89087730451366809</v>
      </c>
      <c r="D10" s="55">
        <f t="shared" si="4"/>
        <v>0.90714846304774366</v>
      </c>
      <c r="E10" s="55">
        <f t="shared" si="4"/>
        <v>0.97919689119170994</v>
      </c>
      <c r="F10" s="55">
        <f t="shared" si="4"/>
        <v>0.91807978363759291</v>
      </c>
      <c r="G10" s="55">
        <f t="shared" si="4"/>
        <v>0.91000716332378218</v>
      </c>
      <c r="H10" s="55" t="str">
        <f t="shared" si="4"/>
        <v>-</v>
      </c>
      <c r="I10" s="55" t="str">
        <f t="shared" si="4"/>
        <v>-</v>
      </c>
      <c r="J10" s="55" t="str">
        <f t="shared" si="4"/>
        <v>-</v>
      </c>
      <c r="K10" s="55" t="str">
        <f t="shared" si="4"/>
        <v>-</v>
      </c>
      <c r="L10" s="55" t="str">
        <f t="shared" si="4"/>
        <v>-</v>
      </c>
      <c r="M10" s="56" t="str">
        <f t="shared" si="4"/>
        <v>-</v>
      </c>
    </row>
    <row r="11" spans="1:25">
      <c r="A11" s="113" t="s">
        <v>293</v>
      </c>
      <c r="B11" s="53">
        <f>_xlfn.XLOOKUP($A11,Inputs!$A:$A,Inputs!B:B,,0)</f>
        <v>240.67</v>
      </c>
      <c r="C11" s="53">
        <f>_xlfn.XLOOKUP($A11,Inputs!$A:$A,Inputs!C:C,,0)</f>
        <v>171.65</v>
      </c>
      <c r="D11" s="53">
        <f>_xlfn.XLOOKUP($A11,Inputs!$A:$A,Inputs!D:D,,0)</f>
        <v>141.97</v>
      </c>
      <c r="E11" s="53">
        <f>_xlfn.XLOOKUP($A11,Inputs!$A:$A,Inputs!E:E,,0)</f>
        <v>24.09</v>
      </c>
      <c r="F11" s="53">
        <f>_xlfn.XLOOKUP($A11,Inputs!$A:$A,Inputs!F:F,,0)</f>
        <v>121.16</v>
      </c>
      <c r="G11" s="53">
        <f>_xlfn.XLOOKUP($A11,Inputs!$A:$A,Inputs!G:G,,0)</f>
        <v>125.63</v>
      </c>
      <c r="H11" s="53" t="str">
        <f>_xlfn.XLOOKUP($A11,Inputs!$A:$A,Inputs!H:H,,0)</f>
        <v>N/A</v>
      </c>
      <c r="I11" s="53" t="str">
        <f>_xlfn.XLOOKUP($A11,Inputs!$A:$A,Inputs!I:I,,0)</f>
        <v>N/A</v>
      </c>
      <c r="J11" s="53" t="str">
        <f>_xlfn.XLOOKUP($A11,Inputs!$A:$A,Inputs!J:J,,0)</f>
        <v>N/A</v>
      </c>
      <c r="K11" s="53" t="str">
        <f>_xlfn.XLOOKUP($A11,Inputs!$A:$A,Inputs!K:K,,0)</f>
        <v>N/A</v>
      </c>
      <c r="L11" s="53" t="str">
        <f>_xlfn.XLOOKUP($A11,Inputs!$A:$A,Inputs!L:L,,0)</f>
        <v>N/A</v>
      </c>
      <c r="M11" s="54" t="str">
        <f>_xlfn.XLOOKUP($A11,Inputs!$A:$A,Inputs!M:M,,0)</f>
        <v>N/A</v>
      </c>
    </row>
    <row r="12" spans="1:25" ht="12.95">
      <c r="A12" s="114" t="s">
        <v>117</v>
      </c>
      <c r="B12" s="55">
        <f t="shared" ref="B12:M12" si="5">IFERROR(B11/B$5,"-")</f>
        <v>0.11683009708737864</v>
      </c>
      <c r="C12" s="55">
        <f t="shared" si="5"/>
        <v>0.10912269548633186</v>
      </c>
      <c r="D12" s="55">
        <f t="shared" si="5"/>
        <v>9.2851536952256369E-2</v>
      </c>
      <c r="E12" s="55">
        <f t="shared" si="5"/>
        <v>2.0803108808290154E-2</v>
      </c>
      <c r="F12" s="55">
        <f t="shared" si="5"/>
        <v>8.1920216362407025E-2</v>
      </c>
      <c r="G12" s="55">
        <f t="shared" si="5"/>
        <v>8.9992836676217755E-2</v>
      </c>
      <c r="H12" s="55" t="str">
        <f t="shared" si="5"/>
        <v>-</v>
      </c>
      <c r="I12" s="55" t="str">
        <f t="shared" si="5"/>
        <v>-</v>
      </c>
      <c r="J12" s="55" t="str">
        <f t="shared" si="5"/>
        <v>-</v>
      </c>
      <c r="K12" s="55" t="str">
        <f t="shared" si="5"/>
        <v>-</v>
      </c>
      <c r="L12" s="55" t="str">
        <f t="shared" si="5"/>
        <v>-</v>
      </c>
      <c r="M12" s="56" t="str">
        <f t="shared" si="5"/>
        <v>-</v>
      </c>
    </row>
    <row r="13" spans="1:25" ht="12.95">
      <c r="A13" s="113" t="s">
        <v>540</v>
      </c>
      <c r="B13" s="55">
        <f t="shared" ref="B13" si="6">IFERROR(B12/C12-1,"-")</f>
        <v>7.0630601330885945E-2</v>
      </c>
      <c r="C13" s="55">
        <f t="shared" ref="C13" si="7">IFERROR(C12/D12-1,"-")</f>
        <v>0.17523844050575055</v>
      </c>
      <c r="D13" s="55">
        <f t="shared" ref="D13" si="8">IFERROR(D12/E12-1,"-")</f>
        <v>3.4633490988257734</v>
      </c>
      <c r="E13" s="55">
        <f t="shared" ref="E13" si="9">IFERROR(E12/F12-1,"-")</f>
        <v>-0.74605647138113951</v>
      </c>
      <c r="F13" s="55">
        <f t="shared" ref="F13" si="10">IFERROR(F12/G12-1,"-")</f>
        <v>-8.9702920943085074E-2</v>
      </c>
      <c r="G13" s="55" t="str">
        <f t="shared" ref="G13" si="11">IFERROR(G12/H12-1,"-")</f>
        <v>-</v>
      </c>
      <c r="H13" s="55" t="str">
        <f t="shared" ref="H13" si="12">IFERROR(H12/I12-1,"-")</f>
        <v>-</v>
      </c>
      <c r="I13" s="55" t="str">
        <f t="shared" ref="I13" si="13">IFERROR(I12/J12-1,"-")</f>
        <v>-</v>
      </c>
      <c r="J13" s="55" t="str">
        <f t="shared" ref="J13" si="14">IFERROR(J12/K12-1,"-")</f>
        <v>-</v>
      </c>
      <c r="K13" s="55" t="str">
        <f t="shared" ref="K13" si="15">IFERROR(K12/L12-1,"-")</f>
        <v>-</v>
      </c>
      <c r="L13" s="55" t="str">
        <f t="shared" ref="L13" si="16">IFERROR(L12/M12-1,"-")</f>
        <v>-</v>
      </c>
      <c r="M13" s="56" t="str">
        <f>IFERROR(M12/#REF!-1,"-")</f>
        <v>-</v>
      </c>
    </row>
    <row r="14" spans="1:25">
      <c r="A14" s="115" t="s">
        <v>294</v>
      </c>
      <c r="B14" s="53">
        <f>_xlfn.XLOOKUP($A14,Inputs!$A:$A,Inputs!B:B,,0)</f>
        <v>-33.5</v>
      </c>
      <c r="C14" s="53">
        <f>_xlfn.XLOOKUP($A14,Inputs!$A:$A,Inputs!C:C,,0)</f>
        <v>-27.74</v>
      </c>
      <c r="D14" s="53">
        <f>_xlfn.XLOOKUP($A14,Inputs!$A:$A,Inputs!D:D,,0)</f>
        <v>-6.21</v>
      </c>
      <c r="E14" s="53">
        <f>_xlfn.XLOOKUP($A14,Inputs!$A:$A,Inputs!E:E,,0)</f>
        <v>5.09</v>
      </c>
      <c r="F14" s="53">
        <f>_xlfn.XLOOKUP($A14,Inputs!$A:$A,Inputs!F:F,,0)</f>
        <v>-6.9</v>
      </c>
      <c r="G14" s="53">
        <f>_xlfn.XLOOKUP($A14,Inputs!$A:$A,Inputs!G:G,,0)</f>
        <v>-22.58</v>
      </c>
      <c r="H14" s="53" t="str">
        <f>_xlfn.XLOOKUP($A14,Inputs!$A:$A,Inputs!H:H,,0)</f>
        <v>N/A</v>
      </c>
      <c r="I14" s="53" t="str">
        <f>_xlfn.XLOOKUP($A14,Inputs!$A:$A,Inputs!I:I,,0)</f>
        <v>N/A</v>
      </c>
      <c r="J14" s="53" t="str">
        <f>_xlfn.XLOOKUP($A14,Inputs!$A:$A,Inputs!J:J,,0)</f>
        <v>N/A</v>
      </c>
      <c r="K14" s="53" t="str">
        <f>_xlfn.XLOOKUP($A14,Inputs!$A:$A,Inputs!K:K,,0)</f>
        <v>N/A</v>
      </c>
      <c r="L14" s="53" t="str">
        <f>_xlfn.XLOOKUP($A14,Inputs!$A:$A,Inputs!L:L,,0)</f>
        <v>N/A</v>
      </c>
      <c r="M14" s="54" t="str">
        <f>_xlfn.XLOOKUP($A14,Inputs!$A:$A,Inputs!M:M,,0)</f>
        <v>N/A</v>
      </c>
    </row>
    <row r="15" spans="1:25">
      <c r="A15" s="113" t="s">
        <v>541</v>
      </c>
      <c r="B15" s="53">
        <f>_xlfn.XLOOKUP($A15,Inputs!$A:$A,Inputs!B:B,,0)</f>
        <v>-39.599999999999994</v>
      </c>
      <c r="C15" s="53">
        <f>_xlfn.XLOOKUP($A15,Inputs!$A:$A,Inputs!C:C,,0)</f>
        <v>-51.949999999999996</v>
      </c>
      <c r="D15" s="53">
        <f>_xlfn.XLOOKUP($A15,Inputs!$A:$A,Inputs!D:D,,0)</f>
        <v>-260.31</v>
      </c>
      <c r="E15" s="53">
        <f>_xlfn.XLOOKUP($A15,Inputs!$A:$A,Inputs!E:E,,0)</f>
        <v>-69.81</v>
      </c>
      <c r="F15" s="53">
        <f>_xlfn.XLOOKUP($A15,Inputs!$A:$A,Inputs!F:F,,0)</f>
        <v>-40.899999999999977</v>
      </c>
      <c r="G15" s="53">
        <f>_xlfn.XLOOKUP($A15,Inputs!$A:$A,Inputs!G:G,,0)</f>
        <v>-23.819999999999993</v>
      </c>
      <c r="H15" s="53" t="str">
        <f>_xlfn.XLOOKUP($A15,Inputs!$A:$A,Inputs!H:H,,0)</f>
        <v>N/A</v>
      </c>
      <c r="I15" s="53" t="str">
        <f>_xlfn.XLOOKUP($A15,Inputs!$A:$A,Inputs!I:I,,0)</f>
        <v>N/A</v>
      </c>
      <c r="J15" s="53" t="str">
        <f>_xlfn.XLOOKUP($A15,Inputs!$A:$A,Inputs!J:J,,0)</f>
        <v>N/A</v>
      </c>
      <c r="K15" s="53" t="str">
        <f>_xlfn.XLOOKUP($A15,Inputs!$A:$A,Inputs!K:K,,0)</f>
        <v>N/A</v>
      </c>
      <c r="L15" s="53" t="str">
        <f>_xlfn.XLOOKUP($A15,Inputs!$A:$A,Inputs!L:L,,0)</f>
        <v>N/A</v>
      </c>
      <c r="M15" s="54" t="str">
        <f>_xlfn.XLOOKUP($A15,Inputs!$A:$A,Inputs!M:M,,0)</f>
        <v>N/A</v>
      </c>
    </row>
    <row r="16" spans="1:25">
      <c r="A16" s="115" t="s">
        <v>56</v>
      </c>
      <c r="B16" s="53">
        <f>B11-B15</f>
        <v>280.27</v>
      </c>
      <c r="C16" s="53">
        <f t="shared" ref="C16:M16" si="17">C11-C15</f>
        <v>223.6</v>
      </c>
      <c r="D16" s="53">
        <f t="shared" si="17"/>
        <v>402.28</v>
      </c>
      <c r="E16" s="53">
        <f t="shared" si="17"/>
        <v>93.9</v>
      </c>
      <c r="F16" s="53">
        <f t="shared" si="17"/>
        <v>162.05999999999997</v>
      </c>
      <c r="G16" s="53">
        <f t="shared" si="17"/>
        <v>149.44999999999999</v>
      </c>
      <c r="H16" s="53" t="e">
        <f t="shared" si="17"/>
        <v>#VALUE!</v>
      </c>
      <c r="I16" s="53" t="e">
        <f t="shared" si="17"/>
        <v>#VALUE!</v>
      </c>
      <c r="J16" s="53" t="e">
        <f t="shared" si="17"/>
        <v>#VALUE!</v>
      </c>
      <c r="K16" s="53" t="e">
        <f t="shared" si="17"/>
        <v>#VALUE!</v>
      </c>
      <c r="L16" s="53" t="e">
        <f t="shared" si="17"/>
        <v>#VALUE!</v>
      </c>
      <c r="M16" s="54" t="e">
        <f t="shared" si="17"/>
        <v>#VALUE!</v>
      </c>
      <c r="N16" s="51"/>
      <c r="O16" s="51"/>
      <c r="P16" s="51"/>
      <c r="Q16" s="51"/>
      <c r="R16" s="51"/>
      <c r="S16" s="51"/>
      <c r="T16" s="51"/>
      <c r="U16" s="51"/>
      <c r="V16" s="51"/>
      <c r="W16" s="51"/>
      <c r="X16" s="51"/>
      <c r="Y16" s="51"/>
    </row>
    <row r="17" spans="1:18">
      <c r="A17" s="113" t="s">
        <v>52</v>
      </c>
      <c r="B17" s="53">
        <f>_xlfn.XLOOKUP($A17,Inputs!$A:$A,Inputs!B:B,,0)</f>
        <v>211</v>
      </c>
      <c r="C17" s="53">
        <f>_xlfn.XLOOKUP($A17,Inputs!$A:$A,Inputs!C:C,,0)</f>
        <v>183</v>
      </c>
      <c r="D17" s="53">
        <f>_xlfn.XLOOKUP($A17,Inputs!$A:$A,Inputs!D:D,,0)</f>
        <v>193</v>
      </c>
      <c r="E17" s="53">
        <f>_xlfn.XLOOKUP($A17,Inputs!$A:$A,Inputs!E:E,,0)</f>
        <v>212</v>
      </c>
      <c r="F17" s="53">
        <f>_xlfn.XLOOKUP($A17,Inputs!$A:$A,Inputs!F:F,,0)</f>
        <v>198</v>
      </c>
      <c r="G17" s="53">
        <f>_xlfn.XLOOKUP($A17,Inputs!$A:$A,Inputs!G:G,,0)</f>
        <v>190</v>
      </c>
      <c r="H17" s="53" t="str">
        <f>_xlfn.XLOOKUP($A17,Inputs!$A:$A,Inputs!H:H,,0)</f>
        <v>N/A</v>
      </c>
      <c r="I17" s="53" t="str">
        <f>_xlfn.XLOOKUP($A17,Inputs!$A:$A,Inputs!I:I,,0)</f>
        <v>N/A</v>
      </c>
      <c r="J17" s="53" t="str">
        <f>_xlfn.XLOOKUP($A17,Inputs!$A:$A,Inputs!J:J,,0)</f>
        <v>N/A</v>
      </c>
      <c r="K17" s="53" t="str">
        <f>_xlfn.XLOOKUP($A17,Inputs!$A:$A,Inputs!K:K,,0)</f>
        <v>N/A</v>
      </c>
      <c r="L17" s="53" t="str">
        <f>_xlfn.XLOOKUP($A17,Inputs!$A:$A,Inputs!L:L,,0)</f>
        <v>N/A</v>
      </c>
      <c r="M17" s="54" t="str">
        <f>_xlfn.XLOOKUP($A17,Inputs!$A:$A,Inputs!M:M,,0)</f>
        <v>N/A</v>
      </c>
      <c r="N17" s="275"/>
    </row>
    <row r="18" spans="1:18">
      <c r="A18" s="115" t="s">
        <v>542</v>
      </c>
      <c r="B18" s="53">
        <f>_xlfn.XLOOKUP($A18,Inputs!$A:$A,Inputs!B:B,,0)</f>
        <v>-199.0100000000001</v>
      </c>
      <c r="C18" s="53">
        <f>_xlfn.XLOOKUP($A18,Inputs!$A:$A,Inputs!C:C,,0)</f>
        <v>-76.480000000000018</v>
      </c>
      <c r="D18" s="53">
        <f>_xlfn.XLOOKUP($A18,Inputs!$A:$A,Inputs!D:D,,0)</f>
        <v>-218.88</v>
      </c>
      <c r="E18" s="53">
        <f>_xlfn.XLOOKUP($A18,Inputs!$A:$A,Inputs!E:E,,0)</f>
        <v>-9.1699999999999591</v>
      </c>
      <c r="F18" s="53" t="str">
        <f>_xlfn.XLOOKUP($A18,Inputs!$A:$A,Inputs!F:F,,0)</f>
        <v>N/A</v>
      </c>
      <c r="G18" s="53" t="str">
        <f>_xlfn.XLOOKUP($A18,Inputs!$A:$A,Inputs!G:G,,0)</f>
        <v>N/A</v>
      </c>
      <c r="H18" s="53" t="str">
        <f>_xlfn.XLOOKUP($A18,Inputs!$A:$A,Inputs!H:H,,0)</f>
        <v>N/A</v>
      </c>
      <c r="I18" s="53" t="str">
        <f>_xlfn.XLOOKUP($A18,Inputs!$A:$A,Inputs!I:I,,0)</f>
        <v>N/A</v>
      </c>
      <c r="J18" s="53" t="str">
        <f>_xlfn.XLOOKUP($A18,Inputs!$A:$A,Inputs!J:J,,0)</f>
        <v>N/A</v>
      </c>
      <c r="K18" s="53" t="str">
        <f>_xlfn.XLOOKUP($A18,Inputs!$A:$A,Inputs!K:K,,0)</f>
        <v>N/A</v>
      </c>
      <c r="L18" s="53" t="str">
        <f>_xlfn.XLOOKUP($A18,Inputs!$A:$A,Inputs!L:L,,0)</f>
        <v>N/A</v>
      </c>
      <c r="M18" s="54" t="str">
        <f>_xlfn.XLOOKUP($A18,Inputs!$A:$A,Inputs!M:M,,0)</f>
        <v>N/A</v>
      </c>
    </row>
    <row r="19" spans="1:18">
      <c r="A19" s="113" t="s">
        <v>48</v>
      </c>
      <c r="B19" s="53">
        <f>B11-B15+B17</f>
        <v>491.27</v>
      </c>
      <c r="C19" s="53">
        <f t="shared" ref="C19:M19" si="18">C11-C15+C17</f>
        <v>406.6</v>
      </c>
      <c r="D19" s="53">
        <f t="shared" si="18"/>
        <v>595.28</v>
      </c>
      <c r="E19" s="53">
        <f t="shared" si="18"/>
        <v>305.89999999999998</v>
      </c>
      <c r="F19" s="53">
        <f t="shared" si="18"/>
        <v>360.05999999999995</v>
      </c>
      <c r="G19" s="53">
        <f t="shared" si="18"/>
        <v>339.45</v>
      </c>
      <c r="H19" s="53" t="e">
        <f t="shared" si="18"/>
        <v>#VALUE!</v>
      </c>
      <c r="I19" s="53" t="e">
        <f t="shared" si="18"/>
        <v>#VALUE!</v>
      </c>
      <c r="J19" s="53" t="e">
        <f t="shared" si="18"/>
        <v>#VALUE!</v>
      </c>
      <c r="K19" s="53" t="e">
        <f t="shared" si="18"/>
        <v>#VALUE!</v>
      </c>
      <c r="L19" s="53" t="e">
        <f t="shared" si="18"/>
        <v>#VALUE!</v>
      </c>
      <c r="M19" s="54" t="e">
        <f t="shared" si="18"/>
        <v>#VALUE!</v>
      </c>
    </row>
    <row r="20" spans="1:18" ht="12.95">
      <c r="A20" s="114" t="s">
        <v>543</v>
      </c>
      <c r="B20" s="55">
        <f t="shared" ref="B20" si="19">IFERROR(B19/B$5,"-")</f>
        <v>0.23848058252427184</v>
      </c>
      <c r="C20" s="55">
        <f t="shared" ref="C20" si="20">IFERROR(C19/C$5,"-")</f>
        <v>0.2584869675778767</v>
      </c>
      <c r="D20" s="55">
        <f t="shared" ref="D20" si="21">IFERROR(D19/D$5,"-")</f>
        <v>0.38932635709614127</v>
      </c>
      <c r="E20" s="55">
        <f t="shared" ref="E20" si="22">IFERROR(E19/E$5,"-")</f>
        <v>0.26416234887737478</v>
      </c>
      <c r="F20" s="55">
        <f t="shared" ref="F20" si="23">IFERROR(F19/F$5,"-")</f>
        <v>0.24344827586206894</v>
      </c>
      <c r="G20" s="55">
        <f t="shared" ref="G20" si="24">IFERROR(G19/G$5,"-")</f>
        <v>0.24315902578796561</v>
      </c>
      <c r="H20" s="55" t="str">
        <f t="shared" ref="H20" si="25">IFERROR(H19/H$5,"-")</f>
        <v>-</v>
      </c>
      <c r="I20" s="55" t="str">
        <f t="shared" ref="I20" si="26">IFERROR(I19/I$5,"-")</f>
        <v>-</v>
      </c>
      <c r="J20" s="55" t="str">
        <f t="shared" ref="J20" si="27">IFERROR(J19/J$5,"-")</f>
        <v>-</v>
      </c>
      <c r="K20" s="55" t="str">
        <f t="shared" ref="K20" si="28">IFERROR(K19/K$5,"-")</f>
        <v>-</v>
      </c>
      <c r="L20" s="55" t="str">
        <f t="shared" ref="L20" si="29">IFERROR(L19/L$5,"-")</f>
        <v>-</v>
      </c>
      <c r="M20" s="56" t="str">
        <f t="shared" ref="M20" si="30">IFERROR(M19/M$5,"-")</f>
        <v>-</v>
      </c>
      <c r="P20" s="275"/>
      <c r="Q20" s="275"/>
      <c r="R20" s="275"/>
    </row>
    <row r="21" spans="1:18">
      <c r="A21" s="113" t="s">
        <v>295</v>
      </c>
      <c r="B21" s="53">
        <f>_xlfn.XLOOKUP($A21,Inputs!$A:$A,Inputs!B:B,,0)</f>
        <v>-36.15</v>
      </c>
      <c r="C21" s="53">
        <f>_xlfn.XLOOKUP($A21,Inputs!$A:$A,Inputs!C:C,,0)</f>
        <v>-37.72</v>
      </c>
      <c r="D21" s="53">
        <f>_xlfn.XLOOKUP($A21,Inputs!$A:$A,Inputs!D:D,,0)</f>
        <v>-36.32</v>
      </c>
      <c r="E21" s="53">
        <f>_xlfn.XLOOKUP($A21,Inputs!$A:$A,Inputs!E:E,,0)</f>
        <v>-17.100000000000001</v>
      </c>
      <c r="F21" s="53">
        <f>_xlfn.XLOOKUP($A21,Inputs!$A:$A,Inputs!F:F,,0)</f>
        <v>-49.02</v>
      </c>
      <c r="G21" s="53">
        <f>_xlfn.XLOOKUP($A21,Inputs!$A:$A,Inputs!G:G,,0)</f>
        <v>-34.700000000000003</v>
      </c>
      <c r="H21" s="53" t="str">
        <f>_xlfn.XLOOKUP($A21,Inputs!$A:$A,Inputs!H:H,,0)</f>
        <v>N/A</v>
      </c>
      <c r="I21" s="53" t="str">
        <f>_xlfn.XLOOKUP($A21,Inputs!$A:$A,Inputs!I:I,,0)</f>
        <v>N/A</v>
      </c>
      <c r="J21" s="53" t="str">
        <f>_xlfn.XLOOKUP($A21,Inputs!$A:$A,Inputs!J:J,,0)</f>
        <v>N/A</v>
      </c>
      <c r="K21" s="53" t="str">
        <f>_xlfn.XLOOKUP($A21,Inputs!$A:$A,Inputs!K:K,,0)</f>
        <v>N/A</v>
      </c>
      <c r="L21" s="53" t="str">
        <f>_xlfn.XLOOKUP($A21,Inputs!$A:$A,Inputs!L:L,,0)</f>
        <v>N/A</v>
      </c>
      <c r="M21" s="54" t="str">
        <f>_xlfn.XLOOKUP($A21,Inputs!$A:$A,Inputs!M:M,,0)</f>
        <v>N/A</v>
      </c>
    </row>
    <row r="22" spans="1:18" ht="12.95">
      <c r="A22" s="114" t="s">
        <v>544</v>
      </c>
      <c r="B22" s="55">
        <f t="shared" ref="B22" si="31">IFERROR(B21/B$5,"-")</f>
        <v>-1.7548543689320389E-2</v>
      </c>
      <c r="C22" s="55">
        <f t="shared" ref="C22" si="32">IFERROR(C21/C$5,"-")</f>
        <v>-2.3979656706929434E-2</v>
      </c>
      <c r="D22" s="55">
        <f t="shared" ref="D22" si="33">IFERROR(D21/D$5,"-")</f>
        <v>-2.3754087638979727E-2</v>
      </c>
      <c r="E22" s="55">
        <f t="shared" ref="E22" si="34">IFERROR(E21/E$5,"-")</f>
        <v>-1.4766839378238344E-2</v>
      </c>
      <c r="F22" s="55">
        <f t="shared" ref="F22" si="35">IFERROR(F21/F$5,"-")</f>
        <v>-3.314401622718053E-2</v>
      </c>
      <c r="G22" s="55">
        <f t="shared" ref="G22" si="36">IFERROR(G21/G$5,"-")</f>
        <v>-2.4856733524355305E-2</v>
      </c>
      <c r="H22" s="55" t="str">
        <f t="shared" ref="H22" si="37">IFERROR(H21/H$5,"-")</f>
        <v>-</v>
      </c>
      <c r="I22" s="55" t="str">
        <f t="shared" ref="I22" si="38">IFERROR(I21/I$5,"-")</f>
        <v>-</v>
      </c>
      <c r="J22" s="55" t="str">
        <f t="shared" ref="J22" si="39">IFERROR(J21/J$5,"-")</f>
        <v>-</v>
      </c>
      <c r="K22" s="55" t="str">
        <f t="shared" ref="K22" si="40">IFERROR(K21/K$5,"-")</f>
        <v>-</v>
      </c>
      <c r="L22" s="55" t="str">
        <f t="shared" ref="L22" si="41">IFERROR(L21/L$5,"-")</f>
        <v>-</v>
      </c>
      <c r="M22" s="56" t="str">
        <f t="shared" ref="M22" si="42">IFERROR(M21/M$5,"-")</f>
        <v>-</v>
      </c>
    </row>
    <row r="23" spans="1:18">
      <c r="A23" s="113" t="s">
        <v>60</v>
      </c>
      <c r="B23" s="53">
        <f>_xlfn.XLOOKUP($A23,Inputs!$A:$A,Inputs!B:B,,0)</f>
        <v>131.41999999999999</v>
      </c>
      <c r="C23" s="53">
        <f>_xlfn.XLOOKUP($A23,Inputs!$A:$A,Inputs!C:C,,0)</f>
        <v>54.24</v>
      </c>
      <c r="D23" s="53">
        <f>_xlfn.XLOOKUP($A23,Inputs!$A:$A,Inputs!D:D,,0)</f>
        <v>-160.87</v>
      </c>
      <c r="E23" s="53">
        <f>_xlfn.XLOOKUP($A23,Inputs!$A:$A,Inputs!E:E,,0)</f>
        <v>-57.73</v>
      </c>
      <c r="F23" s="53">
        <f>_xlfn.XLOOKUP($A23,Inputs!$A:$A,Inputs!F:F,,0)</f>
        <v>24.34</v>
      </c>
      <c r="G23" s="53">
        <f>_xlfn.XLOOKUP($A23,Inputs!$A:$A,Inputs!G:G,,0)</f>
        <v>44.53</v>
      </c>
      <c r="H23" s="53" t="str">
        <f>_xlfn.XLOOKUP($A23,Inputs!$A:$A,Inputs!H:H,,0)</f>
        <v>N/A</v>
      </c>
      <c r="I23" s="53" t="str">
        <f>_xlfn.XLOOKUP($A23,Inputs!$A:$A,Inputs!I:I,,0)</f>
        <v>N/A</v>
      </c>
      <c r="J23" s="53" t="str">
        <f>_xlfn.XLOOKUP($A23,Inputs!$A:$A,Inputs!J:J,,0)</f>
        <v>N/A</v>
      </c>
      <c r="K23" s="53" t="str">
        <f>_xlfn.XLOOKUP($A23,Inputs!$A:$A,Inputs!K:K,,0)</f>
        <v>N/A</v>
      </c>
      <c r="L23" s="53" t="str">
        <f>_xlfn.XLOOKUP($A23,Inputs!$A:$A,Inputs!L:L,,0)</f>
        <v>N/A</v>
      </c>
      <c r="M23" s="54" t="str">
        <f>_xlfn.XLOOKUP($A23,Inputs!$A:$A,Inputs!M:M,,0)</f>
        <v>N/A</v>
      </c>
    </row>
    <row r="24" spans="1:18" ht="12.95">
      <c r="A24" s="114" t="s">
        <v>256</v>
      </c>
      <c r="B24" s="55">
        <f t="shared" ref="B24" si="43">IFERROR(B23/B$5,"-")</f>
        <v>6.3796116504854367E-2</v>
      </c>
      <c r="C24" s="55">
        <f t="shared" ref="C24" si="44">IFERROR(C23/C$5,"-")</f>
        <v>3.4481881754609027E-2</v>
      </c>
      <c r="D24" s="55">
        <f t="shared" ref="D24" si="45">IFERROR(D23/D$5,"-")</f>
        <v>-0.10521255722694572</v>
      </c>
      <c r="E24" s="55">
        <f t="shared" ref="E24" si="46">IFERROR(E23/E$5,"-")</f>
        <v>-4.9853195164075992E-2</v>
      </c>
      <c r="F24" s="55">
        <f t="shared" ref="F24" si="47">IFERROR(F23/F$5,"-")</f>
        <v>1.645706558485463E-2</v>
      </c>
      <c r="G24" s="55">
        <f t="shared" ref="G24" si="48">IFERROR(G23/G$5,"-")</f>
        <v>3.1898280802292261E-2</v>
      </c>
      <c r="H24" s="55" t="str">
        <f t="shared" ref="H24" si="49">IFERROR(H23/H$5,"-")</f>
        <v>-</v>
      </c>
      <c r="I24" s="55" t="str">
        <f t="shared" ref="I24" si="50">IFERROR(I23/I$5,"-")</f>
        <v>-</v>
      </c>
      <c r="J24" s="55" t="str">
        <f t="shared" ref="J24" si="51">IFERROR(J23/J$5,"-")</f>
        <v>-</v>
      </c>
      <c r="K24" s="55" t="str">
        <f t="shared" ref="K24" si="52">IFERROR(K23/K$5,"-")</f>
        <v>-</v>
      </c>
      <c r="L24" s="55" t="str">
        <f t="shared" ref="L24" si="53">IFERROR(L23/L$5,"-")</f>
        <v>-</v>
      </c>
      <c r="M24" s="56" t="str">
        <f t="shared" ref="M24" si="54">IFERROR(M23/M$5,"-")</f>
        <v>-</v>
      </c>
    </row>
    <row r="25" spans="1:18" ht="12.95">
      <c r="A25" s="113" t="s">
        <v>536</v>
      </c>
      <c r="B25" s="55">
        <f t="shared" ref="B25" si="55">IFERROR(B24/C24-1,"-")</f>
        <v>0.85013442592433486</v>
      </c>
      <c r="C25" s="55">
        <f t="shared" ref="C25" si="56">IFERROR(C24/D24-1,"-")</f>
        <v>-1.3277354211648984</v>
      </c>
      <c r="D25" s="55">
        <f t="shared" ref="D25" si="57">IFERROR(D24/E24-1,"-")</f>
        <v>1.1104476228789739</v>
      </c>
      <c r="E25" s="55">
        <f t="shared" ref="E25" si="58">IFERROR(E24/F24-1,"-")</f>
        <v>-4.0292882353191617</v>
      </c>
      <c r="F25" s="55">
        <f t="shared" ref="F25" si="59">IFERROR(F24/G24-1,"-")</f>
        <v>-0.48407672228930909</v>
      </c>
      <c r="G25" s="55" t="str">
        <f t="shared" ref="G25" si="60">IFERROR(G24/H24-1,"-")</f>
        <v>-</v>
      </c>
      <c r="H25" s="55" t="str">
        <f t="shared" ref="H25" si="61">IFERROR(H24/I24-1,"-")</f>
        <v>-</v>
      </c>
      <c r="I25" s="55" t="str">
        <f t="shared" ref="I25" si="62">IFERROR(I24/J24-1,"-")</f>
        <v>-</v>
      </c>
      <c r="J25" s="55" t="str">
        <f t="shared" ref="J25" si="63">IFERROR(J24/K24-1,"-")</f>
        <v>-</v>
      </c>
      <c r="K25" s="55" t="str">
        <f t="shared" ref="K25" si="64">IFERROR(K24/L24-1,"-")</f>
        <v>-</v>
      </c>
      <c r="L25" s="55" t="str">
        <f t="shared" ref="L25" si="65">IFERROR(L24/M24-1,"-")</f>
        <v>-</v>
      </c>
      <c r="M25" s="56" t="str">
        <f>IFERROR(M24/#REF!-1,"-")</f>
        <v>-</v>
      </c>
    </row>
    <row r="26" spans="1:18">
      <c r="A26" s="114" t="s">
        <v>545</v>
      </c>
      <c r="B26" s="57">
        <f>B39-C39</f>
        <v>55</v>
      </c>
      <c r="C26" s="57">
        <f t="shared" ref="C26:M26" si="66">C39-D39</f>
        <v>-251</v>
      </c>
      <c r="D26" s="57">
        <f t="shared" si="66"/>
        <v>135</v>
      </c>
      <c r="E26" s="57">
        <f t="shared" si="66"/>
        <v>152</v>
      </c>
      <c r="F26" s="57" t="e">
        <f t="shared" si="66"/>
        <v>#VALUE!</v>
      </c>
      <c r="G26" s="57" t="e">
        <f t="shared" si="66"/>
        <v>#VALUE!</v>
      </c>
      <c r="H26" s="57" t="e">
        <f t="shared" si="66"/>
        <v>#VALUE!</v>
      </c>
      <c r="I26" s="57" t="e">
        <f t="shared" si="66"/>
        <v>#VALUE!</v>
      </c>
      <c r="J26" s="57" t="e">
        <f t="shared" si="66"/>
        <v>#VALUE!</v>
      </c>
      <c r="K26" s="57" t="e">
        <f t="shared" si="66"/>
        <v>#VALUE!</v>
      </c>
      <c r="L26" s="57" t="e">
        <f t="shared" si="66"/>
        <v>#VALUE!</v>
      </c>
      <c r="M26" s="54" t="e">
        <f t="shared" si="66"/>
        <v>#VALUE!</v>
      </c>
    </row>
    <row r="27" spans="1:18">
      <c r="A27" s="113" t="s">
        <v>127</v>
      </c>
      <c r="B27" s="53">
        <f>_xlfn.XLOOKUP($A27,Inputs!$A:$A,Inputs!B:B,,0)</f>
        <v>-27.07</v>
      </c>
      <c r="C27" s="53">
        <f>_xlfn.XLOOKUP($A27,Inputs!$A:$A,Inputs!C:C,,0)</f>
        <v>-23.03</v>
      </c>
      <c r="D27" s="53">
        <f>_xlfn.XLOOKUP($A27,Inputs!$A:$A,Inputs!D:D,,0)</f>
        <v>0.12</v>
      </c>
      <c r="E27" s="53">
        <f>_xlfn.XLOOKUP($A27,Inputs!$A:$A,Inputs!E:E,,0)</f>
        <v>0</v>
      </c>
      <c r="F27" s="53">
        <f>_xlfn.XLOOKUP($A27,Inputs!$A:$A,Inputs!F:F,,0)</f>
        <v>0</v>
      </c>
      <c r="G27" s="53">
        <f>_xlfn.XLOOKUP($A27,Inputs!$A:$A,Inputs!G:G,,0)</f>
        <v>0</v>
      </c>
      <c r="H27" s="53" t="str">
        <f>_xlfn.XLOOKUP($A27,Inputs!$A:$A,Inputs!H:H,,0)</f>
        <v>N/A</v>
      </c>
      <c r="I27" s="53" t="str">
        <f>_xlfn.XLOOKUP($A27,Inputs!$A:$A,Inputs!I:I,,0)</f>
        <v>N/A</v>
      </c>
      <c r="J27" s="53" t="str">
        <f>_xlfn.XLOOKUP($A27,Inputs!$A:$A,Inputs!J:J,,0)</f>
        <v>N/A</v>
      </c>
      <c r="K27" s="53" t="str">
        <f>_xlfn.XLOOKUP($A27,Inputs!$A:$A,Inputs!K:K,,0)</f>
        <v>N/A</v>
      </c>
      <c r="L27" s="53" t="str">
        <f>_xlfn.XLOOKUP($A27,Inputs!$A:$A,Inputs!L:L,,0)</f>
        <v>N/A</v>
      </c>
      <c r="M27" s="54" t="str">
        <f>_xlfn.XLOOKUP($A27,Inputs!$A:$A,Inputs!M:M,,0)</f>
        <v>N/A</v>
      </c>
    </row>
    <row r="28" spans="1:18">
      <c r="A28" s="115" t="s">
        <v>546</v>
      </c>
      <c r="B28" s="53">
        <f>_xlfn.XLOOKUP($A28,Inputs!$A:$A,Inputs!B:B,,0)</f>
        <v>-4</v>
      </c>
      <c r="C28" s="53">
        <f>_xlfn.XLOOKUP($A28,Inputs!$A:$A,Inputs!C:C,,0)</f>
        <v>-15</v>
      </c>
      <c r="D28" s="53">
        <f>_xlfn.XLOOKUP($A28,Inputs!$A:$A,Inputs!D:D,,0)</f>
        <v>-767</v>
      </c>
      <c r="E28" s="53">
        <f>_xlfn.XLOOKUP($A28,Inputs!$A:$A,Inputs!E:E,,0)</f>
        <v>1</v>
      </c>
      <c r="F28" s="53">
        <f>_xlfn.XLOOKUP($A28,Inputs!$A:$A,Inputs!F:F,,0)</f>
        <v>0</v>
      </c>
      <c r="G28" s="53">
        <f>_xlfn.XLOOKUP($A28,Inputs!$A:$A,Inputs!G:G,,0)</f>
        <v>-3</v>
      </c>
      <c r="H28" s="53" t="str">
        <f>_xlfn.XLOOKUP($A28,Inputs!$A:$A,Inputs!H:H,,0)</f>
        <v>N/A</v>
      </c>
      <c r="I28" s="53" t="str">
        <f>_xlfn.XLOOKUP($A28,Inputs!$A:$A,Inputs!I:I,,0)</f>
        <v>N/A</v>
      </c>
      <c r="J28" s="53" t="str">
        <f>_xlfn.XLOOKUP($A28,Inputs!$A:$A,Inputs!J:J,,0)</f>
        <v>N/A</v>
      </c>
      <c r="K28" s="53" t="str">
        <f>_xlfn.XLOOKUP($A28,Inputs!$A:$A,Inputs!K:K,,0)</f>
        <v>N/A</v>
      </c>
      <c r="L28" s="53" t="str">
        <f>_xlfn.XLOOKUP($A28,Inputs!$A:$A,Inputs!L:L,,0)</f>
        <v>N/A</v>
      </c>
      <c r="M28" s="54" t="str">
        <f>_xlfn.XLOOKUP($A28,Inputs!$A:$A,Inputs!M:M,,0)</f>
        <v>N/A</v>
      </c>
    </row>
    <row r="29" spans="1:18">
      <c r="A29" s="113" t="s">
        <v>119</v>
      </c>
      <c r="B29" s="57">
        <f>SUM(B26:B28)</f>
        <v>23.93</v>
      </c>
      <c r="C29" s="57">
        <f t="shared" ref="C29:M29" si="67">SUM(C26:C28)</f>
        <v>-289.02999999999997</v>
      </c>
      <c r="D29" s="57">
        <f t="shared" si="67"/>
        <v>-631.88</v>
      </c>
      <c r="E29" s="57">
        <f t="shared" si="67"/>
        <v>153</v>
      </c>
      <c r="F29" s="57" t="e">
        <f t="shared" si="67"/>
        <v>#VALUE!</v>
      </c>
      <c r="G29" s="57" t="e">
        <f t="shared" si="67"/>
        <v>#VALUE!</v>
      </c>
      <c r="H29" s="57" t="e">
        <f t="shared" si="67"/>
        <v>#VALUE!</v>
      </c>
      <c r="I29" s="57" t="e">
        <f t="shared" si="67"/>
        <v>#VALUE!</v>
      </c>
      <c r="J29" s="57" t="e">
        <f t="shared" si="67"/>
        <v>#VALUE!</v>
      </c>
      <c r="K29" s="57" t="e">
        <f t="shared" si="67"/>
        <v>#VALUE!</v>
      </c>
      <c r="L29" s="57" t="e">
        <f t="shared" si="67"/>
        <v>#VALUE!</v>
      </c>
      <c r="M29" s="54" t="e">
        <f t="shared" si="67"/>
        <v>#VALUE!</v>
      </c>
    </row>
    <row r="30" spans="1:18">
      <c r="A30" s="115" t="s">
        <v>547</v>
      </c>
      <c r="B30" s="57">
        <f>+B29-(B58-C29)</f>
        <v>-1364.6699999999998</v>
      </c>
      <c r="C30" s="57">
        <f t="shared" ref="C30:M30" si="68">+C29-(C58-D29)</f>
        <v>-1899.68</v>
      </c>
      <c r="D30" s="57">
        <f t="shared" si="68"/>
        <v>-1691.8400000000001</v>
      </c>
      <c r="E30" s="57" t="e">
        <f t="shared" si="68"/>
        <v>#VALUE!</v>
      </c>
      <c r="F30" s="57" t="e">
        <f t="shared" si="68"/>
        <v>#VALUE!</v>
      </c>
      <c r="G30" s="57" t="e">
        <f t="shared" si="68"/>
        <v>#VALUE!</v>
      </c>
      <c r="H30" s="57" t="e">
        <f t="shared" si="68"/>
        <v>#VALUE!</v>
      </c>
      <c r="I30" s="57" t="e">
        <f t="shared" si="68"/>
        <v>#VALUE!</v>
      </c>
      <c r="J30" s="57" t="e">
        <f t="shared" si="68"/>
        <v>#VALUE!</v>
      </c>
      <c r="K30" s="57" t="e">
        <f t="shared" si="68"/>
        <v>#VALUE!</v>
      </c>
      <c r="L30" s="57" t="e">
        <f t="shared" si="68"/>
        <v>#VALUE!</v>
      </c>
      <c r="M30" s="54" t="e">
        <f t="shared" si="68"/>
        <v>#VALUE!</v>
      </c>
    </row>
    <row r="31" spans="1:18">
      <c r="A31" s="113" t="s">
        <v>548</v>
      </c>
      <c r="B31" s="57">
        <f>+B30+B33</f>
        <v>-1279.2099999999998</v>
      </c>
      <c r="C31" s="57">
        <f t="shared" ref="C31:L31" si="69">+C30+C33</f>
        <v>-1908.16</v>
      </c>
      <c r="D31" s="57">
        <f t="shared" si="69"/>
        <v>-1699.14</v>
      </c>
      <c r="E31" s="57" t="e">
        <f t="shared" si="69"/>
        <v>#VALUE!</v>
      </c>
      <c r="F31" s="57" t="e">
        <f t="shared" si="69"/>
        <v>#VALUE!</v>
      </c>
      <c r="G31" s="57" t="e">
        <f t="shared" si="69"/>
        <v>#VALUE!</v>
      </c>
      <c r="H31" s="57" t="e">
        <f t="shared" si="69"/>
        <v>#VALUE!</v>
      </c>
      <c r="I31" s="57" t="e">
        <f t="shared" si="69"/>
        <v>#VALUE!</v>
      </c>
      <c r="J31" s="57" t="e">
        <f t="shared" si="69"/>
        <v>#VALUE!</v>
      </c>
      <c r="K31" s="57" t="e">
        <f t="shared" si="69"/>
        <v>#VALUE!</v>
      </c>
      <c r="L31" s="57" t="e">
        <f t="shared" si="69"/>
        <v>#VALUE!</v>
      </c>
      <c r="M31" s="54" t="e">
        <f t="shared" ref="M31" si="70">+M30+M33</f>
        <v>#VALUE!</v>
      </c>
    </row>
    <row r="32" spans="1:18">
      <c r="A32" s="115" t="s">
        <v>124</v>
      </c>
      <c r="B32" s="53">
        <f>_xlfn.XLOOKUP($A32,Inputs!$A:$A,Inputs!B:B,,0)</f>
        <v>-61.46</v>
      </c>
      <c r="C32" s="53">
        <f>_xlfn.XLOOKUP($A32,Inputs!$A:$A,Inputs!C:C,,0)</f>
        <v>-51.519999999999996</v>
      </c>
      <c r="D32" s="53">
        <f>_xlfn.XLOOKUP($A32,Inputs!$A:$A,Inputs!D:D,,0)</f>
        <v>-89.7</v>
      </c>
      <c r="E32" s="53">
        <f>_xlfn.XLOOKUP($A32,Inputs!$A:$A,Inputs!E:E,,0)</f>
        <v>-29.85</v>
      </c>
      <c r="F32" s="53">
        <f>_xlfn.XLOOKUP($A32,Inputs!$A:$A,Inputs!F:F,,0)</f>
        <v>-52.01</v>
      </c>
      <c r="G32" s="53">
        <f>_xlfn.XLOOKUP($A32,Inputs!$A:$A,Inputs!G:G,,0)</f>
        <v>-17.850000000000001</v>
      </c>
      <c r="H32" s="53" t="str">
        <f>_xlfn.XLOOKUP($A32,Inputs!$A:$A,Inputs!H:H,,0)</f>
        <v>N/A</v>
      </c>
      <c r="I32" s="53" t="str">
        <f>_xlfn.XLOOKUP($A32,Inputs!$A:$A,Inputs!I:I,,0)</f>
        <v>N/A</v>
      </c>
      <c r="J32" s="53" t="str">
        <f>_xlfn.XLOOKUP($A32,Inputs!$A:$A,Inputs!J:J,,0)</f>
        <v>N/A</v>
      </c>
      <c r="K32" s="53" t="str">
        <f>_xlfn.XLOOKUP($A32,Inputs!$A:$A,Inputs!K:K,,0)</f>
        <v>N/A</v>
      </c>
      <c r="L32" s="53" t="str">
        <f>_xlfn.XLOOKUP($A32,Inputs!$A:$A,Inputs!L:L,,0)</f>
        <v>N/A</v>
      </c>
      <c r="M32" s="54" t="str">
        <f>_xlfn.XLOOKUP($A32,Inputs!$A:$A,Inputs!M:M,,0)</f>
        <v>N/A</v>
      </c>
    </row>
    <row r="33" spans="1:13">
      <c r="A33" s="113" t="s">
        <v>125</v>
      </c>
      <c r="B33" s="53">
        <f>_xlfn.XLOOKUP($A33,Inputs!$A:$A,Inputs!B:B,,0)</f>
        <v>85.460000000000008</v>
      </c>
      <c r="C33" s="53">
        <f>_xlfn.XLOOKUP($A33,Inputs!$A:$A,Inputs!C:C,,0)</f>
        <v>-8.48</v>
      </c>
      <c r="D33" s="53">
        <f>_xlfn.XLOOKUP($A33,Inputs!$A:$A,Inputs!D:D,,0)</f>
        <v>-7.3000000000000007</v>
      </c>
      <c r="E33" s="53">
        <f>_xlfn.XLOOKUP($A33,Inputs!$A:$A,Inputs!E:E,,0)</f>
        <v>135.85</v>
      </c>
      <c r="F33" s="53">
        <f>_xlfn.XLOOKUP($A33,Inputs!$A:$A,Inputs!F:F,,0)</f>
        <v>146.01</v>
      </c>
      <c r="G33" s="53">
        <f>_xlfn.XLOOKUP($A33,Inputs!$A:$A,Inputs!G:G,,0)</f>
        <v>-376.8</v>
      </c>
      <c r="H33" s="53" t="str">
        <f>_xlfn.XLOOKUP($A33,Inputs!$A:$A,Inputs!H:H,,0)</f>
        <v>N/A</v>
      </c>
      <c r="I33" s="53" t="str">
        <f>_xlfn.XLOOKUP($A33,Inputs!$A:$A,Inputs!I:I,,0)</f>
        <v>N/A</v>
      </c>
      <c r="J33" s="53" t="str">
        <f>_xlfn.XLOOKUP($A33,Inputs!$A:$A,Inputs!J:J,,0)</f>
        <v>N/A</v>
      </c>
      <c r="K33" s="53" t="str">
        <f>_xlfn.XLOOKUP($A33,Inputs!$A:$A,Inputs!K:K,,0)</f>
        <v>N/A</v>
      </c>
      <c r="L33" s="53" t="str">
        <f>_xlfn.XLOOKUP($A33,Inputs!$A:$A,Inputs!L:L,,0)</f>
        <v>N/A</v>
      </c>
      <c r="M33" s="54" t="str">
        <f>_xlfn.XLOOKUP($A33,Inputs!$A:$A,Inputs!M:M,,0)</f>
        <v>N/A</v>
      </c>
    </row>
    <row r="34" spans="1:13">
      <c r="A34" s="114" t="s">
        <v>120</v>
      </c>
      <c r="B34" s="57">
        <f t="shared" ref="B34:M34" si="71">+B32+B33</f>
        <v>24.000000000000007</v>
      </c>
      <c r="C34" s="57">
        <f t="shared" si="71"/>
        <v>-60</v>
      </c>
      <c r="D34" s="57">
        <f t="shared" si="71"/>
        <v>-97</v>
      </c>
      <c r="E34" s="57">
        <f t="shared" si="71"/>
        <v>106</v>
      </c>
      <c r="F34" s="57">
        <f t="shared" si="71"/>
        <v>94</v>
      </c>
      <c r="G34" s="57">
        <f t="shared" si="71"/>
        <v>-394.65000000000003</v>
      </c>
      <c r="H34" s="57" t="e">
        <f t="shared" si="71"/>
        <v>#VALUE!</v>
      </c>
      <c r="I34" s="57" t="e">
        <f t="shared" si="71"/>
        <v>#VALUE!</v>
      </c>
      <c r="J34" s="57" t="e">
        <f t="shared" si="71"/>
        <v>#VALUE!</v>
      </c>
      <c r="K34" s="57" t="e">
        <f t="shared" si="71"/>
        <v>#VALUE!</v>
      </c>
      <c r="L34" s="57" t="e">
        <f t="shared" si="71"/>
        <v>#VALUE!</v>
      </c>
      <c r="M34" s="58" t="e">
        <f t="shared" si="71"/>
        <v>#VALUE!</v>
      </c>
    </row>
    <row r="35" spans="1:13">
      <c r="A35" s="113" t="s">
        <v>118</v>
      </c>
      <c r="B35" s="57">
        <f t="shared" ref="B35:M35" si="72">+B27+B28</f>
        <v>-31.07</v>
      </c>
      <c r="C35" s="57">
        <f t="shared" si="72"/>
        <v>-38.03</v>
      </c>
      <c r="D35" s="57">
        <f t="shared" si="72"/>
        <v>-766.88</v>
      </c>
      <c r="E35" s="57">
        <f t="shared" si="72"/>
        <v>1</v>
      </c>
      <c r="F35" s="57">
        <f t="shared" si="72"/>
        <v>0</v>
      </c>
      <c r="G35" s="57">
        <f t="shared" si="72"/>
        <v>-3</v>
      </c>
      <c r="H35" s="57" t="e">
        <f t="shared" si="72"/>
        <v>#VALUE!</v>
      </c>
      <c r="I35" s="57" t="e">
        <f t="shared" si="72"/>
        <v>#VALUE!</v>
      </c>
      <c r="J35" s="57" t="e">
        <f t="shared" si="72"/>
        <v>#VALUE!</v>
      </c>
      <c r="K35" s="57" t="e">
        <f t="shared" si="72"/>
        <v>#VALUE!</v>
      </c>
      <c r="L35" s="57" t="e">
        <f t="shared" si="72"/>
        <v>#VALUE!</v>
      </c>
      <c r="M35" s="58" t="e">
        <f t="shared" si="72"/>
        <v>#VALUE!</v>
      </c>
    </row>
    <row r="36" spans="1:13" ht="12.95">
      <c r="A36" s="115" t="s">
        <v>549</v>
      </c>
      <c r="B36" s="55">
        <f>IFERROR(B35/B23,"-")</f>
        <v>-0.23641759245168165</v>
      </c>
      <c r="C36" s="55">
        <f t="shared" ref="C36:M36" si="73">IFERROR(C35/C23,"-")</f>
        <v>-0.70114306784660763</v>
      </c>
      <c r="D36" s="55">
        <f t="shared" si="73"/>
        <v>4.7670790078945728</v>
      </c>
      <c r="E36" s="55">
        <f t="shared" si="73"/>
        <v>-1.7322016282695307E-2</v>
      </c>
      <c r="F36" s="55">
        <f t="shared" si="73"/>
        <v>0</v>
      </c>
      <c r="G36" s="55">
        <f t="shared" si="73"/>
        <v>-6.737031214911296E-2</v>
      </c>
      <c r="H36" s="55" t="str">
        <f t="shared" si="73"/>
        <v>-</v>
      </c>
      <c r="I36" s="55" t="str">
        <f t="shared" si="73"/>
        <v>-</v>
      </c>
      <c r="J36" s="55" t="str">
        <f t="shared" si="73"/>
        <v>-</v>
      </c>
      <c r="K36" s="55" t="str">
        <f t="shared" si="73"/>
        <v>-</v>
      </c>
      <c r="L36" s="55" t="str">
        <f t="shared" si="73"/>
        <v>-</v>
      </c>
      <c r="M36" s="56" t="str">
        <f t="shared" si="73"/>
        <v>-</v>
      </c>
    </row>
    <row r="37" spans="1:13">
      <c r="A37" s="7"/>
      <c r="B37" s="45"/>
      <c r="C37" s="45"/>
      <c r="D37" s="45"/>
      <c r="E37" s="45"/>
      <c r="F37" s="45"/>
      <c r="G37" s="45"/>
      <c r="H37" s="45"/>
      <c r="I37" s="45"/>
      <c r="J37" s="45"/>
      <c r="K37" s="45"/>
      <c r="L37" s="45"/>
      <c r="M37" s="45"/>
    </row>
    <row r="38" spans="1:13" ht="20.100000000000001">
      <c r="A38" s="1126" t="s">
        <v>550</v>
      </c>
      <c r="B38" s="1126"/>
      <c r="C38" s="1126"/>
      <c r="D38" s="1126"/>
      <c r="E38" s="1126"/>
      <c r="F38" s="1126"/>
      <c r="G38" s="1126"/>
      <c r="H38" s="1126"/>
      <c r="I38" s="1126"/>
      <c r="J38" s="1126"/>
      <c r="K38" s="1126"/>
      <c r="L38" s="1126"/>
      <c r="M38" s="1126"/>
    </row>
    <row r="39" spans="1:13">
      <c r="A39" s="116" t="s">
        <v>298</v>
      </c>
      <c r="B39" s="53">
        <f>_xlfn.XLOOKUP($A39,Inputs!$A:$A,Inputs!B:B,,0)</f>
        <v>327</v>
      </c>
      <c r="C39" s="53">
        <f>_xlfn.XLOOKUP($A39,Inputs!$A:$A,Inputs!C:C,,0)</f>
        <v>272</v>
      </c>
      <c r="D39" s="53">
        <f>_xlfn.XLOOKUP($A39,Inputs!$A:$A,Inputs!D:D,,0)</f>
        <v>523</v>
      </c>
      <c r="E39" s="53">
        <f>_xlfn.XLOOKUP($A39,Inputs!$A:$A,Inputs!E:E,,0)</f>
        <v>388</v>
      </c>
      <c r="F39" s="53">
        <f>_xlfn.XLOOKUP($A39,Inputs!$A:$A,Inputs!F:F,,0)</f>
        <v>236</v>
      </c>
      <c r="G39" s="53" t="str">
        <f>_xlfn.XLOOKUP($A39,Inputs!$A:$A,Inputs!G:G,,0)</f>
        <v>N/A</v>
      </c>
      <c r="H39" s="53" t="str">
        <f>_xlfn.XLOOKUP($A39,Inputs!$A:$A,Inputs!H:H,,0)</f>
        <v>N/A</v>
      </c>
      <c r="I39" s="53" t="str">
        <f>_xlfn.XLOOKUP($A39,Inputs!$A:$A,Inputs!I:I,,0)</f>
        <v>N/A</v>
      </c>
      <c r="J39" s="53" t="str">
        <f>_xlfn.XLOOKUP($A39,Inputs!$A:$A,Inputs!J:J,,0)</f>
        <v>N/A</v>
      </c>
      <c r="K39" s="53" t="str">
        <f>_xlfn.XLOOKUP($A39,Inputs!$A:$A,Inputs!K:K,,0)</f>
        <v>N/A</v>
      </c>
      <c r="L39" s="53" t="str">
        <f>_xlfn.XLOOKUP($A39,Inputs!$A:$A,Inputs!L:L,,0)</f>
        <v>N/A</v>
      </c>
      <c r="M39" s="54" t="str">
        <f>_xlfn.XLOOKUP($A39,Inputs!$A:$A,Inputs!M:M,,0)</f>
        <v>N/A</v>
      </c>
    </row>
    <row r="40" spans="1:13">
      <c r="A40" s="114" t="s">
        <v>551</v>
      </c>
      <c r="B40" s="53">
        <f>_xlfn.XLOOKUP($A40,Inputs!$A:$A,Inputs!B:B,,0)</f>
        <v>273</v>
      </c>
      <c r="C40" s="53">
        <f>_xlfn.XLOOKUP($A40,Inputs!$A:$A,Inputs!C:C,,0)</f>
        <v>197</v>
      </c>
      <c r="D40" s="53">
        <f>_xlfn.XLOOKUP($A40,Inputs!$A:$A,Inputs!D:D,,0)</f>
        <v>190</v>
      </c>
      <c r="E40" s="53">
        <f>_xlfn.XLOOKUP($A40,Inputs!$A:$A,Inputs!E:E,,0)</f>
        <v>180</v>
      </c>
      <c r="F40" s="53">
        <f>_xlfn.XLOOKUP($A40,Inputs!$A:$A,Inputs!F:F,,0)</f>
        <v>206</v>
      </c>
      <c r="G40" s="53" t="str">
        <f>_xlfn.XLOOKUP($A40,Inputs!$A:$A,Inputs!G:G,,0)</f>
        <v>N/A</v>
      </c>
      <c r="H40" s="53" t="str">
        <f>_xlfn.XLOOKUP($A40,Inputs!$A:$A,Inputs!H:H,,0)</f>
        <v>N/A</v>
      </c>
      <c r="I40" s="53" t="str">
        <f>_xlfn.XLOOKUP($A40,Inputs!$A:$A,Inputs!I:I,,0)</f>
        <v>N/A</v>
      </c>
      <c r="J40" s="53" t="str">
        <f>_xlfn.XLOOKUP($A40,Inputs!$A:$A,Inputs!J:J,,0)</f>
        <v>N/A</v>
      </c>
      <c r="K40" s="53" t="str">
        <f>_xlfn.XLOOKUP($A40,Inputs!$A:$A,Inputs!K:K,,0)</f>
        <v>N/A</v>
      </c>
      <c r="L40" s="53" t="str">
        <f>_xlfn.XLOOKUP($A40,Inputs!$A:$A,Inputs!L:L,,0)</f>
        <v>N/A</v>
      </c>
      <c r="M40" s="54" t="str">
        <f>_xlfn.XLOOKUP($A40,Inputs!$A:$A,Inputs!M:M,,0)</f>
        <v>N/A</v>
      </c>
    </row>
    <row r="41" spans="1:13">
      <c r="A41" s="116" t="s">
        <v>300</v>
      </c>
      <c r="B41" s="53">
        <f>_xlfn.XLOOKUP($A41,Inputs!$A:$A,Inputs!B:B,,0)</f>
        <v>577</v>
      </c>
      <c r="C41" s="53">
        <f>_xlfn.XLOOKUP($A41,Inputs!$A:$A,Inputs!C:C,,0)</f>
        <v>440</v>
      </c>
      <c r="D41" s="53">
        <f>_xlfn.XLOOKUP($A41,Inputs!$A:$A,Inputs!D:D,,0)</f>
        <v>385</v>
      </c>
      <c r="E41" s="53">
        <f>_xlfn.XLOOKUP($A41,Inputs!$A:$A,Inputs!E:E,,0)</f>
        <v>393</v>
      </c>
      <c r="F41" s="53">
        <f>_xlfn.XLOOKUP($A41,Inputs!$A:$A,Inputs!F:F,,0)</f>
        <v>353</v>
      </c>
      <c r="G41" s="53" t="str">
        <f>_xlfn.XLOOKUP($A41,Inputs!$A:$A,Inputs!G:G,,0)</f>
        <v>N/A</v>
      </c>
      <c r="H41" s="53" t="str">
        <f>_xlfn.XLOOKUP($A41,Inputs!$A:$A,Inputs!H:H,,0)</f>
        <v>N/A</v>
      </c>
      <c r="I41" s="53" t="str">
        <f>_xlfn.XLOOKUP($A41,Inputs!$A:$A,Inputs!I:I,,0)</f>
        <v>N/A</v>
      </c>
      <c r="J41" s="53" t="str">
        <f>_xlfn.XLOOKUP($A41,Inputs!$A:$A,Inputs!J:J,,0)</f>
        <v>N/A</v>
      </c>
      <c r="K41" s="53" t="str">
        <f>_xlfn.XLOOKUP($A41,Inputs!$A:$A,Inputs!K:K,,0)</f>
        <v>N/A</v>
      </c>
      <c r="L41" s="53" t="str">
        <f>_xlfn.XLOOKUP($A41,Inputs!$A:$A,Inputs!L:L,,0)</f>
        <v>N/A</v>
      </c>
      <c r="M41" s="54" t="str">
        <f>_xlfn.XLOOKUP($A41,Inputs!$A:$A,Inputs!M:M,,0)</f>
        <v>N/A</v>
      </c>
    </row>
    <row r="42" spans="1:13">
      <c r="A42" s="114" t="s">
        <v>552</v>
      </c>
      <c r="B42" s="53">
        <f>_xlfn.XLOOKUP($A42,Inputs!$A:$A,Inputs!B:B,,0)</f>
        <v>765.41</v>
      </c>
      <c r="C42" s="53">
        <f>_xlfn.XLOOKUP($A42,Inputs!$A:$A,Inputs!C:C,,0)</f>
        <v>536.87</v>
      </c>
      <c r="D42" s="53">
        <f>_xlfn.XLOOKUP($A42,Inputs!$A:$A,Inputs!D:D,,0)</f>
        <v>547.88</v>
      </c>
      <c r="E42" s="53">
        <f>_xlfn.XLOOKUP($A42,Inputs!$A:$A,Inputs!E:E,,0)</f>
        <v>727.62</v>
      </c>
      <c r="F42" s="53">
        <f>_xlfn.XLOOKUP($A42,Inputs!$A:$A,Inputs!F:F,,0)</f>
        <v>823.91</v>
      </c>
      <c r="G42" s="53" t="str">
        <f>_xlfn.XLOOKUP($A42,Inputs!$A:$A,Inputs!G:G,,0)</f>
        <v>N/A</v>
      </c>
      <c r="H42" s="53" t="str">
        <f>_xlfn.XLOOKUP($A42,Inputs!$A:$A,Inputs!H:H,,0)</f>
        <v>N/A</v>
      </c>
      <c r="I42" s="53" t="str">
        <f>_xlfn.XLOOKUP($A42,Inputs!$A:$A,Inputs!I:I,,0)</f>
        <v>N/A</v>
      </c>
      <c r="J42" s="53" t="str">
        <f>_xlfn.XLOOKUP($A42,Inputs!$A:$A,Inputs!J:J,,0)</f>
        <v>N/A</v>
      </c>
      <c r="K42" s="53" t="str">
        <f>_xlfn.XLOOKUP($A42,Inputs!$A:$A,Inputs!K:K,,0)</f>
        <v>N/A</v>
      </c>
      <c r="L42" s="53" t="str">
        <f>_xlfn.XLOOKUP($A42,Inputs!$A:$A,Inputs!L:L,,0)</f>
        <v>N/A</v>
      </c>
      <c r="M42" s="54" t="str">
        <f>_xlfn.XLOOKUP($A42,Inputs!$A:$A,Inputs!M:M,,0)</f>
        <v>N/A</v>
      </c>
    </row>
    <row r="43" spans="1:13">
      <c r="A43" s="116" t="s">
        <v>553</v>
      </c>
      <c r="B43" s="53">
        <f>_xlfn.XLOOKUP($A43,Inputs!$A:$A,Inputs!B:B,,0)</f>
        <v>501.27</v>
      </c>
      <c r="C43" s="53">
        <f>_xlfn.XLOOKUP($A43,Inputs!$A:$A,Inputs!C:C,,0)</f>
        <v>725.11999999999989</v>
      </c>
      <c r="D43" s="53">
        <f>_xlfn.XLOOKUP($A43,Inputs!$A:$A,Inputs!D:D,,0)</f>
        <v>701.39999999999986</v>
      </c>
      <c r="E43" s="53">
        <f>_xlfn.XLOOKUP($A43,Inputs!$A:$A,Inputs!E:E,,0)</f>
        <v>784.41999999999985</v>
      </c>
      <c r="F43" s="53">
        <f>_xlfn.XLOOKUP($A43,Inputs!$A:$A,Inputs!F:F,,0)</f>
        <v>773.08000000000015</v>
      </c>
      <c r="G43" s="53">
        <f>_xlfn.XLOOKUP($A43,Inputs!$A:$A,Inputs!G:G,,0)</f>
        <v>0</v>
      </c>
      <c r="H43" s="53">
        <f>_xlfn.XLOOKUP($A43,Inputs!$A:$A,Inputs!H:H,,0)</f>
        <v>0</v>
      </c>
      <c r="I43" s="53">
        <f>_xlfn.XLOOKUP($A43,Inputs!$A:$A,Inputs!I:I,,0)</f>
        <v>0</v>
      </c>
      <c r="J43" s="53">
        <f>_xlfn.XLOOKUP($A43,Inputs!$A:$A,Inputs!J:J,,0)</f>
        <v>0</v>
      </c>
      <c r="K43" s="53">
        <f>_xlfn.XLOOKUP($A43,Inputs!$A:$A,Inputs!K:K,,0)</f>
        <v>0</v>
      </c>
      <c r="L43" s="53">
        <f>_xlfn.XLOOKUP($A43,Inputs!$A:$A,Inputs!L:L,,0)</f>
        <v>0</v>
      </c>
      <c r="M43" s="54">
        <f>_xlfn.XLOOKUP($A43,Inputs!$A:$A,Inputs!M:M,,0)</f>
        <v>0</v>
      </c>
    </row>
    <row r="44" spans="1:13" ht="12.95">
      <c r="A44" s="117" t="s">
        <v>37</v>
      </c>
      <c r="B44" s="59">
        <f>_xlfn.XLOOKUP($A44,Inputs!$A:$A,Inputs!B:B,,0)</f>
        <v>3053.66</v>
      </c>
      <c r="C44" s="59">
        <f>_xlfn.XLOOKUP($A44,Inputs!$A:$A,Inputs!C:C,,0)</f>
        <v>2597.1</v>
      </c>
      <c r="D44" s="59">
        <f>_xlfn.XLOOKUP($A44,Inputs!$A:$A,Inputs!D:D,,0)</f>
        <v>2793.95</v>
      </c>
      <c r="E44" s="59">
        <f>_xlfn.XLOOKUP($A44,Inputs!$A:$A,Inputs!E:E,,0)</f>
        <v>2949.5</v>
      </c>
      <c r="F44" s="59">
        <f>_xlfn.XLOOKUP($A44,Inputs!$A:$A,Inputs!F:F,,0)</f>
        <v>2958.77</v>
      </c>
      <c r="G44" s="59">
        <f>_xlfn.XLOOKUP($A44,Inputs!$A:$A,Inputs!G:G,,0)</f>
        <v>0</v>
      </c>
      <c r="H44" s="59">
        <f>_xlfn.XLOOKUP($A44,Inputs!$A:$A,Inputs!H:H,,0)</f>
        <v>0</v>
      </c>
      <c r="I44" s="59">
        <f>_xlfn.XLOOKUP($A44,Inputs!$A:$A,Inputs!I:I,,0)</f>
        <v>0</v>
      </c>
      <c r="J44" s="59">
        <f>_xlfn.XLOOKUP($A44,Inputs!$A:$A,Inputs!J:J,,0)</f>
        <v>0</v>
      </c>
      <c r="K44" s="59">
        <f>_xlfn.XLOOKUP($A44,Inputs!$A:$A,Inputs!K:K,,0)</f>
        <v>0</v>
      </c>
      <c r="L44" s="59">
        <f>_xlfn.XLOOKUP($A44,Inputs!$A:$A,Inputs!L:L,,0)</f>
        <v>0</v>
      </c>
      <c r="M44" s="59">
        <f>_xlfn.XLOOKUP($A44,Inputs!$A:$A,Inputs!M:M,,0)</f>
        <v>0</v>
      </c>
    </row>
    <row r="45" spans="1:13">
      <c r="B45"/>
      <c r="C45"/>
      <c r="D45"/>
      <c r="E45"/>
      <c r="F45"/>
      <c r="G45"/>
      <c r="H45"/>
      <c r="I45"/>
      <c r="J45"/>
      <c r="K45"/>
      <c r="L45"/>
      <c r="M45"/>
    </row>
    <row r="46" spans="1:13">
      <c r="B46"/>
      <c r="C46"/>
      <c r="D46"/>
      <c r="E46"/>
      <c r="F46"/>
      <c r="G46"/>
      <c r="H46"/>
      <c r="I46"/>
      <c r="J46"/>
      <c r="K46"/>
      <c r="L46"/>
      <c r="M46"/>
    </row>
    <row r="47" spans="1:13" ht="20.100000000000001">
      <c r="A47" s="1126" t="s">
        <v>554</v>
      </c>
      <c r="B47" s="1126"/>
      <c r="C47" s="1126"/>
      <c r="D47" s="1126"/>
      <c r="E47" s="1126"/>
      <c r="F47" s="1126"/>
      <c r="G47" s="1126"/>
      <c r="H47" s="1126"/>
      <c r="I47" s="1126"/>
      <c r="J47" s="1126"/>
      <c r="K47" s="1126"/>
      <c r="L47" s="1126"/>
      <c r="M47" s="1126"/>
    </row>
    <row r="48" spans="1:13" ht="12.95">
      <c r="A48" s="118" t="s">
        <v>304</v>
      </c>
      <c r="B48" s="59">
        <f>_xlfn.XLOOKUP($A48,Inputs!$A:$A,Inputs!B:B,,0)</f>
        <v>1116.97</v>
      </c>
      <c r="C48" s="59">
        <f>_xlfn.XLOOKUP($A48,Inputs!$A:$A,Inputs!C:C,,0)</f>
        <v>927.85</v>
      </c>
      <c r="D48" s="59">
        <f>_xlfn.XLOOKUP($A48,Inputs!$A:$A,Inputs!D:D,,0)</f>
        <v>798.39</v>
      </c>
      <c r="E48" s="59">
        <f>_xlfn.XLOOKUP($A48,Inputs!$A:$A,Inputs!E:E,,0)</f>
        <v>653.95000000000005</v>
      </c>
      <c r="F48" s="59">
        <f>_xlfn.XLOOKUP($A48,Inputs!$A:$A,Inputs!F:F,,0)</f>
        <v>680.87</v>
      </c>
      <c r="G48" s="59">
        <f>_xlfn.XLOOKUP($A48,Inputs!$A:$A,Inputs!G:G,,0)</f>
        <v>0</v>
      </c>
      <c r="H48" s="59">
        <f>_xlfn.XLOOKUP($A48,Inputs!$A:$A,Inputs!H:H,,0)</f>
        <v>0</v>
      </c>
      <c r="I48" s="59">
        <f>_xlfn.XLOOKUP($A48,Inputs!$A:$A,Inputs!I:I,,0)</f>
        <v>0</v>
      </c>
      <c r="J48" s="59">
        <f>_xlfn.XLOOKUP($A48,Inputs!$A:$A,Inputs!J:J,,0)</f>
        <v>0</v>
      </c>
      <c r="K48" s="59">
        <f>_xlfn.XLOOKUP($A48,Inputs!$A:$A,Inputs!K:K,,0)</f>
        <v>0</v>
      </c>
      <c r="L48" s="59">
        <f>_xlfn.XLOOKUP($A48,Inputs!$A:$A,Inputs!L:L,,0)</f>
        <v>0</v>
      </c>
      <c r="M48" s="59">
        <f>_xlfn.XLOOKUP($A48,Inputs!$A:$A,Inputs!M:M,,0)</f>
        <v>0</v>
      </c>
    </row>
    <row r="49" spans="1:13">
      <c r="A49" s="119" t="s">
        <v>555</v>
      </c>
      <c r="B49" s="53">
        <f>_xlfn.XLOOKUP($A49,Inputs!$A:$A,Inputs!B:B,,0)</f>
        <v>319.31</v>
      </c>
      <c r="C49" s="53">
        <f>_xlfn.XLOOKUP($A49,Inputs!$A:$A,Inputs!C:C,,0)</f>
        <v>306.27</v>
      </c>
      <c r="D49" s="53">
        <f>_xlfn.XLOOKUP($A49,Inputs!$A:$A,Inputs!D:D,,0)</f>
        <v>178.81</v>
      </c>
      <c r="E49" s="53">
        <f>_xlfn.XLOOKUP($A49,Inputs!$A:$A,Inputs!E:E,,0)</f>
        <v>129.49</v>
      </c>
      <c r="F49" s="53">
        <f>_xlfn.XLOOKUP($A49,Inputs!$A:$A,Inputs!F:F,,0)</f>
        <v>118.86</v>
      </c>
      <c r="G49" s="53" t="str">
        <f>_xlfn.XLOOKUP($A49,Inputs!$A:$A,Inputs!G:G,,0)</f>
        <v>N/A</v>
      </c>
      <c r="H49" s="53" t="str">
        <f>_xlfn.XLOOKUP($A49,Inputs!$A:$A,Inputs!H:H,,0)</f>
        <v>N/A</v>
      </c>
      <c r="I49" s="53" t="str">
        <f>_xlfn.XLOOKUP($A49,Inputs!$A:$A,Inputs!I:I,,0)</f>
        <v>N/A</v>
      </c>
      <c r="J49" s="53" t="str">
        <f>_xlfn.XLOOKUP($A49,Inputs!$A:$A,Inputs!J:J,,0)</f>
        <v>N/A</v>
      </c>
      <c r="K49" s="53" t="str">
        <f>_xlfn.XLOOKUP($A49,Inputs!$A:$A,Inputs!K:K,,0)</f>
        <v>N/A</v>
      </c>
      <c r="L49" s="53" t="str">
        <f>_xlfn.XLOOKUP($A49,Inputs!$A:$A,Inputs!L:L,,0)</f>
        <v>N/A</v>
      </c>
      <c r="M49" s="53" t="str">
        <f>_xlfn.XLOOKUP($A49,Inputs!$A:$A,Inputs!M:M,,0)</f>
        <v>N/A</v>
      </c>
    </row>
    <row r="50" spans="1:13">
      <c r="A50" s="113" t="s">
        <v>556</v>
      </c>
      <c r="B50" s="53">
        <f>_xlfn.XLOOKUP($A50,Inputs!$A:$A,Inputs!B:B,,0)</f>
        <v>135.35</v>
      </c>
      <c r="C50" s="53">
        <f>_xlfn.XLOOKUP($A50,Inputs!$A:$A,Inputs!C:C,,0)</f>
        <v>119.28</v>
      </c>
      <c r="D50" s="53">
        <f>_xlfn.XLOOKUP($A50,Inputs!$A:$A,Inputs!D:D,,0)</f>
        <v>121.23</v>
      </c>
      <c r="E50" s="53">
        <f>_xlfn.XLOOKUP($A50,Inputs!$A:$A,Inputs!E:E,,0)</f>
        <v>113.39</v>
      </c>
      <c r="F50" s="53">
        <f>_xlfn.XLOOKUP($A50,Inputs!$A:$A,Inputs!F:F,,0)</f>
        <v>114.92</v>
      </c>
      <c r="G50" s="53" t="str">
        <f>_xlfn.XLOOKUP($A50,Inputs!$A:$A,Inputs!G:G,,0)</f>
        <v>N/A</v>
      </c>
      <c r="H50" s="53" t="str">
        <f>_xlfn.XLOOKUP($A50,Inputs!$A:$A,Inputs!H:H,,0)</f>
        <v>N/A</v>
      </c>
      <c r="I50" s="53" t="str">
        <f>_xlfn.XLOOKUP($A50,Inputs!$A:$A,Inputs!I:I,,0)</f>
        <v>N/A</v>
      </c>
      <c r="J50" s="53" t="str">
        <f>_xlfn.XLOOKUP($A50,Inputs!$A:$A,Inputs!J:J,,0)</f>
        <v>N/A</v>
      </c>
      <c r="K50" s="53" t="str">
        <f>_xlfn.XLOOKUP($A50,Inputs!$A:$A,Inputs!K:K,,0)</f>
        <v>N/A</v>
      </c>
      <c r="L50" s="53" t="str">
        <f>_xlfn.XLOOKUP($A50,Inputs!$A:$A,Inputs!L:L,,0)</f>
        <v>N/A</v>
      </c>
      <c r="M50" s="53" t="str">
        <f>_xlfn.XLOOKUP($A50,Inputs!$A:$A,Inputs!M:M,,0)</f>
        <v>N/A</v>
      </c>
    </row>
    <row r="51" spans="1:13">
      <c r="A51" s="114" t="s">
        <v>557</v>
      </c>
      <c r="B51" s="53">
        <f>_xlfn.XLOOKUP($A51,Inputs!$A:$A,Inputs!B:B,,0)</f>
        <v>342.31000000000006</v>
      </c>
      <c r="C51" s="53">
        <f>_xlfn.XLOOKUP($A51,Inputs!$A:$A,Inputs!C:C,,0)</f>
        <v>241.30000000000007</v>
      </c>
      <c r="D51" s="53">
        <f>_xlfn.XLOOKUP($A51,Inputs!$A:$A,Inputs!D:D,,0)</f>
        <v>278.35000000000002</v>
      </c>
      <c r="E51" s="53">
        <f>_xlfn.XLOOKUP($A51,Inputs!$A:$A,Inputs!E:E,,0)</f>
        <v>179.07000000000005</v>
      </c>
      <c r="F51" s="53">
        <f>_xlfn.XLOOKUP($A51,Inputs!$A:$A,Inputs!F:F,,0)</f>
        <v>164.09000000000003</v>
      </c>
      <c r="G51" s="53">
        <f>_xlfn.XLOOKUP($A51,Inputs!$A:$A,Inputs!G:G,,0)</f>
        <v>0</v>
      </c>
      <c r="H51" s="53">
        <f>_xlfn.XLOOKUP($A51,Inputs!$A:$A,Inputs!H:H,,0)</f>
        <v>0</v>
      </c>
      <c r="I51" s="53">
        <f>_xlfn.XLOOKUP($A51,Inputs!$A:$A,Inputs!I:I,,0)</f>
        <v>0</v>
      </c>
      <c r="J51" s="53">
        <f>_xlfn.XLOOKUP($A51,Inputs!$A:$A,Inputs!J:J,,0)</f>
        <v>0</v>
      </c>
      <c r="K51" s="53">
        <f>_xlfn.XLOOKUP($A51,Inputs!$A:$A,Inputs!K:K,,0)</f>
        <v>0</v>
      </c>
      <c r="L51" s="53">
        <f>_xlfn.XLOOKUP($A51,Inputs!$A:$A,Inputs!L:L,,0)</f>
        <v>0</v>
      </c>
      <c r="M51" s="53">
        <f>_xlfn.XLOOKUP($A51,Inputs!$A:$A,Inputs!M:M,,0)</f>
        <v>0</v>
      </c>
    </row>
    <row r="52" spans="1:13" ht="12.95">
      <c r="A52" s="118" t="s">
        <v>558</v>
      </c>
      <c r="B52" s="59">
        <f>_xlfn.XLOOKUP($A52,Inputs!$A:$A,Inputs!B:B,,0)</f>
        <v>942.03</v>
      </c>
      <c r="C52" s="59">
        <f>_xlfn.XLOOKUP($A52,Inputs!$A:$A,Inputs!C:C,,0)</f>
        <v>885.15</v>
      </c>
      <c r="D52" s="59">
        <f>_xlfn.XLOOKUP($A52,Inputs!$A:$A,Inputs!D:D,,0)</f>
        <v>1263.6100000000001</v>
      </c>
      <c r="E52" s="59">
        <f>_xlfn.XLOOKUP($A52,Inputs!$A:$A,Inputs!E:E,,0)</f>
        <v>1508.05</v>
      </c>
      <c r="F52" s="59">
        <f>_xlfn.XLOOKUP($A52,Inputs!$A:$A,Inputs!F:F,,0)</f>
        <v>1460.13</v>
      </c>
      <c r="G52" s="59">
        <f>_xlfn.XLOOKUP($A52,Inputs!$A:$A,Inputs!G:G,,0)</f>
        <v>0</v>
      </c>
      <c r="H52" s="59">
        <f>_xlfn.XLOOKUP($A52,Inputs!$A:$A,Inputs!H:H,,0)</f>
        <v>0</v>
      </c>
      <c r="I52" s="59">
        <f>_xlfn.XLOOKUP($A52,Inputs!$A:$A,Inputs!I:I,,0)</f>
        <v>0</v>
      </c>
      <c r="J52" s="59">
        <f>_xlfn.XLOOKUP($A52,Inputs!$A:$A,Inputs!J:J,,0)</f>
        <v>0</v>
      </c>
      <c r="K52" s="59">
        <f>_xlfn.XLOOKUP($A52,Inputs!$A:$A,Inputs!K:K,,0)</f>
        <v>0</v>
      </c>
      <c r="L52" s="59">
        <f>_xlfn.XLOOKUP($A52,Inputs!$A:$A,Inputs!L:L,,0)</f>
        <v>0</v>
      </c>
      <c r="M52" s="59">
        <f>_xlfn.XLOOKUP($A52,Inputs!$A:$A,Inputs!M:M,,0)</f>
        <v>0</v>
      </c>
    </row>
    <row r="53" spans="1:13">
      <c r="A53" s="119" t="s">
        <v>559</v>
      </c>
      <c r="B53" s="53">
        <f>_xlfn.XLOOKUP($A53,Inputs!$A:$A,Inputs!B:B,,0)</f>
        <v>125.02</v>
      </c>
      <c r="C53" s="53">
        <f>_xlfn.XLOOKUP($A53,Inputs!$A:$A,Inputs!C:C,,0)</f>
        <v>197.86</v>
      </c>
      <c r="D53" s="53">
        <f>_xlfn.XLOOKUP($A53,Inputs!$A:$A,Inputs!D:D,,0)</f>
        <v>536.16999999999996</v>
      </c>
      <c r="E53" s="53">
        <f>_xlfn.XLOOKUP($A53,Inputs!$A:$A,Inputs!E:E,,0)</f>
        <v>687.37</v>
      </c>
      <c r="F53" s="53">
        <f>_xlfn.XLOOKUP($A53,Inputs!$A:$A,Inputs!F:F,,0)</f>
        <v>581.29</v>
      </c>
      <c r="G53" s="53" t="str">
        <f>_xlfn.XLOOKUP($A53,Inputs!$A:$A,Inputs!G:G,,0)</f>
        <v>N/A</v>
      </c>
      <c r="H53" s="53" t="str">
        <f>_xlfn.XLOOKUP($A53,Inputs!$A:$A,Inputs!H:H,,0)</f>
        <v>N/A</v>
      </c>
      <c r="I53" s="53" t="str">
        <f>_xlfn.XLOOKUP($A53,Inputs!$A:$A,Inputs!I:I,,0)</f>
        <v>N/A</v>
      </c>
      <c r="J53" s="53" t="str">
        <f>_xlfn.XLOOKUP($A53,Inputs!$A:$A,Inputs!J:J,,0)</f>
        <v>N/A</v>
      </c>
      <c r="K53" s="53" t="str">
        <f>_xlfn.XLOOKUP($A53,Inputs!$A:$A,Inputs!K:K,,0)</f>
        <v>N/A</v>
      </c>
      <c r="L53" s="53" t="str">
        <f>_xlfn.XLOOKUP($A53,Inputs!$A:$A,Inputs!L:L,,0)</f>
        <v>N/A</v>
      </c>
      <c r="M53" s="53" t="str">
        <f>_xlfn.XLOOKUP($A53,Inputs!$A:$A,Inputs!M:M,,0)</f>
        <v>N/A</v>
      </c>
    </row>
    <row r="54" spans="1:13">
      <c r="A54" s="113" t="s">
        <v>560</v>
      </c>
      <c r="B54" s="53">
        <f>_xlfn.XLOOKUP($A54,Inputs!$A:$A,Inputs!B:B,,0)</f>
        <v>519.89</v>
      </c>
      <c r="C54" s="53">
        <f>_xlfn.XLOOKUP($A54,Inputs!$A:$A,Inputs!C:C,,0)</f>
        <v>355.36</v>
      </c>
      <c r="D54" s="53">
        <f>_xlfn.XLOOKUP($A54,Inputs!$A:$A,Inputs!D:D,,0)</f>
        <v>376.75</v>
      </c>
      <c r="E54" s="53">
        <f>_xlfn.XLOOKUP($A54,Inputs!$A:$A,Inputs!E:E,,0)</f>
        <v>384.52</v>
      </c>
      <c r="F54" s="53">
        <f>_xlfn.XLOOKUP($A54,Inputs!$A:$A,Inputs!F:F,,0)</f>
        <v>454.72</v>
      </c>
      <c r="G54" s="53" t="str">
        <f>_xlfn.XLOOKUP($A54,Inputs!$A:$A,Inputs!G:G,,0)</f>
        <v>N/A</v>
      </c>
      <c r="H54" s="53" t="str">
        <f>_xlfn.XLOOKUP($A54,Inputs!$A:$A,Inputs!H:H,,0)</f>
        <v>N/A</v>
      </c>
      <c r="I54" s="53" t="str">
        <f>_xlfn.XLOOKUP($A54,Inputs!$A:$A,Inputs!I:I,,0)</f>
        <v>N/A</v>
      </c>
      <c r="J54" s="53" t="str">
        <f>_xlfn.XLOOKUP($A54,Inputs!$A:$A,Inputs!J:J,,0)</f>
        <v>N/A</v>
      </c>
      <c r="K54" s="53" t="str">
        <f>_xlfn.XLOOKUP($A54,Inputs!$A:$A,Inputs!K:K,,0)</f>
        <v>N/A</v>
      </c>
      <c r="L54" s="53" t="str">
        <f>_xlfn.XLOOKUP($A54,Inputs!$A:$A,Inputs!L:L,,0)</f>
        <v>N/A</v>
      </c>
      <c r="M54" s="53" t="str">
        <f>_xlfn.XLOOKUP($A54,Inputs!$A:$A,Inputs!M:M,,0)</f>
        <v>N/A</v>
      </c>
    </row>
    <row r="55" spans="1:13">
      <c r="A55" s="114" t="s">
        <v>561</v>
      </c>
      <c r="B55" s="53">
        <f>_xlfn.XLOOKUP($A55,Inputs!$A:$A,Inputs!B:B,,0)</f>
        <v>297.12</v>
      </c>
      <c r="C55" s="53">
        <f>_xlfn.XLOOKUP($A55,Inputs!$A:$A,Inputs!C:C,,0)</f>
        <v>331.92999999999995</v>
      </c>
      <c r="D55" s="53">
        <f>_xlfn.XLOOKUP($A55,Inputs!$A:$A,Inputs!D:D,,0)</f>
        <v>350.69000000000017</v>
      </c>
      <c r="E55" s="53">
        <f>_xlfn.XLOOKUP($A55,Inputs!$A:$A,Inputs!E:E,,0)</f>
        <v>436.16000000000008</v>
      </c>
      <c r="F55" s="53">
        <f>_xlfn.XLOOKUP($A55,Inputs!$A:$A,Inputs!F:F,,0)</f>
        <v>424.12000000000012</v>
      </c>
      <c r="G55" s="53">
        <f>_xlfn.XLOOKUP($A55,Inputs!$A:$A,Inputs!G:G,,0)</f>
        <v>0</v>
      </c>
      <c r="H55" s="53">
        <f>_xlfn.XLOOKUP($A55,Inputs!$A:$A,Inputs!H:H,,0)</f>
        <v>0</v>
      </c>
      <c r="I55" s="53">
        <f>_xlfn.XLOOKUP($A55,Inputs!$A:$A,Inputs!I:I,,0)</f>
        <v>0</v>
      </c>
      <c r="J55" s="53">
        <f>_xlfn.XLOOKUP($A55,Inputs!$A:$A,Inputs!J:J,,0)</f>
        <v>0</v>
      </c>
      <c r="K55" s="53">
        <f>_xlfn.XLOOKUP($A55,Inputs!$A:$A,Inputs!K:K,,0)</f>
        <v>0</v>
      </c>
      <c r="L55" s="53">
        <f>_xlfn.XLOOKUP($A55,Inputs!$A:$A,Inputs!L:L,,0)</f>
        <v>0</v>
      </c>
      <c r="M55" s="53">
        <f>_xlfn.XLOOKUP($A55,Inputs!$A:$A,Inputs!M:M,,0)</f>
        <v>0</v>
      </c>
    </row>
    <row r="56" spans="1:13" ht="12.95">
      <c r="A56" s="118" t="s">
        <v>43</v>
      </c>
      <c r="B56" s="59">
        <f>_xlfn.XLOOKUP($A56,Inputs!$A:$A,Inputs!B:B,,0)</f>
        <v>2059</v>
      </c>
      <c r="C56" s="59">
        <f>_xlfn.XLOOKUP($A56,Inputs!$A:$A,Inputs!C:C,,0)</f>
        <v>1813</v>
      </c>
      <c r="D56" s="59">
        <f>_xlfn.XLOOKUP($A56,Inputs!$A:$A,Inputs!D:D,,0)</f>
        <v>2062</v>
      </c>
      <c r="E56" s="59">
        <f>_xlfn.XLOOKUP($A56,Inputs!$A:$A,Inputs!E:E,,0)</f>
        <v>2162</v>
      </c>
      <c r="F56" s="59">
        <f>_xlfn.XLOOKUP($A56,Inputs!$A:$A,Inputs!F:F,,0)</f>
        <v>2141</v>
      </c>
      <c r="G56" s="59">
        <f>_xlfn.XLOOKUP($A56,Inputs!$A:$A,Inputs!G:G,,0)</f>
        <v>0</v>
      </c>
      <c r="H56" s="59">
        <f>_xlfn.XLOOKUP($A56,Inputs!$A:$A,Inputs!H:H,,0)</f>
        <v>0</v>
      </c>
      <c r="I56" s="59">
        <f>_xlfn.XLOOKUP($A56,Inputs!$A:$A,Inputs!I:I,,0)</f>
        <v>0</v>
      </c>
      <c r="J56" s="59">
        <f>_xlfn.XLOOKUP($A56,Inputs!$A:$A,Inputs!J:J,,0)</f>
        <v>0</v>
      </c>
      <c r="K56" s="59">
        <f>_xlfn.XLOOKUP($A56,Inputs!$A:$A,Inputs!K:K,,0)</f>
        <v>0</v>
      </c>
      <c r="L56" s="59">
        <f>_xlfn.XLOOKUP($A56,Inputs!$A:$A,Inputs!L:L,,0)</f>
        <v>0</v>
      </c>
      <c r="M56" s="59">
        <f>_xlfn.XLOOKUP($A56,Inputs!$A:$A,Inputs!M:M,,0)</f>
        <v>0</v>
      </c>
    </row>
    <row r="57" spans="1:13">
      <c r="B57"/>
      <c r="C57"/>
      <c r="D57"/>
      <c r="E57"/>
      <c r="F57"/>
      <c r="G57"/>
      <c r="H57"/>
      <c r="I57"/>
      <c r="J57"/>
      <c r="K57"/>
      <c r="L57"/>
      <c r="M57"/>
    </row>
    <row r="58" spans="1:13" ht="12.95">
      <c r="A58" s="118" t="s">
        <v>305</v>
      </c>
      <c r="B58" s="59">
        <f>B49+B53+B50+B54</f>
        <v>1099.57</v>
      </c>
      <c r="C58" s="59">
        <f t="shared" ref="C58:M58" si="74">C49+C53+C50+C54</f>
        <v>978.77</v>
      </c>
      <c r="D58" s="59">
        <f t="shared" si="74"/>
        <v>1212.96</v>
      </c>
      <c r="E58" s="59">
        <f t="shared" si="74"/>
        <v>1314.77</v>
      </c>
      <c r="F58" s="59">
        <f t="shared" si="74"/>
        <v>1269.79</v>
      </c>
      <c r="G58" s="59" t="e">
        <f t="shared" si="74"/>
        <v>#VALUE!</v>
      </c>
      <c r="H58" s="59" t="e">
        <f t="shared" si="74"/>
        <v>#VALUE!</v>
      </c>
      <c r="I58" s="59" t="e">
        <f t="shared" si="74"/>
        <v>#VALUE!</v>
      </c>
      <c r="J58" s="59" t="e">
        <f t="shared" si="74"/>
        <v>#VALUE!</v>
      </c>
      <c r="K58" s="59" t="e">
        <f t="shared" si="74"/>
        <v>#VALUE!</v>
      </c>
      <c r="L58" s="59" t="e">
        <f t="shared" si="74"/>
        <v>#VALUE!</v>
      </c>
      <c r="M58" s="59" t="e">
        <f t="shared" si="74"/>
        <v>#VALUE!</v>
      </c>
    </row>
    <row r="59" spans="1:13" ht="12.95">
      <c r="A59" s="119" t="s">
        <v>63</v>
      </c>
      <c r="B59" s="55">
        <f>IFERROR(B58/B44,"-")</f>
        <v>0.36008265491246572</v>
      </c>
      <c r="C59" s="55">
        <f t="shared" ref="C59:M59" si="75">IFERROR(C58/C44,"-")</f>
        <v>0.37687035539640368</v>
      </c>
      <c r="D59" s="55">
        <f t="shared" si="75"/>
        <v>0.43413804828289704</v>
      </c>
      <c r="E59" s="55">
        <f t="shared" si="75"/>
        <v>0.44576029835565351</v>
      </c>
      <c r="F59" s="55">
        <f t="shared" si="75"/>
        <v>0.42916144208573154</v>
      </c>
      <c r="G59" s="55" t="str">
        <f t="shared" si="75"/>
        <v>-</v>
      </c>
      <c r="H59" s="55" t="str">
        <f t="shared" si="75"/>
        <v>-</v>
      </c>
      <c r="I59" s="55" t="str">
        <f t="shared" si="75"/>
        <v>-</v>
      </c>
      <c r="J59" s="55" t="str">
        <f t="shared" si="75"/>
        <v>-</v>
      </c>
      <c r="K59" s="55" t="str">
        <f t="shared" si="75"/>
        <v>-</v>
      </c>
      <c r="L59" s="55" t="str">
        <f t="shared" si="75"/>
        <v>-</v>
      </c>
      <c r="M59" s="55" t="str">
        <f t="shared" si="75"/>
        <v>-</v>
      </c>
    </row>
    <row r="60" spans="1:13" ht="12.95">
      <c r="A60" s="118" t="s">
        <v>562</v>
      </c>
      <c r="B60" s="59">
        <f>B58-B39</f>
        <v>772.56999999999994</v>
      </c>
      <c r="C60" s="59">
        <f t="shared" ref="C60:M60" si="76">C58-C39</f>
        <v>706.77</v>
      </c>
      <c r="D60" s="59">
        <f t="shared" si="76"/>
        <v>689.96</v>
      </c>
      <c r="E60" s="59">
        <f t="shared" si="76"/>
        <v>926.77</v>
      </c>
      <c r="F60" s="59">
        <f t="shared" si="76"/>
        <v>1033.79</v>
      </c>
      <c r="G60" s="59" t="e">
        <f t="shared" si="76"/>
        <v>#VALUE!</v>
      </c>
      <c r="H60" s="59" t="e">
        <f t="shared" si="76"/>
        <v>#VALUE!</v>
      </c>
      <c r="I60" s="59" t="e">
        <f t="shared" si="76"/>
        <v>#VALUE!</v>
      </c>
      <c r="J60" s="59" t="e">
        <f t="shared" si="76"/>
        <v>#VALUE!</v>
      </c>
      <c r="K60" s="59" t="e">
        <f t="shared" si="76"/>
        <v>#VALUE!</v>
      </c>
      <c r="L60" s="59" t="e">
        <f t="shared" si="76"/>
        <v>#VALUE!</v>
      </c>
      <c r="M60" s="59" t="e">
        <f t="shared" si="76"/>
        <v>#VALUE!</v>
      </c>
    </row>
    <row r="61" spans="1:13">
      <c r="B61"/>
      <c r="C61"/>
      <c r="D61"/>
      <c r="E61"/>
      <c r="F61"/>
      <c r="G61"/>
      <c r="H61"/>
      <c r="I61"/>
      <c r="J61"/>
      <c r="K61"/>
      <c r="L61"/>
      <c r="M61"/>
    </row>
    <row r="62" spans="1:13" s="46" customFormat="1" ht="12.95">
      <c r="A62" s="118" t="s">
        <v>563</v>
      </c>
      <c r="B62" s="59">
        <f>_xlfn.XLOOKUP($A62,Inputs!$A:$A,Inputs!B:B,,0)</f>
        <v>67</v>
      </c>
      <c r="C62" s="59">
        <f>_xlfn.XLOOKUP($A62,Inputs!$A:$A,Inputs!C:C,,0)</f>
        <v>57</v>
      </c>
      <c r="D62" s="59">
        <f>_xlfn.XLOOKUP($A62,Inputs!$A:$A,Inputs!D:D,,0)</f>
        <v>49</v>
      </c>
      <c r="E62" s="59">
        <f>_xlfn.XLOOKUP($A62,Inputs!$A:$A,Inputs!E:E,,0)</f>
        <v>53</v>
      </c>
      <c r="F62" s="59">
        <f>_xlfn.XLOOKUP($A62,Inputs!$A:$A,Inputs!F:F,,0)</f>
        <v>46</v>
      </c>
      <c r="G62" s="59" t="str">
        <f>_xlfn.XLOOKUP($A62,Inputs!$A:$A,Inputs!G:G,,0)</f>
        <v>N/A</v>
      </c>
      <c r="H62" s="59" t="str">
        <f>_xlfn.XLOOKUP($A62,Inputs!$A:$A,Inputs!H:H,,0)</f>
        <v>N/A</v>
      </c>
      <c r="I62" s="59" t="str">
        <f>_xlfn.XLOOKUP($A62,Inputs!$A:$A,Inputs!I:I,,0)</f>
        <v>N/A</v>
      </c>
      <c r="J62" s="59" t="str">
        <f>_xlfn.XLOOKUP($A62,Inputs!$A:$A,Inputs!J:J,,0)</f>
        <v>N/A</v>
      </c>
      <c r="K62" s="59" t="str">
        <f>_xlfn.XLOOKUP($A62,Inputs!$A:$A,Inputs!K:K,,0)</f>
        <v>N/A</v>
      </c>
      <c r="L62" s="59" t="str">
        <f>_xlfn.XLOOKUP($A62,Inputs!$A:$A,Inputs!L:L,,0)</f>
        <v>N/A</v>
      </c>
      <c r="M62" s="59" t="str">
        <f>_xlfn.XLOOKUP($A62,Inputs!$A:$A,Inputs!M:M,,0)</f>
        <v>N/A</v>
      </c>
    </row>
    <row r="63" spans="1:13">
      <c r="B63"/>
      <c r="C63"/>
      <c r="D63"/>
      <c r="E63"/>
      <c r="F63"/>
      <c r="G63"/>
      <c r="H63"/>
      <c r="I63"/>
      <c r="J63"/>
      <c r="K63"/>
      <c r="L63"/>
      <c r="M63"/>
    </row>
    <row r="64" spans="1:13" ht="12.95">
      <c r="A64" s="118" t="s">
        <v>564</v>
      </c>
      <c r="B64" s="59">
        <f>_xlfn.XLOOKUP($A64,Inputs!$A:$A,Inputs!B:B,,0)</f>
        <v>927.65999999999985</v>
      </c>
      <c r="C64" s="59">
        <f>_xlfn.XLOOKUP($A64,Inputs!$A:$A,Inputs!C:C,,0)</f>
        <v>727.09999999999991</v>
      </c>
      <c r="D64" s="59">
        <f>_xlfn.XLOOKUP($A64,Inputs!$A:$A,Inputs!D:D,,0)</f>
        <v>682.94999999999982</v>
      </c>
      <c r="E64" s="59">
        <f>_xlfn.XLOOKUP($A64,Inputs!$A:$A,Inputs!E:E,,0)</f>
        <v>734.5</v>
      </c>
      <c r="F64" s="59">
        <f>_xlfn.XLOOKUP($A64,Inputs!$A:$A,Inputs!F:F,,0)</f>
        <v>771.77</v>
      </c>
      <c r="G64" s="59" t="str">
        <f>_xlfn.XLOOKUP($A64,Inputs!$A:$A,Inputs!G:G,,0)</f>
        <v>N/A</v>
      </c>
      <c r="H64" s="59" t="str">
        <f>_xlfn.XLOOKUP($A64,Inputs!$A:$A,Inputs!H:H,,0)</f>
        <v>N/A</v>
      </c>
      <c r="I64" s="59" t="str">
        <f>_xlfn.XLOOKUP($A64,Inputs!$A:$A,Inputs!I:I,,0)</f>
        <v>N/A</v>
      </c>
      <c r="J64" s="59" t="str">
        <f>_xlfn.XLOOKUP($A64,Inputs!$A:$A,Inputs!J:J,,0)</f>
        <v>N/A</v>
      </c>
      <c r="K64" s="59" t="str">
        <f>_xlfn.XLOOKUP($A64,Inputs!$A:$A,Inputs!K:K,,0)</f>
        <v>N/A</v>
      </c>
      <c r="L64" s="59" t="str">
        <f>_xlfn.XLOOKUP($A64,Inputs!$A:$A,Inputs!L:L,,0)</f>
        <v>N/A</v>
      </c>
      <c r="M64" s="59" t="str">
        <f>_xlfn.XLOOKUP($A64,Inputs!$A:$A,Inputs!M:M,,0)</f>
        <v>N/A</v>
      </c>
    </row>
    <row r="65" spans="1:235">
      <c r="K65" s="42"/>
      <c r="L65" s="42"/>
      <c r="M65" s="42"/>
    </row>
    <row r="66" spans="1:235" ht="20.100000000000001">
      <c r="A66" s="1126" t="s">
        <v>121</v>
      </c>
      <c r="B66" s="1126"/>
      <c r="C66" s="1126"/>
      <c r="D66" s="1126"/>
      <c r="E66" s="1126"/>
      <c r="F66" s="1126"/>
      <c r="G66" s="1126"/>
      <c r="H66" s="1126"/>
      <c r="I66" s="1126"/>
      <c r="J66" s="1126"/>
      <c r="K66" s="1126"/>
      <c r="L66" s="1126"/>
      <c r="M66" s="1126"/>
    </row>
    <row r="67" spans="1:235" ht="12.95">
      <c r="A67" s="118" t="s">
        <v>122</v>
      </c>
      <c r="B67" s="59">
        <f>_xlfn.XLOOKUP($A67,Inputs!$A:$A,Inputs!B:B,,0)</f>
        <v>298</v>
      </c>
      <c r="C67" s="59">
        <f>_xlfn.XLOOKUP($A67,Inputs!$A:$A,Inputs!C:C,,0)</f>
        <v>154</v>
      </c>
      <c r="D67" s="59">
        <f>_xlfn.XLOOKUP($A67,Inputs!$A:$A,Inputs!D:D,,0)</f>
        <v>333</v>
      </c>
      <c r="E67" s="59">
        <f>_xlfn.XLOOKUP($A67,Inputs!$A:$A,Inputs!E:E,,0)</f>
        <v>81</v>
      </c>
      <c r="F67" s="59">
        <f>_xlfn.XLOOKUP($A67,Inputs!$A:$A,Inputs!F:F,,0)</f>
        <v>195</v>
      </c>
      <c r="G67" s="59">
        <f>_xlfn.XLOOKUP($A67,Inputs!$A:$A,Inputs!G:G,,0)</f>
        <v>228</v>
      </c>
      <c r="H67" s="59">
        <f>_xlfn.XLOOKUP($A67,Inputs!$A:$A,Inputs!H:H,,0)</f>
        <v>0</v>
      </c>
      <c r="I67" s="59">
        <f>_xlfn.XLOOKUP($A67,Inputs!$A:$A,Inputs!I:I,,0)</f>
        <v>0</v>
      </c>
      <c r="J67" s="59">
        <f>_xlfn.XLOOKUP($A67,Inputs!$A:$A,Inputs!J:J,,0)</f>
        <v>0</v>
      </c>
      <c r="K67" s="59">
        <f>_xlfn.XLOOKUP($A67,Inputs!$A:$A,Inputs!K:K,,0)</f>
        <v>0</v>
      </c>
      <c r="L67" s="59">
        <f>_xlfn.XLOOKUP($A67,Inputs!$A:$A,Inputs!L:L,,0)</f>
        <v>0</v>
      </c>
      <c r="M67" s="59">
        <f>_xlfn.XLOOKUP($A67,Inputs!$A:$A,Inputs!M:M,,0)</f>
        <v>0</v>
      </c>
    </row>
    <row r="68" spans="1:235" ht="12.95">
      <c r="A68" s="118" t="s">
        <v>123</v>
      </c>
      <c r="B68" s="59">
        <f>_xlfn.XLOOKUP($A68,Inputs!$A:$A,Inputs!B:B,,0)</f>
        <v>23.56</v>
      </c>
      <c r="C68" s="59">
        <f>_xlfn.XLOOKUP($A68,Inputs!$A:$A,Inputs!C:C,,0)</f>
        <v>-60.4</v>
      </c>
      <c r="D68" s="59">
        <f>_xlfn.XLOOKUP($A68,Inputs!$A:$A,Inputs!D:D,,0)</f>
        <v>-97</v>
      </c>
      <c r="E68" s="59">
        <f>_xlfn.XLOOKUP($A68,Inputs!$A:$A,Inputs!E:E,,0)</f>
        <v>105.67</v>
      </c>
      <c r="F68" s="59">
        <f>_xlfn.XLOOKUP($A68,Inputs!$A:$A,Inputs!F:F,,0)</f>
        <v>93.98</v>
      </c>
      <c r="G68" s="59">
        <f>_xlfn.XLOOKUP($A68,Inputs!$A:$A,Inputs!G:G,,0)</f>
        <v>-394.97</v>
      </c>
      <c r="H68" s="59">
        <f>_xlfn.XLOOKUP($A68,Inputs!$A:$A,Inputs!H:H,,0)</f>
        <v>0</v>
      </c>
      <c r="I68" s="59">
        <f>_xlfn.XLOOKUP($A68,Inputs!$A:$A,Inputs!I:I,,0)</f>
        <v>0</v>
      </c>
      <c r="J68" s="59">
        <f>_xlfn.XLOOKUP($A68,Inputs!$A:$A,Inputs!J:J,,0)</f>
        <v>0</v>
      </c>
      <c r="K68" s="59">
        <f>_xlfn.XLOOKUP($A68,Inputs!$A:$A,Inputs!K:K,,0)</f>
        <v>0</v>
      </c>
      <c r="L68" s="59">
        <f>_xlfn.XLOOKUP($A68,Inputs!$A:$A,Inputs!L:L,,0)</f>
        <v>0</v>
      </c>
      <c r="M68" s="59">
        <f>_xlfn.XLOOKUP($A68,Inputs!$A:$A,Inputs!M:M,,0)</f>
        <v>0</v>
      </c>
    </row>
    <row r="69" spans="1:235">
      <c r="A69" s="114" t="s">
        <v>124</v>
      </c>
      <c r="B69" s="53">
        <f>_xlfn.XLOOKUP($A69,Inputs!$A:$A,Inputs!B:B,,0)</f>
        <v>-61.46</v>
      </c>
      <c r="C69" s="53">
        <f>_xlfn.XLOOKUP($A69,Inputs!$A:$A,Inputs!C:C,,0)</f>
        <v>-51.519999999999996</v>
      </c>
      <c r="D69" s="53">
        <f>_xlfn.XLOOKUP($A69,Inputs!$A:$A,Inputs!D:D,,0)</f>
        <v>-89.7</v>
      </c>
      <c r="E69" s="53">
        <f>_xlfn.XLOOKUP($A69,Inputs!$A:$A,Inputs!E:E,,0)</f>
        <v>-29.85</v>
      </c>
      <c r="F69" s="53">
        <f>_xlfn.XLOOKUP($A69,Inputs!$A:$A,Inputs!F:F,,0)</f>
        <v>-52.01</v>
      </c>
      <c r="G69" s="53">
        <f>_xlfn.XLOOKUP($A69,Inputs!$A:$A,Inputs!G:G,,0)</f>
        <v>-17.850000000000001</v>
      </c>
      <c r="H69" s="53" t="str">
        <f>_xlfn.XLOOKUP($A69,Inputs!$A:$A,Inputs!H:H,,0)</f>
        <v>N/A</v>
      </c>
      <c r="I69" s="53" t="str">
        <f>_xlfn.XLOOKUP($A69,Inputs!$A:$A,Inputs!I:I,,0)</f>
        <v>N/A</v>
      </c>
      <c r="J69" s="53" t="str">
        <f>_xlfn.XLOOKUP($A69,Inputs!$A:$A,Inputs!J:J,,0)</f>
        <v>N/A</v>
      </c>
      <c r="K69" s="53" t="str">
        <f>_xlfn.XLOOKUP($A69,Inputs!$A:$A,Inputs!K:K,,0)</f>
        <v>N/A</v>
      </c>
      <c r="L69" s="53" t="str">
        <f>_xlfn.XLOOKUP($A69,Inputs!$A:$A,Inputs!L:L,,0)</f>
        <v>N/A</v>
      </c>
      <c r="M69" s="53" t="str">
        <f>_xlfn.XLOOKUP($A69,Inputs!$A:$A,Inputs!M:M,,0)</f>
        <v>N/A</v>
      </c>
    </row>
    <row r="70" spans="1:235">
      <c r="A70" s="114" t="s">
        <v>125</v>
      </c>
      <c r="B70" s="53">
        <f>_xlfn.XLOOKUP($A70,Inputs!$A:$A,Inputs!B:B,,0)</f>
        <v>85.460000000000008</v>
      </c>
      <c r="C70" s="53">
        <f>_xlfn.XLOOKUP($A70,Inputs!$A:$A,Inputs!C:C,,0)</f>
        <v>-8.48</v>
      </c>
      <c r="D70" s="53">
        <f>_xlfn.XLOOKUP($A70,Inputs!$A:$A,Inputs!D:D,,0)</f>
        <v>-7.3000000000000007</v>
      </c>
      <c r="E70" s="53">
        <f>_xlfn.XLOOKUP($A70,Inputs!$A:$A,Inputs!E:E,,0)</f>
        <v>135.85</v>
      </c>
      <c r="F70" s="53">
        <f>_xlfn.XLOOKUP($A70,Inputs!$A:$A,Inputs!F:F,,0)</f>
        <v>146.01</v>
      </c>
      <c r="G70" s="53">
        <f>_xlfn.XLOOKUP($A70,Inputs!$A:$A,Inputs!G:G,,0)</f>
        <v>-376.8</v>
      </c>
      <c r="H70" s="53" t="str">
        <f>_xlfn.XLOOKUP($A70,Inputs!$A:$A,Inputs!H:H,,0)</f>
        <v>N/A</v>
      </c>
      <c r="I70" s="53" t="str">
        <f>_xlfn.XLOOKUP($A70,Inputs!$A:$A,Inputs!I:I,,0)</f>
        <v>N/A</v>
      </c>
      <c r="J70" s="53" t="str">
        <f>_xlfn.XLOOKUP($A70,Inputs!$A:$A,Inputs!J:J,,0)</f>
        <v>N/A</v>
      </c>
      <c r="K70" s="53" t="str">
        <f>_xlfn.XLOOKUP($A70,Inputs!$A:$A,Inputs!K:K,,0)</f>
        <v>N/A</v>
      </c>
      <c r="L70" s="53" t="str">
        <f>_xlfn.XLOOKUP($A70,Inputs!$A:$A,Inputs!L:L,,0)</f>
        <v>N/A</v>
      </c>
      <c r="M70" s="53" t="str">
        <f>_xlfn.XLOOKUP($A70,Inputs!$A:$A,Inputs!M:M,,0)</f>
        <v>N/A</v>
      </c>
      <c r="IA70" s="42"/>
    </row>
    <row r="71" spans="1:235" ht="12.95">
      <c r="A71" s="118" t="s">
        <v>126</v>
      </c>
      <c r="B71" s="59">
        <f>_xlfn.XLOOKUP($A71,Inputs!$A:$A,Inputs!B:B,,0)</f>
        <v>-270.88</v>
      </c>
      <c r="C71" s="59">
        <f>_xlfn.XLOOKUP($A71,Inputs!$A:$A,Inputs!C:C,,0)</f>
        <v>-312.88</v>
      </c>
      <c r="D71" s="59">
        <f>_xlfn.XLOOKUP($A71,Inputs!$A:$A,Inputs!D:D,,0)</f>
        <v>-75.83</v>
      </c>
      <c r="E71" s="59">
        <f>_xlfn.XLOOKUP($A71,Inputs!$A:$A,Inputs!E:E,,0)</f>
        <v>-55.99</v>
      </c>
      <c r="F71" s="59">
        <f>_xlfn.XLOOKUP($A71,Inputs!$A:$A,Inputs!F:F,,0)</f>
        <v>-299.39999999999998</v>
      </c>
      <c r="G71" s="59">
        <f>_xlfn.XLOOKUP($A71,Inputs!$A:$A,Inputs!G:G,,0)</f>
        <v>155.68</v>
      </c>
      <c r="H71" s="59">
        <f>_xlfn.XLOOKUP($A71,Inputs!$A:$A,Inputs!H:H,,0)</f>
        <v>0</v>
      </c>
      <c r="I71" s="59">
        <f>_xlfn.XLOOKUP($A71,Inputs!$A:$A,Inputs!I:I,,0)</f>
        <v>0</v>
      </c>
      <c r="J71" s="59">
        <f>_xlfn.XLOOKUP($A71,Inputs!$A:$A,Inputs!J:J,,0)</f>
        <v>0</v>
      </c>
      <c r="K71" s="59">
        <f>_xlfn.XLOOKUP($A71,Inputs!$A:$A,Inputs!K:K,,0)</f>
        <v>0</v>
      </c>
      <c r="L71" s="59">
        <f>_xlfn.XLOOKUP($A71,Inputs!$A:$A,Inputs!L:L,,0)</f>
        <v>0</v>
      </c>
      <c r="M71" s="59">
        <f>_xlfn.XLOOKUP($A71,Inputs!$A:$A,Inputs!M:M,,0)</f>
        <v>0</v>
      </c>
      <c r="IA71" s="42"/>
    </row>
    <row r="72" spans="1:235">
      <c r="A72" s="114" t="s">
        <v>127</v>
      </c>
      <c r="B72" s="53">
        <f>_xlfn.XLOOKUP($A72,Inputs!$A:$A,Inputs!B:B,,0)</f>
        <v>-27.07</v>
      </c>
      <c r="C72" s="53">
        <f>_xlfn.XLOOKUP($A72,Inputs!$A:$A,Inputs!C:C,,0)</f>
        <v>-23.03</v>
      </c>
      <c r="D72" s="53">
        <f>_xlfn.XLOOKUP($A72,Inputs!$A:$A,Inputs!D:D,,0)</f>
        <v>0.12</v>
      </c>
      <c r="E72" s="53">
        <f>_xlfn.XLOOKUP($A72,Inputs!$A:$A,Inputs!E:E,,0)</f>
        <v>0</v>
      </c>
      <c r="F72" s="53">
        <f>_xlfn.XLOOKUP($A72,Inputs!$A:$A,Inputs!F:F,,0)</f>
        <v>0</v>
      </c>
      <c r="G72" s="53">
        <f>_xlfn.XLOOKUP($A72,Inputs!$A:$A,Inputs!G:G,,0)</f>
        <v>0</v>
      </c>
      <c r="H72" s="53" t="str">
        <f>_xlfn.XLOOKUP($A72,Inputs!$A:$A,Inputs!H:H,,0)</f>
        <v>N/A</v>
      </c>
      <c r="I72" s="53" t="str">
        <f>_xlfn.XLOOKUP($A72,Inputs!$A:$A,Inputs!I:I,,0)</f>
        <v>N/A</v>
      </c>
      <c r="J72" s="53" t="str">
        <f>_xlfn.XLOOKUP($A72,Inputs!$A:$A,Inputs!J:J,,0)</f>
        <v>N/A</v>
      </c>
      <c r="K72" s="53" t="str">
        <f>_xlfn.XLOOKUP($A72,Inputs!$A:$A,Inputs!K:K,,0)</f>
        <v>N/A</v>
      </c>
      <c r="L72" s="53" t="str">
        <f>_xlfn.XLOOKUP($A72,Inputs!$A:$A,Inputs!L:L,,0)</f>
        <v>N/A</v>
      </c>
      <c r="M72" s="53" t="str">
        <f>_xlfn.XLOOKUP($A72,Inputs!$A:$A,Inputs!M:M,,0)</f>
        <v>N/A</v>
      </c>
      <c r="IA72" s="42"/>
    </row>
    <row r="73" spans="1:235">
      <c r="A73" s="114" t="s">
        <v>546</v>
      </c>
      <c r="B73" s="53">
        <f>_xlfn.XLOOKUP($A73,Inputs!$A:$A,Inputs!B:B,,0)</f>
        <v>-4</v>
      </c>
      <c r="C73" s="53">
        <f>_xlfn.XLOOKUP($A73,Inputs!$A:$A,Inputs!C:C,,0)</f>
        <v>-15</v>
      </c>
      <c r="D73" s="53">
        <f>_xlfn.XLOOKUP($A73,Inputs!$A:$A,Inputs!D:D,,0)</f>
        <v>-767</v>
      </c>
      <c r="E73" s="53">
        <f>_xlfn.XLOOKUP($A73,Inputs!$A:$A,Inputs!E:E,,0)</f>
        <v>1</v>
      </c>
      <c r="F73" s="53">
        <f>_xlfn.XLOOKUP($A73,Inputs!$A:$A,Inputs!F:F,,0)</f>
        <v>0</v>
      </c>
      <c r="G73" s="53">
        <f>_xlfn.XLOOKUP($A73,Inputs!$A:$A,Inputs!G:G,,0)</f>
        <v>-3</v>
      </c>
      <c r="H73" s="53" t="str">
        <f>_xlfn.XLOOKUP($A73,Inputs!$A:$A,Inputs!H:H,,0)</f>
        <v>N/A</v>
      </c>
      <c r="I73" s="53" t="str">
        <f>_xlfn.XLOOKUP($A73,Inputs!$A:$A,Inputs!I:I,,0)</f>
        <v>N/A</v>
      </c>
      <c r="J73" s="53" t="str">
        <f>_xlfn.XLOOKUP($A73,Inputs!$A:$A,Inputs!J:J,,0)</f>
        <v>N/A</v>
      </c>
      <c r="K73" s="53" t="str">
        <f>_xlfn.XLOOKUP($A73,Inputs!$A:$A,Inputs!K:K,,0)</f>
        <v>N/A</v>
      </c>
      <c r="L73" s="53" t="str">
        <f>_xlfn.XLOOKUP($A73,Inputs!$A:$A,Inputs!L:L,,0)</f>
        <v>N/A</v>
      </c>
      <c r="M73" s="53" t="str">
        <f>_xlfn.XLOOKUP($A73,Inputs!$A:$A,Inputs!M:M,,0)</f>
        <v>N/A</v>
      </c>
    </row>
    <row r="74" spans="1:235" ht="12.95">
      <c r="A74" s="118" t="s">
        <v>130</v>
      </c>
      <c r="B74" s="59">
        <f>_xlfn.XLOOKUP($A74,Inputs!$A:$A,Inputs!B:B,,0)</f>
        <v>0</v>
      </c>
      <c r="C74" s="59">
        <f>_xlfn.XLOOKUP($A74,Inputs!$A:$A,Inputs!C:C,,0)</f>
        <v>0</v>
      </c>
      <c r="D74" s="59">
        <f>_xlfn.XLOOKUP($A74,Inputs!$A:$A,Inputs!D:D,,0)</f>
        <v>0</v>
      </c>
      <c r="E74" s="59">
        <f>_xlfn.XLOOKUP($A74,Inputs!$A:$A,Inputs!E:E,,0)</f>
        <v>0</v>
      </c>
      <c r="F74" s="59">
        <f>_xlfn.XLOOKUP($A74,Inputs!$A:$A,Inputs!F:F,,0)</f>
        <v>0</v>
      </c>
      <c r="G74" s="59">
        <f>_xlfn.XLOOKUP($A74,Inputs!$A:$A,Inputs!G:G,,0)</f>
        <v>0</v>
      </c>
      <c r="H74" s="59">
        <f>_xlfn.XLOOKUP($A74,Inputs!$A:$A,Inputs!H:H,,0)</f>
        <v>0</v>
      </c>
      <c r="I74" s="59">
        <f>_xlfn.XLOOKUP($A74,Inputs!$A:$A,Inputs!I:I,,0)</f>
        <v>0</v>
      </c>
      <c r="J74" s="59">
        <f>_xlfn.XLOOKUP($A74,Inputs!$A:$A,Inputs!J:J,,0)</f>
        <v>0</v>
      </c>
      <c r="K74" s="59">
        <f>_xlfn.XLOOKUP($A74,Inputs!$A:$A,Inputs!K:K,,0)</f>
        <v>0</v>
      </c>
      <c r="L74" s="59">
        <f>_xlfn.XLOOKUP($A74,Inputs!$A:$A,Inputs!L:L,,0)</f>
        <v>0</v>
      </c>
      <c r="M74" s="59">
        <f>_xlfn.XLOOKUP($A74,Inputs!$A:$A,Inputs!M:M,,0)</f>
        <v>0</v>
      </c>
    </row>
    <row r="75" spans="1:235" ht="12.95">
      <c r="A75" s="118" t="s">
        <v>565</v>
      </c>
      <c r="B75" s="59">
        <f>_xlfn.XLOOKUP($A75,Inputs!$A:$A,Inputs!B:B,,0)</f>
        <v>50.680000000000007</v>
      </c>
      <c r="C75" s="59">
        <f>_xlfn.XLOOKUP($A75,Inputs!$A:$A,Inputs!C:C,,0)</f>
        <v>-219.28</v>
      </c>
      <c r="D75" s="59">
        <f>_xlfn.XLOOKUP($A75,Inputs!$A:$A,Inputs!D:D,,0)</f>
        <v>160.17000000000002</v>
      </c>
      <c r="E75" s="59">
        <f>_xlfn.XLOOKUP($A75,Inputs!$A:$A,Inputs!E:E,,0)</f>
        <v>130.68</v>
      </c>
      <c r="F75" s="59">
        <f>_xlfn.XLOOKUP($A75,Inputs!$A:$A,Inputs!F:F,,0)</f>
        <v>-10.419999999999959</v>
      </c>
      <c r="G75" s="59">
        <f>_xlfn.XLOOKUP($A75,Inputs!$A:$A,Inputs!G:G,,0)</f>
        <v>-11.29000000000002</v>
      </c>
      <c r="H75" s="59">
        <f>_xlfn.XLOOKUP($A75,Inputs!$A:$A,Inputs!H:H,,0)</f>
        <v>0</v>
      </c>
      <c r="I75" s="59">
        <f>_xlfn.XLOOKUP($A75,Inputs!$A:$A,Inputs!I:I,,0)</f>
        <v>0</v>
      </c>
      <c r="J75" s="59">
        <f>_xlfn.XLOOKUP($A75,Inputs!$A:$A,Inputs!J:J,,0)</f>
        <v>0</v>
      </c>
      <c r="K75" s="59">
        <f>_xlfn.XLOOKUP($A75,Inputs!$A:$A,Inputs!K:K,,0)</f>
        <v>0</v>
      </c>
      <c r="L75" s="59">
        <f>_xlfn.XLOOKUP($A75,Inputs!$A:$A,Inputs!L:L,,0)</f>
        <v>0</v>
      </c>
      <c r="M75" s="59">
        <f>_xlfn.XLOOKUP($A75,Inputs!$A:$A,Inputs!M:M,,0)</f>
        <v>0</v>
      </c>
    </row>
    <row r="76" spans="1:235">
      <c r="K76" s="42"/>
      <c r="L76" s="42"/>
      <c r="M76" s="42"/>
    </row>
    <row r="77" spans="1:235" ht="20.100000000000001">
      <c r="A77" s="1126" t="s">
        <v>566</v>
      </c>
      <c r="B77" s="1126"/>
      <c r="C77" s="1126"/>
      <c r="D77" s="1126"/>
      <c r="E77" s="1126"/>
      <c r="F77" s="1126"/>
      <c r="G77" s="1126"/>
      <c r="H77" s="1126"/>
      <c r="I77" s="1126"/>
      <c r="J77" s="1126"/>
      <c r="K77" s="1126"/>
      <c r="L77" s="1126"/>
      <c r="M77" s="1126"/>
    </row>
    <row r="78" spans="1:235">
      <c r="A78" s="113" t="s">
        <v>567</v>
      </c>
      <c r="B78" s="53" t="e">
        <f>_xlfn.XLOOKUP($A78,Inputs!$A:$A,Inputs!B:B,,0)</f>
        <v>#N/A</v>
      </c>
      <c r="C78" s="53" t="e">
        <f>_xlfn.XLOOKUP($A78,Inputs!$A:$A,Inputs!C:C,,0)</f>
        <v>#N/A</v>
      </c>
      <c r="D78" s="53" t="e">
        <f>_xlfn.XLOOKUP($A78,Inputs!$A:$A,Inputs!D:D,,0)</f>
        <v>#N/A</v>
      </c>
      <c r="E78" s="53" t="e">
        <f>_xlfn.XLOOKUP($A78,Inputs!$A:$A,Inputs!E:E,,0)</f>
        <v>#N/A</v>
      </c>
      <c r="F78" s="53" t="e">
        <f>_xlfn.XLOOKUP($A78,Inputs!$A:$A,Inputs!F:F,,0)</f>
        <v>#N/A</v>
      </c>
      <c r="G78" s="53" t="e">
        <f>_xlfn.XLOOKUP($A78,Inputs!$A:$A,Inputs!G:G,,0)</f>
        <v>#N/A</v>
      </c>
      <c r="H78" s="53" t="e">
        <f>_xlfn.XLOOKUP($A78,Inputs!$A:$A,Inputs!H:H,,0)</f>
        <v>#N/A</v>
      </c>
      <c r="I78" s="53" t="e">
        <f>_xlfn.XLOOKUP($A78,Inputs!$A:$A,Inputs!I:I,,0)</f>
        <v>#N/A</v>
      </c>
      <c r="J78" s="53" t="e">
        <f>_xlfn.XLOOKUP($A78,Inputs!$A:$A,Inputs!J:J,,0)</f>
        <v>#N/A</v>
      </c>
      <c r="K78" s="53" t="e">
        <f>_xlfn.XLOOKUP($A78,Inputs!$A:$A,Inputs!K:K,,0)</f>
        <v>#N/A</v>
      </c>
      <c r="L78" s="53" t="e">
        <f>_xlfn.XLOOKUP($A78,Inputs!$A:$A,Inputs!L:L,,0)</f>
        <v>#N/A</v>
      </c>
      <c r="M78" s="53" t="e">
        <f>_xlfn.XLOOKUP($A78,Inputs!$A:$A,Inputs!M:M,,0)</f>
        <v>#N/A</v>
      </c>
    </row>
    <row r="79" spans="1:235">
      <c r="A79" s="119" t="s">
        <v>568</v>
      </c>
      <c r="B79" s="53" t="e">
        <f>_xlfn.XLOOKUP($A79,Inputs!$A:$A,Inputs!B:B,,0)</f>
        <v>#N/A</v>
      </c>
      <c r="C79" s="53" t="e">
        <f>_xlfn.XLOOKUP($A79,Inputs!$A:$A,Inputs!C:C,,0)</f>
        <v>#N/A</v>
      </c>
      <c r="D79" s="53" t="e">
        <f>_xlfn.XLOOKUP($A79,Inputs!$A:$A,Inputs!D:D,,0)</f>
        <v>#N/A</v>
      </c>
      <c r="E79" s="53" t="e">
        <f>_xlfn.XLOOKUP($A79,Inputs!$A:$A,Inputs!E:E,,0)</f>
        <v>#N/A</v>
      </c>
      <c r="F79" s="53" t="e">
        <f>_xlfn.XLOOKUP($A79,Inputs!$A:$A,Inputs!F:F,,0)</f>
        <v>#N/A</v>
      </c>
      <c r="G79" s="53" t="e">
        <f>_xlfn.XLOOKUP($A79,Inputs!$A:$A,Inputs!G:G,,0)</f>
        <v>#N/A</v>
      </c>
      <c r="H79" s="53" t="e">
        <f>_xlfn.XLOOKUP($A79,Inputs!$A:$A,Inputs!H:H,,0)</f>
        <v>#N/A</v>
      </c>
      <c r="I79" s="53" t="e">
        <f>_xlfn.XLOOKUP($A79,Inputs!$A:$A,Inputs!I:I,,0)</f>
        <v>#N/A</v>
      </c>
      <c r="J79" s="53" t="e">
        <f>_xlfn.XLOOKUP($A79,Inputs!$A:$A,Inputs!J:J,,0)</f>
        <v>#N/A</v>
      </c>
      <c r="K79" s="53" t="e">
        <f>_xlfn.XLOOKUP($A79,Inputs!$A:$A,Inputs!K:K,,0)</f>
        <v>#N/A</v>
      </c>
      <c r="L79" s="53" t="e">
        <f>_xlfn.XLOOKUP($A79,Inputs!$A:$A,Inputs!L:L,,0)</f>
        <v>#N/A</v>
      </c>
      <c r="M79" s="53" t="e">
        <f>_xlfn.XLOOKUP($A79,Inputs!$A:$A,Inputs!M:M,,0)</f>
        <v>#N/A</v>
      </c>
    </row>
    <row r="80" spans="1:235">
      <c r="A80" s="113" t="s">
        <v>41</v>
      </c>
      <c r="B80" s="53" t="str">
        <f>_xlfn.XLOOKUP($A80,Inputs!$A:$A,Inputs!B:B,,0)</f>
        <v>59.07M</v>
      </c>
      <c r="C80" s="53" t="str">
        <f>_xlfn.XLOOKUP($A80,Inputs!$A:$A,Inputs!C:C,,0)</f>
        <v>Yahoo finance</v>
      </c>
      <c r="D80" s="53">
        <f>_xlfn.XLOOKUP($A80,Inputs!$A:$A,Inputs!D:D,,0)</f>
        <v>0</v>
      </c>
      <c r="E80" s="53">
        <f>_xlfn.XLOOKUP($A80,Inputs!$A:$A,Inputs!E:E,,0)</f>
        <v>0</v>
      </c>
      <c r="F80" s="53">
        <f>_xlfn.XLOOKUP($A80,Inputs!$A:$A,Inputs!F:F,,0)</f>
        <v>0</v>
      </c>
      <c r="G80" s="53">
        <f>_xlfn.XLOOKUP($A80,Inputs!$A:$A,Inputs!G:G,,0)</f>
        <v>0</v>
      </c>
      <c r="H80" s="53">
        <f>_xlfn.XLOOKUP($A80,Inputs!$A:$A,Inputs!H:H,,0)</f>
        <v>0</v>
      </c>
      <c r="I80" s="53">
        <f>_xlfn.XLOOKUP($A80,Inputs!$A:$A,Inputs!I:I,,0)</f>
        <v>0</v>
      </c>
      <c r="J80" s="53">
        <f>_xlfn.XLOOKUP($A80,Inputs!$A:$A,Inputs!J:J,,0)</f>
        <v>0</v>
      </c>
      <c r="K80" s="53">
        <f>_xlfn.XLOOKUP($A80,Inputs!$A:$A,Inputs!K:K,,0)</f>
        <v>0</v>
      </c>
      <c r="L80" s="53">
        <f>_xlfn.XLOOKUP($A80,Inputs!$A:$A,Inputs!L:L,,0)</f>
        <v>0</v>
      </c>
      <c r="M80" s="53">
        <f>_xlfn.XLOOKUP($A80,Inputs!$A:$A,Inputs!M:M,,0)</f>
        <v>0</v>
      </c>
    </row>
    <row r="81" spans="1:13">
      <c r="A81" s="119" t="s">
        <v>45</v>
      </c>
      <c r="B81" s="53">
        <f>_xlfn.XLOOKUP($A81,Inputs!$A:$A,Inputs!B:B,,0)</f>
        <v>0.752</v>
      </c>
      <c r="C81" s="53" t="str">
        <f>_xlfn.XLOOKUP($A81,Inputs!$A:$A,Inputs!C:C,,0)</f>
        <v>Yahoo finance</v>
      </c>
      <c r="D81" s="53">
        <f>_xlfn.XLOOKUP($A81,Inputs!$A:$A,Inputs!D:D,,0)</f>
        <v>0</v>
      </c>
      <c r="E81" s="53">
        <f>_xlfn.XLOOKUP($A81,Inputs!$A:$A,Inputs!E:E,,0)</f>
        <v>0</v>
      </c>
      <c r="F81" s="53">
        <f>_xlfn.XLOOKUP($A81,Inputs!$A:$A,Inputs!F:F,,0)</f>
        <v>0</v>
      </c>
      <c r="G81" s="53">
        <f>_xlfn.XLOOKUP($A81,Inputs!$A:$A,Inputs!G:G,,0)</f>
        <v>0</v>
      </c>
      <c r="H81" s="53">
        <f>_xlfn.XLOOKUP($A81,Inputs!$A:$A,Inputs!H:H,,0)</f>
        <v>0</v>
      </c>
      <c r="I81" s="53">
        <f>_xlfn.XLOOKUP($A81,Inputs!$A:$A,Inputs!I:I,,0)</f>
        <v>0</v>
      </c>
      <c r="J81" s="53">
        <f>_xlfn.XLOOKUP($A81,Inputs!$A:$A,Inputs!J:J,,0)</f>
        <v>0</v>
      </c>
      <c r="K81" s="53">
        <f>_xlfn.XLOOKUP($A81,Inputs!$A:$A,Inputs!K:K,,0)</f>
        <v>0</v>
      </c>
      <c r="L81" s="53">
        <f>_xlfn.XLOOKUP($A81,Inputs!$A:$A,Inputs!L:L,,0)</f>
        <v>0</v>
      </c>
      <c r="M81" s="53">
        <f>_xlfn.XLOOKUP($A81,Inputs!$A:$A,Inputs!M:M,,0)</f>
        <v>0</v>
      </c>
    </row>
    <row r="82" spans="1:13">
      <c r="A82" s="113" t="s">
        <v>569</v>
      </c>
      <c r="B82" s="53">
        <f>_xlfn.XLOOKUP($A82,Inputs!$A:$A,Inputs!B:B,,0)</f>
        <v>0</v>
      </c>
      <c r="C82" s="53" t="str">
        <f>_xlfn.XLOOKUP($A82,Inputs!$A:$A,Inputs!C:C,,0)</f>
        <v>10-K</v>
      </c>
      <c r="D82" s="53">
        <f>_xlfn.XLOOKUP($A82,Inputs!$A:$A,Inputs!D:D,,0)</f>
        <v>0</v>
      </c>
      <c r="E82" s="53">
        <f>_xlfn.XLOOKUP($A82,Inputs!$A:$A,Inputs!E:E,,0)</f>
        <v>0</v>
      </c>
      <c r="F82" s="53">
        <f>_xlfn.XLOOKUP($A82,Inputs!$A:$A,Inputs!F:F,,0)</f>
        <v>0</v>
      </c>
      <c r="G82" s="53">
        <f>_xlfn.XLOOKUP($A82,Inputs!$A:$A,Inputs!G:G,,0)</f>
        <v>0</v>
      </c>
      <c r="H82" s="53">
        <f>_xlfn.XLOOKUP($A82,Inputs!$A:$A,Inputs!H:H,,0)</f>
        <v>0</v>
      </c>
      <c r="I82" s="53">
        <f>_xlfn.XLOOKUP($A82,Inputs!$A:$A,Inputs!I:I,,0)</f>
        <v>0</v>
      </c>
      <c r="J82" s="53">
        <f>_xlfn.XLOOKUP($A82,Inputs!$A:$A,Inputs!J:J,,0)</f>
        <v>0</v>
      </c>
      <c r="K82" s="53">
        <f>_xlfn.XLOOKUP($A82,Inputs!$A:$A,Inputs!K:K,,0)</f>
        <v>0</v>
      </c>
      <c r="L82" s="53">
        <f>_xlfn.XLOOKUP($A82,Inputs!$A:$A,Inputs!L:L,,0)</f>
        <v>0</v>
      </c>
      <c r="M82" s="53">
        <f>_xlfn.XLOOKUP($A82,Inputs!$A:$A,Inputs!M:M,,0)</f>
        <v>0</v>
      </c>
    </row>
    <row r="83" spans="1:13">
      <c r="A83" s="113" t="s">
        <v>570</v>
      </c>
      <c r="B83" s="53" t="e">
        <f>_xlfn.XLOOKUP($A83,Inputs!$A:$A,Inputs!B:B,,0)</f>
        <v>#N/A</v>
      </c>
      <c r="C83" s="53" t="e">
        <f>_xlfn.XLOOKUP($A83,Inputs!$A:$A,Inputs!C:C,,0)</f>
        <v>#N/A</v>
      </c>
      <c r="D83" s="53" t="e">
        <f>_xlfn.XLOOKUP($A83,Inputs!$A:$A,Inputs!D:D,,0)</f>
        <v>#N/A</v>
      </c>
      <c r="E83" s="53" t="e">
        <f>_xlfn.XLOOKUP($A83,Inputs!$A:$A,Inputs!E:E,,0)</f>
        <v>#N/A</v>
      </c>
      <c r="F83" s="53" t="e">
        <f>_xlfn.XLOOKUP($A83,Inputs!$A:$A,Inputs!F:F,,0)</f>
        <v>#N/A</v>
      </c>
      <c r="G83" s="53" t="e">
        <f>_xlfn.XLOOKUP($A83,Inputs!$A:$A,Inputs!G:G,,0)</f>
        <v>#N/A</v>
      </c>
      <c r="H83" s="53" t="e">
        <f>_xlfn.XLOOKUP($A83,Inputs!$A:$A,Inputs!H:H,,0)</f>
        <v>#N/A</v>
      </c>
      <c r="I83" s="53" t="e">
        <f>_xlfn.XLOOKUP($A83,Inputs!$A:$A,Inputs!I:I,,0)</f>
        <v>#N/A</v>
      </c>
      <c r="J83" s="53" t="e">
        <f>_xlfn.XLOOKUP($A83,Inputs!$A:$A,Inputs!J:J,,0)</f>
        <v>#N/A</v>
      </c>
      <c r="K83" s="53" t="e">
        <f>_xlfn.XLOOKUP($A83,Inputs!$A:$A,Inputs!K:K,,0)</f>
        <v>#N/A</v>
      </c>
      <c r="L83" s="53" t="e">
        <f>_xlfn.XLOOKUP($A83,Inputs!$A:$A,Inputs!L:L,,0)</f>
        <v>#N/A</v>
      </c>
      <c r="M83" s="53" t="e">
        <f>_xlfn.XLOOKUP($A83,Inputs!$A:$A,Inputs!M:M,,0)</f>
        <v>#N/A</v>
      </c>
    </row>
    <row r="84" spans="1:13">
      <c r="A84" s="119" t="s">
        <v>571</v>
      </c>
      <c r="B84" s="53">
        <f>_xlfn.XLOOKUP($A84,Inputs!$A:$A,Inputs!B:B,,0)</f>
        <v>0</v>
      </c>
      <c r="C84" s="53" t="str">
        <f>_xlfn.XLOOKUP($A84,Inputs!$A:$A,Inputs!C:C,,0)</f>
        <v>Yahoo Finance</v>
      </c>
      <c r="D84" s="53">
        <f>_xlfn.XLOOKUP($A84,Inputs!$A:$A,Inputs!D:D,,0)</f>
        <v>0</v>
      </c>
      <c r="E84" s="53">
        <f>_xlfn.XLOOKUP($A84,Inputs!$A:$A,Inputs!E:E,,0)</f>
        <v>0</v>
      </c>
      <c r="F84" s="53">
        <f>_xlfn.XLOOKUP($A84,Inputs!$A:$A,Inputs!F:F,,0)</f>
        <v>0</v>
      </c>
      <c r="G84" s="53">
        <f>_xlfn.XLOOKUP($A84,Inputs!$A:$A,Inputs!G:G,,0)</f>
        <v>0</v>
      </c>
      <c r="H84" s="53">
        <f>_xlfn.XLOOKUP($A84,Inputs!$A:$A,Inputs!H:H,,0)</f>
        <v>0</v>
      </c>
      <c r="I84" s="53">
        <f>_xlfn.XLOOKUP($A84,Inputs!$A:$A,Inputs!I:I,,0)</f>
        <v>0</v>
      </c>
      <c r="J84" s="53">
        <f>_xlfn.XLOOKUP($A84,Inputs!$A:$A,Inputs!J:J,,0)</f>
        <v>0</v>
      </c>
      <c r="K84" s="53">
        <f>_xlfn.XLOOKUP($A84,Inputs!$A:$A,Inputs!K:K,,0)</f>
        <v>0</v>
      </c>
      <c r="L84" s="53">
        <f>_xlfn.XLOOKUP($A84,Inputs!$A:$A,Inputs!L:L,,0)</f>
        <v>0</v>
      </c>
      <c r="M84" s="53">
        <f>_xlfn.XLOOKUP($A84,Inputs!$A:$A,Inputs!M:M,,0)</f>
        <v>0</v>
      </c>
    </row>
    <row r="85" spans="1:13">
      <c r="B85" s="44"/>
      <c r="C85" s="44"/>
      <c r="D85" s="44"/>
      <c r="E85" s="44"/>
      <c r="F85" s="44"/>
      <c r="G85" s="44"/>
      <c r="H85" s="44"/>
      <c r="I85" s="44"/>
      <c r="J85" s="44"/>
      <c r="K85" s="44"/>
      <c r="L85" s="44"/>
      <c r="M85" s="44"/>
    </row>
    <row r="86" spans="1:13">
      <c r="B86" s="43">
        <v>2020</v>
      </c>
      <c r="C86" s="43">
        <v>2021</v>
      </c>
      <c r="D86" s="43">
        <v>2022</v>
      </c>
      <c r="G86" s="43"/>
      <c r="H86" s="44"/>
      <c r="I86" s="44"/>
      <c r="J86" s="44"/>
      <c r="K86" s="44"/>
      <c r="L86" s="44"/>
      <c r="M86" s="44"/>
    </row>
    <row r="87" spans="1:13">
      <c r="A87" s="113" t="s">
        <v>572</v>
      </c>
      <c r="B87" s="57">
        <v>0</v>
      </c>
      <c r="C87" s="57">
        <v>0</v>
      </c>
      <c r="D87" s="58">
        <v>0</v>
      </c>
      <c r="G87" s="44"/>
      <c r="H87" s="44"/>
      <c r="I87" s="44"/>
      <c r="J87" s="44"/>
      <c r="K87" s="44"/>
      <c r="L87" s="44"/>
      <c r="M87" s="44"/>
    </row>
    <row r="88" spans="1:13">
      <c r="A88" s="119" t="s">
        <v>65</v>
      </c>
      <c r="B88" s="57">
        <v>0</v>
      </c>
      <c r="C88" s="57">
        <v>0</v>
      </c>
      <c r="D88" s="58">
        <v>0</v>
      </c>
    </row>
    <row r="90" spans="1:13" ht="12.95">
      <c r="A90" s="13" t="s">
        <v>573</v>
      </c>
      <c r="B90" s="43" t="s">
        <v>574</v>
      </c>
      <c r="C90" s="43" t="s">
        <v>575</v>
      </c>
      <c r="D90" s="43" t="s">
        <v>576</v>
      </c>
      <c r="E90" s="43" t="s">
        <v>577</v>
      </c>
      <c r="G90" s="43"/>
    </row>
    <row r="91" spans="1:13">
      <c r="B91" s="60" t="e">
        <f>VLOOKUP($A91,Inputs!$A$5:$M$98,MATCH(B$4,Inputs!$B$5:$M$5,0)+1,FALSE)</f>
        <v>#N/A</v>
      </c>
      <c r="C91" s="60" t="e">
        <f>VLOOKUP($A91,Inputs!$A$5:$M$98,MATCH(C$4,Inputs!$B$5:$M$5,0)+1,FALSE)</f>
        <v>#N/A</v>
      </c>
      <c r="D91" s="60" t="e">
        <f>VLOOKUP($A91,Inputs!$A$5:$M$98,MATCH(D$4,Inputs!$B$5:$M$5,0)+1,FALSE)</f>
        <v>#N/A</v>
      </c>
      <c r="E91" s="60" t="e">
        <f>VLOOKUP($A91,Inputs!$A$5:$M$98,MATCH(E$4,Inputs!$B$5:$M$5,0)+1,FALSE)</f>
        <v>#N/A</v>
      </c>
    </row>
    <row r="92" spans="1:13">
      <c r="B92" s="61"/>
      <c r="C92" s="61"/>
      <c r="D92" s="2"/>
      <c r="E92" s="61"/>
      <c r="F92" s="2"/>
    </row>
    <row r="93" spans="1:13">
      <c r="B93" s="61"/>
      <c r="C93" s="61"/>
      <c r="D93" s="2"/>
      <c r="E93" s="61"/>
      <c r="F93" s="2"/>
    </row>
    <row r="94" spans="1:13">
      <c r="B94" s="61"/>
      <c r="C94" s="61"/>
      <c r="D94" s="2"/>
      <c r="E94" s="61"/>
      <c r="F94" s="2"/>
    </row>
    <row r="95" spans="1:13">
      <c r="B95" s="61"/>
      <c r="C95" s="61"/>
      <c r="D95" s="2"/>
      <c r="E95" s="61"/>
      <c r="F95" s="2"/>
    </row>
    <row r="96" spans="1:13">
      <c r="B96" s="61"/>
      <c r="C96" s="61"/>
      <c r="D96" s="2"/>
      <c r="E96" s="61"/>
      <c r="F96" s="2"/>
    </row>
    <row r="97" spans="2:6">
      <c r="B97" s="61"/>
      <c r="C97" s="61"/>
      <c r="D97" s="2"/>
      <c r="E97" s="61"/>
      <c r="F97" s="2"/>
    </row>
    <row r="98" spans="2:6">
      <c r="B98" s="61"/>
      <c r="C98" s="61"/>
      <c r="D98" s="2"/>
      <c r="E98" s="61"/>
      <c r="F98" s="2"/>
    </row>
    <row r="99" spans="2:6">
      <c r="B99" s="61"/>
      <c r="C99" s="61"/>
      <c r="D99" s="2"/>
      <c r="E99" s="61"/>
      <c r="F99" s="2"/>
    </row>
  </sheetData>
  <mergeCells count="7">
    <mergeCell ref="A77:M77"/>
    <mergeCell ref="A1:M1"/>
    <mergeCell ref="A2:M2"/>
    <mergeCell ref="A3:M3"/>
    <mergeCell ref="A38:M38"/>
    <mergeCell ref="A47:M47"/>
    <mergeCell ref="A66:M66"/>
  </mergeCells>
  <phoneticPr fontId="80" type="noConversion"/>
  <pageMargins left="0.7" right="0.7" top="0.75" bottom="0.75" header="0.3" footer="0.3"/>
  <pageSetup paperSize="9" orientation="portrait" horizontalDpi="4294967293"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BBE39-AA8C-416A-BD40-1FFD3C1649A8}">
  <dimension ref="B2:AA128"/>
  <sheetViews>
    <sheetView topLeftCell="J1" workbookViewId="0"/>
  </sheetViews>
  <sheetFormatPr defaultColWidth="8.85546875" defaultRowHeight="12.6"/>
  <cols>
    <col min="1" max="9" width="0" hidden="1" customWidth="1"/>
    <col min="11" max="11" width="21.85546875" bestFit="1" customWidth="1"/>
  </cols>
  <sheetData>
    <row r="2" spans="2:27" ht="12.95">
      <c r="E2" s="10" t="s">
        <v>578</v>
      </c>
      <c r="F2" s="10" t="s">
        <v>579</v>
      </c>
      <c r="H2" s="10" t="s">
        <v>399</v>
      </c>
      <c r="K2" s="1129" t="s">
        <v>578</v>
      </c>
      <c r="L2" s="1131" t="s">
        <v>580</v>
      </c>
      <c r="M2" s="1132"/>
      <c r="N2" s="1132"/>
      <c r="O2" s="1132"/>
      <c r="P2" s="1133"/>
      <c r="Q2" s="1132" t="s">
        <v>339</v>
      </c>
      <c r="R2" s="1132"/>
      <c r="S2" s="1132"/>
      <c r="T2" s="1132"/>
      <c r="U2" s="1132"/>
      <c r="V2" s="1132"/>
      <c r="W2" s="1132"/>
      <c r="X2" s="1132"/>
      <c r="Y2" s="1132"/>
      <c r="Z2" s="1132"/>
      <c r="AA2" s="1133"/>
    </row>
    <row r="3" spans="2:27" ht="12.95">
      <c r="E3" t="s">
        <v>581</v>
      </c>
      <c r="F3" t="s">
        <v>582</v>
      </c>
      <c r="H3" s="10" t="s">
        <v>331</v>
      </c>
      <c r="K3" s="1130"/>
      <c r="L3" s="70" t="s">
        <v>583</v>
      </c>
      <c r="M3" s="87" t="s">
        <v>584</v>
      </c>
      <c r="N3" s="87" t="s">
        <v>585</v>
      </c>
      <c r="O3" s="87" t="s">
        <v>586</v>
      </c>
      <c r="P3" s="88" t="s">
        <v>587</v>
      </c>
      <c r="Q3" s="87" t="s">
        <v>588</v>
      </c>
      <c r="R3" s="87" t="s">
        <v>589</v>
      </c>
      <c r="S3" s="87" t="s">
        <v>348</v>
      </c>
      <c r="T3" s="87" t="s">
        <v>590</v>
      </c>
      <c r="U3" s="87" t="s">
        <v>591</v>
      </c>
      <c r="V3" s="87" t="s">
        <v>592</v>
      </c>
      <c r="W3" s="87" t="s">
        <v>593</v>
      </c>
      <c r="X3" s="87" t="s">
        <v>594</v>
      </c>
      <c r="Y3" s="87" t="s">
        <v>595</v>
      </c>
      <c r="Z3" s="87" t="s">
        <v>596</v>
      </c>
      <c r="AA3" s="88" t="s">
        <v>389</v>
      </c>
    </row>
    <row r="4" spans="2:27" ht="12.95">
      <c r="B4" s="71"/>
      <c r="E4" t="s">
        <v>581</v>
      </c>
      <c r="F4" t="s">
        <v>597</v>
      </c>
      <c r="H4" s="10" t="s">
        <v>406</v>
      </c>
      <c r="K4" s="89" t="s">
        <v>581</v>
      </c>
      <c r="L4" s="90" t="s">
        <v>399</v>
      </c>
      <c r="M4" t="s">
        <v>399</v>
      </c>
      <c r="N4" t="s">
        <v>331</v>
      </c>
      <c r="O4" t="s">
        <v>399</v>
      </c>
      <c r="P4" s="91" t="s">
        <v>399</v>
      </c>
      <c r="Q4" t="s">
        <v>331</v>
      </c>
      <c r="R4" t="s">
        <v>331</v>
      </c>
      <c r="S4" t="s">
        <v>399</v>
      </c>
      <c r="T4" t="s">
        <v>399</v>
      </c>
      <c r="U4" t="s">
        <v>406</v>
      </c>
      <c r="V4" t="s">
        <v>399</v>
      </c>
      <c r="W4" t="s">
        <v>399</v>
      </c>
      <c r="X4" t="s">
        <v>399</v>
      </c>
      <c r="Y4" t="s">
        <v>399</v>
      </c>
      <c r="Z4" t="s">
        <v>399</v>
      </c>
      <c r="AA4" s="91" t="s">
        <v>331</v>
      </c>
    </row>
    <row r="5" spans="2:27" ht="14.1">
      <c r="B5" s="83" t="s">
        <v>324</v>
      </c>
      <c r="E5" t="s">
        <v>581</v>
      </c>
      <c r="F5" t="s">
        <v>598</v>
      </c>
      <c r="H5" s="10" t="s">
        <v>599</v>
      </c>
      <c r="K5" s="89" t="s">
        <v>311</v>
      </c>
      <c r="L5" s="90" t="s">
        <v>399</v>
      </c>
      <c r="M5" t="s">
        <v>399</v>
      </c>
      <c r="N5" t="s">
        <v>331</v>
      </c>
      <c r="O5" t="s">
        <v>331</v>
      </c>
      <c r="P5" s="91" t="s">
        <v>399</v>
      </c>
      <c r="Q5" t="s">
        <v>331</v>
      </c>
      <c r="R5" t="s">
        <v>331</v>
      </c>
      <c r="S5" t="s">
        <v>399</v>
      </c>
      <c r="T5" t="s">
        <v>399</v>
      </c>
      <c r="U5" t="s">
        <v>331</v>
      </c>
      <c r="V5" t="s">
        <v>331</v>
      </c>
      <c r="W5" t="s">
        <v>331</v>
      </c>
      <c r="X5" t="s">
        <v>406</v>
      </c>
      <c r="Y5" t="s">
        <v>399</v>
      </c>
      <c r="Z5" t="s">
        <v>406</v>
      </c>
      <c r="AA5" s="91" t="s">
        <v>399</v>
      </c>
    </row>
    <row r="6" spans="2:27">
      <c r="B6" s="85" t="s">
        <v>600</v>
      </c>
      <c r="E6" t="s">
        <v>581</v>
      </c>
      <c r="F6" t="s">
        <v>601</v>
      </c>
      <c r="K6" s="89" t="s">
        <v>602</v>
      </c>
      <c r="L6" s="90" t="s">
        <v>406</v>
      </c>
      <c r="M6" t="s">
        <v>599</v>
      </c>
      <c r="N6" t="s">
        <v>406</v>
      </c>
      <c r="O6" t="s">
        <v>406</v>
      </c>
      <c r="P6" s="91" t="s">
        <v>406</v>
      </c>
      <c r="Q6" t="s">
        <v>331</v>
      </c>
      <c r="R6" t="s">
        <v>406</v>
      </c>
      <c r="S6" t="s">
        <v>406</v>
      </c>
      <c r="T6" t="s">
        <v>399</v>
      </c>
      <c r="U6" t="s">
        <v>331</v>
      </c>
      <c r="V6" t="s">
        <v>331</v>
      </c>
      <c r="W6" t="s">
        <v>399</v>
      </c>
      <c r="X6" t="s">
        <v>406</v>
      </c>
      <c r="Y6" t="s">
        <v>399</v>
      </c>
      <c r="Z6" t="s">
        <v>599</v>
      </c>
      <c r="AA6" s="91" t="s">
        <v>399</v>
      </c>
    </row>
    <row r="7" spans="2:27">
      <c r="B7" s="85" t="s">
        <v>603</v>
      </c>
      <c r="E7" t="s">
        <v>581</v>
      </c>
      <c r="F7" t="s">
        <v>604</v>
      </c>
      <c r="K7" s="89" t="s">
        <v>585</v>
      </c>
      <c r="L7" s="90" t="s">
        <v>599</v>
      </c>
      <c r="M7" t="s">
        <v>599</v>
      </c>
      <c r="N7" t="s">
        <v>331</v>
      </c>
      <c r="O7" t="s">
        <v>599</v>
      </c>
      <c r="P7" s="91" t="s">
        <v>406</v>
      </c>
      <c r="Q7" t="s">
        <v>406</v>
      </c>
      <c r="R7" t="s">
        <v>331</v>
      </c>
      <c r="S7" t="s">
        <v>331</v>
      </c>
      <c r="T7" t="s">
        <v>331</v>
      </c>
      <c r="U7" t="s">
        <v>331</v>
      </c>
      <c r="V7" t="s">
        <v>406</v>
      </c>
      <c r="W7" t="s">
        <v>331</v>
      </c>
      <c r="X7" t="s">
        <v>331</v>
      </c>
      <c r="Y7" t="s">
        <v>406</v>
      </c>
      <c r="Z7" t="s">
        <v>406</v>
      </c>
      <c r="AA7" s="91" t="s">
        <v>399</v>
      </c>
    </row>
    <row r="8" spans="2:27">
      <c r="B8" s="85"/>
      <c r="K8" s="89" t="s">
        <v>605</v>
      </c>
      <c r="L8" s="90" t="s">
        <v>399</v>
      </c>
      <c r="M8" t="s">
        <v>399</v>
      </c>
      <c r="N8" t="s">
        <v>399</v>
      </c>
      <c r="O8" t="s">
        <v>331</v>
      </c>
      <c r="P8" s="91" t="s">
        <v>331</v>
      </c>
      <c r="Q8" t="s">
        <v>399</v>
      </c>
      <c r="R8" t="s">
        <v>331</v>
      </c>
      <c r="S8" t="s">
        <v>331</v>
      </c>
      <c r="T8" t="s">
        <v>406</v>
      </c>
      <c r="U8" t="s">
        <v>331</v>
      </c>
      <c r="V8" t="s">
        <v>399</v>
      </c>
      <c r="W8" t="s">
        <v>399</v>
      </c>
      <c r="X8" t="s">
        <v>331</v>
      </c>
      <c r="Y8" t="s">
        <v>331</v>
      </c>
      <c r="Z8" t="s">
        <v>406</v>
      </c>
      <c r="AA8" s="91" t="s">
        <v>399</v>
      </c>
    </row>
    <row r="9" spans="2:27">
      <c r="B9" s="85" t="s">
        <v>330</v>
      </c>
      <c r="E9" t="s">
        <v>581</v>
      </c>
      <c r="F9" t="s">
        <v>606</v>
      </c>
      <c r="K9" s="89" t="s">
        <v>607</v>
      </c>
      <c r="L9" s="90" t="s">
        <v>399</v>
      </c>
      <c r="M9" t="s">
        <v>399</v>
      </c>
      <c r="N9" t="s">
        <v>399</v>
      </c>
      <c r="O9" t="s">
        <v>399</v>
      </c>
      <c r="P9" s="91" t="s">
        <v>399</v>
      </c>
      <c r="Q9" t="s">
        <v>399</v>
      </c>
      <c r="R9" t="s">
        <v>399</v>
      </c>
      <c r="S9" t="s">
        <v>331</v>
      </c>
      <c r="T9" t="s">
        <v>406</v>
      </c>
      <c r="U9" t="s">
        <v>331</v>
      </c>
      <c r="V9" t="s">
        <v>399</v>
      </c>
      <c r="W9" t="s">
        <v>399</v>
      </c>
      <c r="X9" t="s">
        <v>399</v>
      </c>
      <c r="Y9" t="s">
        <v>399</v>
      </c>
      <c r="Z9" t="s">
        <v>331</v>
      </c>
      <c r="AA9" s="91" t="s">
        <v>399</v>
      </c>
    </row>
    <row r="10" spans="2:27">
      <c r="B10" s="85"/>
      <c r="K10" s="89" t="s">
        <v>608</v>
      </c>
      <c r="L10" s="90" t="s">
        <v>399</v>
      </c>
      <c r="M10" t="s">
        <v>331</v>
      </c>
      <c r="N10" t="s">
        <v>399</v>
      </c>
      <c r="O10" t="s">
        <v>331</v>
      </c>
      <c r="P10" s="91" t="s">
        <v>406</v>
      </c>
      <c r="Q10" t="s">
        <v>399</v>
      </c>
      <c r="R10" t="s">
        <v>399</v>
      </c>
      <c r="S10" t="s">
        <v>399</v>
      </c>
      <c r="T10" t="s">
        <v>399</v>
      </c>
      <c r="U10" t="s">
        <v>399</v>
      </c>
      <c r="V10" t="s">
        <v>399</v>
      </c>
      <c r="W10" t="s">
        <v>399</v>
      </c>
      <c r="X10" t="s">
        <v>399</v>
      </c>
      <c r="Y10" t="s">
        <v>331</v>
      </c>
      <c r="Z10" t="s">
        <v>399</v>
      </c>
      <c r="AA10" s="91" t="s">
        <v>399</v>
      </c>
    </row>
    <row r="11" spans="2:27">
      <c r="B11" s="85" t="s">
        <v>334</v>
      </c>
      <c r="E11" t="s">
        <v>581</v>
      </c>
      <c r="F11" t="s">
        <v>609</v>
      </c>
      <c r="K11" s="89" t="s">
        <v>610</v>
      </c>
      <c r="L11" s="90" t="s">
        <v>399</v>
      </c>
      <c r="M11" t="s">
        <v>331</v>
      </c>
      <c r="N11" t="s">
        <v>399</v>
      </c>
      <c r="O11" t="s">
        <v>399</v>
      </c>
      <c r="P11" s="91" t="s">
        <v>399</v>
      </c>
      <c r="Q11" t="s">
        <v>399</v>
      </c>
      <c r="R11" t="s">
        <v>399</v>
      </c>
      <c r="S11" t="s">
        <v>331</v>
      </c>
      <c r="T11" t="s">
        <v>399</v>
      </c>
      <c r="U11" t="s">
        <v>406</v>
      </c>
      <c r="V11" t="s">
        <v>399</v>
      </c>
      <c r="W11" t="s">
        <v>399</v>
      </c>
      <c r="X11" t="s">
        <v>399</v>
      </c>
      <c r="Y11" t="s">
        <v>399</v>
      </c>
      <c r="Z11" t="s">
        <v>399</v>
      </c>
      <c r="AA11" s="91" t="s">
        <v>399</v>
      </c>
    </row>
    <row r="12" spans="2:27">
      <c r="B12" s="84" t="s">
        <v>611</v>
      </c>
      <c r="E12" t="s">
        <v>581</v>
      </c>
      <c r="F12" t="s">
        <v>612</v>
      </c>
      <c r="K12" s="89" t="s">
        <v>613</v>
      </c>
      <c r="L12" s="90" t="s">
        <v>599</v>
      </c>
      <c r="M12" t="s">
        <v>599</v>
      </c>
      <c r="N12" t="s">
        <v>599</v>
      </c>
      <c r="O12" t="s">
        <v>406</v>
      </c>
      <c r="P12" s="91" t="s">
        <v>406</v>
      </c>
      <c r="Q12" t="s">
        <v>399</v>
      </c>
      <c r="R12" t="s">
        <v>331</v>
      </c>
      <c r="S12" t="s">
        <v>406</v>
      </c>
      <c r="T12" t="s">
        <v>599</v>
      </c>
      <c r="U12" t="s">
        <v>331</v>
      </c>
      <c r="V12" t="s">
        <v>599</v>
      </c>
      <c r="W12" t="s">
        <v>331</v>
      </c>
      <c r="X12" t="s">
        <v>599</v>
      </c>
      <c r="Y12" t="s">
        <v>599</v>
      </c>
      <c r="Z12" t="s">
        <v>599</v>
      </c>
      <c r="AA12" s="91" t="s">
        <v>406</v>
      </c>
    </row>
    <row r="13" spans="2:27" ht="14.1">
      <c r="B13" s="83" t="s">
        <v>339</v>
      </c>
      <c r="E13" t="s">
        <v>581</v>
      </c>
      <c r="F13" t="s">
        <v>614</v>
      </c>
      <c r="K13" s="89" t="s">
        <v>615</v>
      </c>
      <c r="L13" s="90" t="s">
        <v>331</v>
      </c>
      <c r="M13" t="s">
        <v>399</v>
      </c>
      <c r="N13" t="s">
        <v>406</v>
      </c>
      <c r="O13" t="s">
        <v>399</v>
      </c>
      <c r="P13" s="91" t="s">
        <v>399</v>
      </c>
      <c r="Q13" t="s">
        <v>399</v>
      </c>
      <c r="R13" t="s">
        <v>399</v>
      </c>
      <c r="S13" t="s">
        <v>399</v>
      </c>
      <c r="T13" t="s">
        <v>399</v>
      </c>
      <c r="U13" t="s">
        <v>406</v>
      </c>
      <c r="V13" t="s">
        <v>399</v>
      </c>
      <c r="W13" t="s">
        <v>399</v>
      </c>
      <c r="X13" t="s">
        <v>399</v>
      </c>
      <c r="Y13" t="s">
        <v>399</v>
      </c>
      <c r="Z13" t="s">
        <v>331</v>
      </c>
      <c r="AA13" s="91" t="s">
        <v>599</v>
      </c>
    </row>
    <row r="14" spans="2:27">
      <c r="B14" s="75" t="s">
        <v>616</v>
      </c>
      <c r="E14" t="s">
        <v>581</v>
      </c>
      <c r="F14" t="s">
        <v>617</v>
      </c>
      <c r="K14" s="89" t="s">
        <v>618</v>
      </c>
      <c r="L14" s="90" t="s">
        <v>599</v>
      </c>
      <c r="M14" t="s">
        <v>599</v>
      </c>
      <c r="N14" t="s">
        <v>599</v>
      </c>
      <c r="O14" t="s">
        <v>599</v>
      </c>
      <c r="P14" s="91" t="s">
        <v>406</v>
      </c>
      <c r="Q14" t="s">
        <v>406</v>
      </c>
      <c r="R14" t="s">
        <v>406</v>
      </c>
      <c r="S14" t="s">
        <v>331</v>
      </c>
      <c r="T14" t="s">
        <v>406</v>
      </c>
      <c r="U14" t="s">
        <v>399</v>
      </c>
      <c r="V14" t="s">
        <v>599</v>
      </c>
      <c r="W14" t="s">
        <v>331</v>
      </c>
      <c r="X14" t="s">
        <v>331</v>
      </c>
      <c r="Y14" t="s">
        <v>599</v>
      </c>
      <c r="Z14" t="s">
        <v>406</v>
      </c>
      <c r="AA14" s="91" t="s">
        <v>331</v>
      </c>
    </row>
    <row r="15" spans="2:27">
      <c r="B15" s="75" t="s">
        <v>619</v>
      </c>
      <c r="E15" t="s">
        <v>311</v>
      </c>
      <c r="F15" t="s">
        <v>620</v>
      </c>
      <c r="K15" s="89" t="s">
        <v>621</v>
      </c>
      <c r="L15" s="90" t="s">
        <v>399</v>
      </c>
      <c r="M15" t="s">
        <v>399</v>
      </c>
      <c r="N15" t="s">
        <v>331</v>
      </c>
      <c r="O15" t="s">
        <v>399</v>
      </c>
      <c r="P15" s="91" t="s">
        <v>399</v>
      </c>
      <c r="Q15" t="s">
        <v>331</v>
      </c>
      <c r="R15" t="s">
        <v>399</v>
      </c>
      <c r="S15" t="s">
        <v>399</v>
      </c>
      <c r="T15" t="s">
        <v>399</v>
      </c>
      <c r="U15" t="s">
        <v>406</v>
      </c>
      <c r="V15" t="s">
        <v>399</v>
      </c>
      <c r="W15" t="s">
        <v>331</v>
      </c>
      <c r="X15" t="s">
        <v>399</v>
      </c>
      <c r="Y15" t="s">
        <v>331</v>
      </c>
      <c r="Z15" t="s">
        <v>399</v>
      </c>
      <c r="AA15" s="91" t="s">
        <v>399</v>
      </c>
    </row>
    <row r="16" spans="2:27">
      <c r="B16" s="78" t="s">
        <v>622</v>
      </c>
      <c r="E16" t="s">
        <v>311</v>
      </c>
      <c r="F16" t="s">
        <v>623</v>
      </c>
      <c r="K16" s="92" t="s">
        <v>624</v>
      </c>
      <c r="L16" s="93" t="s">
        <v>599</v>
      </c>
      <c r="M16" s="94" t="s">
        <v>406</v>
      </c>
      <c r="N16" s="94" t="s">
        <v>406</v>
      </c>
      <c r="O16" s="94" t="s">
        <v>331</v>
      </c>
      <c r="P16" s="95" t="s">
        <v>406</v>
      </c>
      <c r="Q16" s="94" t="s">
        <v>399</v>
      </c>
      <c r="R16" s="94" t="s">
        <v>331</v>
      </c>
      <c r="S16" s="94" t="s">
        <v>331</v>
      </c>
      <c r="T16" s="94" t="s">
        <v>399</v>
      </c>
      <c r="U16" s="94" t="s">
        <v>331</v>
      </c>
      <c r="V16" s="94" t="s">
        <v>331</v>
      </c>
      <c r="W16" s="94" t="s">
        <v>331</v>
      </c>
      <c r="X16" s="94" t="s">
        <v>331</v>
      </c>
      <c r="Y16" s="94" t="s">
        <v>399</v>
      </c>
      <c r="Z16" s="94" t="s">
        <v>331</v>
      </c>
      <c r="AA16" s="95" t="s">
        <v>399</v>
      </c>
    </row>
    <row r="17" spans="2:22">
      <c r="B17" s="78" t="s">
        <v>625</v>
      </c>
      <c r="E17" t="s">
        <v>311</v>
      </c>
      <c r="F17" t="s">
        <v>626</v>
      </c>
    </row>
    <row r="18" spans="2:22" hidden="1">
      <c r="B18" s="75" t="s">
        <v>627</v>
      </c>
      <c r="E18" t="s">
        <v>311</v>
      </c>
      <c r="F18" t="s">
        <v>628</v>
      </c>
    </row>
    <row r="19" spans="2:22" ht="12.95" hidden="1">
      <c r="B19" s="75" t="s">
        <v>629</v>
      </c>
      <c r="E19" t="s">
        <v>311</v>
      </c>
      <c r="F19" t="s">
        <v>630</v>
      </c>
      <c r="L19" s="96" t="s">
        <v>581</v>
      </c>
      <c r="M19" s="97" t="s">
        <v>311</v>
      </c>
      <c r="N19" s="97" t="s">
        <v>602</v>
      </c>
      <c r="O19" s="97" t="s">
        <v>585</v>
      </c>
      <c r="P19" s="97" t="s">
        <v>607</v>
      </c>
      <c r="Q19" s="97" t="s">
        <v>610</v>
      </c>
      <c r="R19" s="97" t="s">
        <v>613</v>
      </c>
      <c r="S19" s="97" t="s">
        <v>615</v>
      </c>
      <c r="T19" s="97" t="s">
        <v>618</v>
      </c>
      <c r="U19" s="97" t="s">
        <v>621</v>
      </c>
      <c r="V19" s="98" t="s">
        <v>624</v>
      </c>
    </row>
    <row r="20" spans="2:22" hidden="1">
      <c r="B20" s="75" t="s">
        <v>365</v>
      </c>
      <c r="E20" t="s">
        <v>311</v>
      </c>
      <c r="F20" t="s">
        <v>631</v>
      </c>
      <c r="L20" s="90" t="s">
        <v>582</v>
      </c>
      <c r="M20" t="s">
        <v>620</v>
      </c>
      <c r="N20" t="s">
        <v>632</v>
      </c>
      <c r="O20" t="s">
        <v>633</v>
      </c>
      <c r="P20" t="s">
        <v>634</v>
      </c>
      <c r="Q20" t="s">
        <v>635</v>
      </c>
      <c r="R20" t="s">
        <v>636</v>
      </c>
      <c r="S20" t="s">
        <v>637</v>
      </c>
      <c r="T20" t="s">
        <v>638</v>
      </c>
      <c r="U20" t="s">
        <v>639</v>
      </c>
      <c r="V20" s="91" t="s">
        <v>640</v>
      </c>
    </row>
    <row r="21" spans="2:22" hidden="1">
      <c r="B21" s="75" t="s">
        <v>373</v>
      </c>
      <c r="E21" t="s">
        <v>311</v>
      </c>
      <c r="F21" t="s">
        <v>641</v>
      </c>
      <c r="L21" s="90" t="s">
        <v>597</v>
      </c>
      <c r="M21" t="s">
        <v>623</v>
      </c>
      <c r="N21" t="s">
        <v>642</v>
      </c>
      <c r="O21" t="s">
        <v>643</v>
      </c>
      <c r="P21" t="s">
        <v>644</v>
      </c>
      <c r="Q21" t="s">
        <v>645</v>
      </c>
      <c r="R21" t="s">
        <v>646</v>
      </c>
      <c r="S21" t="s">
        <v>647</v>
      </c>
      <c r="T21" t="s">
        <v>648</v>
      </c>
      <c r="U21" t="s">
        <v>649</v>
      </c>
      <c r="V21" s="91" t="s">
        <v>650</v>
      </c>
    </row>
    <row r="22" spans="2:22" hidden="1">
      <c r="B22" s="75" t="s">
        <v>380</v>
      </c>
      <c r="E22" t="s">
        <v>311</v>
      </c>
      <c r="F22" t="s">
        <v>651</v>
      </c>
      <c r="L22" s="90" t="s">
        <v>598</v>
      </c>
      <c r="M22" t="s">
        <v>626</v>
      </c>
      <c r="N22" t="s">
        <v>652</v>
      </c>
      <c r="O22" t="s">
        <v>653</v>
      </c>
      <c r="P22" t="s">
        <v>654</v>
      </c>
      <c r="Q22" t="s">
        <v>655</v>
      </c>
      <c r="R22" t="s">
        <v>656</v>
      </c>
      <c r="S22" t="s">
        <v>657</v>
      </c>
      <c r="T22" t="s">
        <v>658</v>
      </c>
      <c r="U22" t="s">
        <v>659</v>
      </c>
      <c r="V22" s="91" t="s">
        <v>660</v>
      </c>
    </row>
    <row r="23" spans="2:22" hidden="1">
      <c r="B23" s="75" t="s">
        <v>388</v>
      </c>
      <c r="E23" t="s">
        <v>311</v>
      </c>
      <c r="F23" t="s">
        <v>661</v>
      </c>
      <c r="L23" s="90" t="s">
        <v>601</v>
      </c>
      <c r="M23" t="s">
        <v>628</v>
      </c>
      <c r="N23" t="s">
        <v>662</v>
      </c>
      <c r="O23" t="s">
        <v>663</v>
      </c>
      <c r="P23" t="s">
        <v>664</v>
      </c>
      <c r="Q23" t="s">
        <v>665</v>
      </c>
      <c r="R23" t="s">
        <v>666</v>
      </c>
      <c r="S23" t="s">
        <v>667</v>
      </c>
      <c r="T23" t="s">
        <v>668</v>
      </c>
      <c r="U23" t="s">
        <v>669</v>
      </c>
      <c r="V23" s="91" t="s">
        <v>670</v>
      </c>
    </row>
    <row r="24" spans="2:22" hidden="1">
      <c r="B24" s="77" t="s">
        <v>389</v>
      </c>
      <c r="E24" t="s">
        <v>311</v>
      </c>
      <c r="F24" t="s">
        <v>671</v>
      </c>
      <c r="L24" s="90" t="s">
        <v>604</v>
      </c>
      <c r="M24" t="s">
        <v>630</v>
      </c>
      <c r="N24" t="s">
        <v>672</v>
      </c>
      <c r="O24" t="s">
        <v>673</v>
      </c>
      <c r="P24" t="s">
        <v>674</v>
      </c>
      <c r="Q24" t="s">
        <v>675</v>
      </c>
      <c r="R24" t="s">
        <v>676</v>
      </c>
      <c r="S24" t="s">
        <v>677</v>
      </c>
      <c r="T24" t="s">
        <v>678</v>
      </c>
      <c r="U24" t="s">
        <v>679</v>
      </c>
      <c r="V24" s="91" t="s">
        <v>680</v>
      </c>
    </row>
    <row r="25" spans="2:22" hidden="1">
      <c r="E25" t="s">
        <v>311</v>
      </c>
      <c r="F25" t="s">
        <v>681</v>
      </c>
      <c r="L25" s="90" t="s">
        <v>606</v>
      </c>
      <c r="M25" t="s">
        <v>631</v>
      </c>
      <c r="N25" t="s">
        <v>682</v>
      </c>
      <c r="P25" t="s">
        <v>683</v>
      </c>
      <c r="Q25" t="s">
        <v>684</v>
      </c>
      <c r="R25" t="s">
        <v>685</v>
      </c>
      <c r="S25" t="s">
        <v>686</v>
      </c>
      <c r="T25" t="s">
        <v>687</v>
      </c>
      <c r="U25" t="s">
        <v>688</v>
      </c>
      <c r="V25" s="91"/>
    </row>
    <row r="26" spans="2:22" hidden="1">
      <c r="E26" t="s">
        <v>311</v>
      </c>
      <c r="F26" t="s">
        <v>689</v>
      </c>
      <c r="L26" s="90" t="s">
        <v>609</v>
      </c>
      <c r="M26" t="s">
        <v>641</v>
      </c>
      <c r="N26" t="s">
        <v>690</v>
      </c>
      <c r="P26" t="s">
        <v>691</v>
      </c>
      <c r="Q26" t="s">
        <v>692</v>
      </c>
      <c r="R26" t="s">
        <v>693</v>
      </c>
      <c r="S26" t="s">
        <v>694</v>
      </c>
      <c r="T26" t="s">
        <v>695</v>
      </c>
      <c r="U26" t="s">
        <v>696</v>
      </c>
      <c r="V26" s="91"/>
    </row>
    <row r="27" spans="2:22" hidden="1">
      <c r="E27" t="s">
        <v>311</v>
      </c>
      <c r="F27" t="s">
        <v>697</v>
      </c>
      <c r="L27" s="90" t="s">
        <v>612</v>
      </c>
      <c r="M27" t="s">
        <v>651</v>
      </c>
      <c r="N27" t="s">
        <v>698</v>
      </c>
      <c r="P27" t="s">
        <v>699</v>
      </c>
      <c r="Q27" t="s">
        <v>700</v>
      </c>
      <c r="R27" t="s">
        <v>701</v>
      </c>
      <c r="S27" t="s">
        <v>702</v>
      </c>
      <c r="T27" t="s">
        <v>703</v>
      </c>
      <c r="U27" t="s">
        <v>704</v>
      </c>
      <c r="V27" s="91"/>
    </row>
    <row r="28" spans="2:22" hidden="1">
      <c r="E28" t="s">
        <v>311</v>
      </c>
      <c r="F28" t="s">
        <v>705</v>
      </c>
      <c r="L28" s="90" t="s">
        <v>614</v>
      </c>
      <c r="M28" t="s">
        <v>661</v>
      </c>
      <c r="N28" t="s">
        <v>706</v>
      </c>
      <c r="P28" t="s">
        <v>707</v>
      </c>
      <c r="Q28" t="s">
        <v>708</v>
      </c>
      <c r="R28" t="s">
        <v>709</v>
      </c>
      <c r="S28" t="s">
        <v>710</v>
      </c>
      <c r="T28" t="s">
        <v>711</v>
      </c>
      <c r="V28" s="91"/>
    </row>
    <row r="29" spans="2:22" hidden="1">
      <c r="E29" t="s">
        <v>311</v>
      </c>
      <c r="F29" t="s">
        <v>712</v>
      </c>
      <c r="L29" s="93" t="s">
        <v>617</v>
      </c>
      <c r="M29" s="94" t="s">
        <v>671</v>
      </c>
      <c r="N29" s="94" t="s">
        <v>713</v>
      </c>
      <c r="O29" s="94"/>
      <c r="P29" s="94" t="s">
        <v>714</v>
      </c>
      <c r="Q29" s="94" t="s">
        <v>715</v>
      </c>
      <c r="R29" s="94" t="s">
        <v>716</v>
      </c>
      <c r="S29" s="94" t="s">
        <v>717</v>
      </c>
      <c r="T29" s="94" t="s">
        <v>718</v>
      </c>
      <c r="U29" s="94"/>
      <c r="V29" s="95"/>
    </row>
    <row r="30" spans="2:22" hidden="1">
      <c r="E30" t="s">
        <v>311</v>
      </c>
      <c r="F30" t="s">
        <v>719</v>
      </c>
      <c r="M30" t="s">
        <v>681</v>
      </c>
      <c r="N30" t="s">
        <v>720</v>
      </c>
      <c r="P30" t="s">
        <v>721</v>
      </c>
      <c r="R30" t="s">
        <v>722</v>
      </c>
      <c r="S30" t="s">
        <v>723</v>
      </c>
      <c r="T30" t="s">
        <v>724</v>
      </c>
    </row>
    <row r="31" spans="2:22" hidden="1">
      <c r="E31" t="s">
        <v>311</v>
      </c>
      <c r="F31" t="s">
        <v>725</v>
      </c>
      <c r="M31" t="s">
        <v>689</v>
      </c>
      <c r="N31" t="s">
        <v>726</v>
      </c>
      <c r="P31" t="s">
        <v>727</v>
      </c>
      <c r="R31" t="s">
        <v>728</v>
      </c>
      <c r="S31" t="s">
        <v>729</v>
      </c>
    </row>
    <row r="32" spans="2:22" hidden="1">
      <c r="E32" t="s">
        <v>311</v>
      </c>
      <c r="F32" t="s">
        <v>730</v>
      </c>
      <c r="M32" t="s">
        <v>697</v>
      </c>
      <c r="P32" t="s">
        <v>731</v>
      </c>
      <c r="R32" t="s">
        <v>732</v>
      </c>
      <c r="S32" t="s">
        <v>733</v>
      </c>
    </row>
    <row r="33" spans="5:18" hidden="1">
      <c r="E33" t="s">
        <v>311</v>
      </c>
      <c r="F33" t="s">
        <v>734</v>
      </c>
      <c r="M33" t="s">
        <v>705</v>
      </c>
      <c r="R33" t="s">
        <v>735</v>
      </c>
    </row>
    <row r="34" spans="5:18" hidden="1">
      <c r="E34" t="s">
        <v>311</v>
      </c>
      <c r="F34" t="s">
        <v>736</v>
      </c>
      <c r="M34" t="s">
        <v>712</v>
      </c>
      <c r="R34" t="s">
        <v>737</v>
      </c>
    </row>
    <row r="35" spans="5:18" hidden="1">
      <c r="E35" t="s">
        <v>602</v>
      </c>
      <c r="F35" t="s">
        <v>632</v>
      </c>
      <c r="M35" t="s">
        <v>719</v>
      </c>
      <c r="R35" t="s">
        <v>738</v>
      </c>
    </row>
    <row r="36" spans="5:18" hidden="1">
      <c r="E36" t="s">
        <v>602</v>
      </c>
      <c r="F36" t="s">
        <v>642</v>
      </c>
      <c r="M36" t="s">
        <v>725</v>
      </c>
      <c r="R36" t="s">
        <v>739</v>
      </c>
    </row>
    <row r="37" spans="5:18" hidden="1">
      <c r="E37" t="s">
        <v>602</v>
      </c>
      <c r="F37" t="s">
        <v>652</v>
      </c>
      <c r="M37" t="s">
        <v>730</v>
      </c>
    </row>
    <row r="38" spans="5:18" hidden="1">
      <c r="E38" t="s">
        <v>602</v>
      </c>
      <c r="F38" t="s">
        <v>662</v>
      </c>
      <c r="M38" t="s">
        <v>734</v>
      </c>
    </row>
    <row r="39" spans="5:18" hidden="1">
      <c r="E39" t="s">
        <v>602</v>
      </c>
      <c r="F39" t="s">
        <v>672</v>
      </c>
      <c r="M39" t="s">
        <v>736</v>
      </c>
    </row>
    <row r="40" spans="5:18" hidden="1">
      <c r="E40" t="s">
        <v>602</v>
      </c>
      <c r="F40" t="s">
        <v>682</v>
      </c>
    </row>
    <row r="41" spans="5:18" hidden="1">
      <c r="E41" t="s">
        <v>602</v>
      </c>
      <c r="F41" t="s">
        <v>690</v>
      </c>
    </row>
    <row r="42" spans="5:18">
      <c r="E42" t="s">
        <v>602</v>
      </c>
      <c r="F42" t="s">
        <v>698</v>
      </c>
    </row>
    <row r="43" spans="5:18">
      <c r="E43" t="s">
        <v>602</v>
      </c>
      <c r="F43" t="s">
        <v>706</v>
      </c>
    </row>
    <row r="44" spans="5:18">
      <c r="E44" t="s">
        <v>602</v>
      </c>
      <c r="F44" t="s">
        <v>713</v>
      </c>
    </row>
    <row r="45" spans="5:18">
      <c r="E45" t="s">
        <v>602</v>
      </c>
      <c r="F45" t="s">
        <v>720</v>
      </c>
    </row>
    <row r="46" spans="5:18">
      <c r="E46" t="s">
        <v>602</v>
      </c>
      <c r="F46" t="s">
        <v>726</v>
      </c>
    </row>
    <row r="47" spans="5:18">
      <c r="E47" t="s">
        <v>585</v>
      </c>
      <c r="F47" t="s">
        <v>633</v>
      </c>
    </row>
    <row r="48" spans="5:18">
      <c r="E48" t="s">
        <v>585</v>
      </c>
      <c r="F48" t="s">
        <v>643</v>
      </c>
    </row>
    <row r="49" spans="5:6">
      <c r="E49" t="s">
        <v>585</v>
      </c>
      <c r="F49" t="s">
        <v>653</v>
      </c>
    </row>
    <row r="50" spans="5:6">
      <c r="E50" t="s">
        <v>585</v>
      </c>
      <c r="F50" t="s">
        <v>663</v>
      </c>
    </row>
    <row r="51" spans="5:6">
      <c r="E51" t="s">
        <v>585</v>
      </c>
      <c r="F51" t="s">
        <v>673</v>
      </c>
    </row>
    <row r="52" spans="5:6">
      <c r="E52" t="s">
        <v>607</v>
      </c>
      <c r="F52" t="s">
        <v>634</v>
      </c>
    </row>
    <row r="53" spans="5:6">
      <c r="E53" t="s">
        <v>607</v>
      </c>
      <c r="F53" t="s">
        <v>644</v>
      </c>
    </row>
    <row r="54" spans="5:6">
      <c r="E54" t="s">
        <v>607</v>
      </c>
      <c r="F54" t="s">
        <v>654</v>
      </c>
    </row>
    <row r="55" spans="5:6">
      <c r="E55" t="s">
        <v>607</v>
      </c>
      <c r="F55" t="s">
        <v>664</v>
      </c>
    </row>
    <row r="56" spans="5:6">
      <c r="E56" t="s">
        <v>607</v>
      </c>
      <c r="F56" t="s">
        <v>674</v>
      </c>
    </row>
    <row r="57" spans="5:6">
      <c r="E57" t="s">
        <v>607</v>
      </c>
      <c r="F57" t="s">
        <v>683</v>
      </c>
    </row>
    <row r="58" spans="5:6">
      <c r="E58" t="s">
        <v>607</v>
      </c>
      <c r="F58" t="s">
        <v>691</v>
      </c>
    </row>
    <row r="59" spans="5:6">
      <c r="E59" t="s">
        <v>607</v>
      </c>
      <c r="F59" t="s">
        <v>699</v>
      </c>
    </row>
    <row r="60" spans="5:6">
      <c r="E60" t="s">
        <v>607</v>
      </c>
      <c r="F60" t="s">
        <v>707</v>
      </c>
    </row>
    <row r="61" spans="5:6">
      <c r="E61" t="s">
        <v>607</v>
      </c>
      <c r="F61" t="s">
        <v>714</v>
      </c>
    </row>
    <row r="62" spans="5:6">
      <c r="E62" t="s">
        <v>607</v>
      </c>
      <c r="F62" t="s">
        <v>721</v>
      </c>
    </row>
    <row r="63" spans="5:6">
      <c r="E63" t="s">
        <v>607</v>
      </c>
      <c r="F63" t="s">
        <v>727</v>
      </c>
    </row>
    <row r="64" spans="5:6">
      <c r="E64" t="s">
        <v>607</v>
      </c>
      <c r="F64" t="s">
        <v>731</v>
      </c>
    </row>
    <row r="65" spans="5:6">
      <c r="E65" t="s">
        <v>610</v>
      </c>
      <c r="F65" t="s">
        <v>635</v>
      </c>
    </row>
    <row r="66" spans="5:6">
      <c r="E66" t="s">
        <v>610</v>
      </c>
      <c r="F66" t="s">
        <v>645</v>
      </c>
    </row>
    <row r="67" spans="5:6">
      <c r="E67" t="s">
        <v>610</v>
      </c>
      <c r="F67" t="s">
        <v>655</v>
      </c>
    </row>
    <row r="68" spans="5:6">
      <c r="E68" t="s">
        <v>610</v>
      </c>
      <c r="F68" t="s">
        <v>665</v>
      </c>
    </row>
    <row r="69" spans="5:6">
      <c r="E69" t="s">
        <v>610</v>
      </c>
      <c r="F69" t="s">
        <v>675</v>
      </c>
    </row>
    <row r="70" spans="5:6">
      <c r="E70" t="s">
        <v>610</v>
      </c>
      <c r="F70" t="s">
        <v>684</v>
      </c>
    </row>
    <row r="71" spans="5:6">
      <c r="E71" t="s">
        <v>610</v>
      </c>
      <c r="F71" t="s">
        <v>692</v>
      </c>
    </row>
    <row r="72" spans="5:6">
      <c r="E72" t="s">
        <v>610</v>
      </c>
      <c r="F72" t="s">
        <v>700</v>
      </c>
    </row>
    <row r="73" spans="5:6">
      <c r="E73" t="s">
        <v>610</v>
      </c>
      <c r="F73" t="s">
        <v>708</v>
      </c>
    </row>
    <row r="74" spans="5:6">
      <c r="E74" t="s">
        <v>610</v>
      </c>
      <c r="F74" t="s">
        <v>715</v>
      </c>
    </row>
    <row r="75" spans="5:6">
      <c r="E75" t="s">
        <v>613</v>
      </c>
      <c r="F75" t="s">
        <v>636</v>
      </c>
    </row>
    <row r="76" spans="5:6">
      <c r="E76" t="s">
        <v>613</v>
      </c>
      <c r="F76" t="s">
        <v>646</v>
      </c>
    </row>
    <row r="77" spans="5:6">
      <c r="E77" t="s">
        <v>613</v>
      </c>
      <c r="F77" t="s">
        <v>656</v>
      </c>
    </row>
    <row r="78" spans="5:6">
      <c r="E78" t="s">
        <v>613</v>
      </c>
      <c r="F78" t="s">
        <v>666</v>
      </c>
    </row>
    <row r="79" spans="5:6">
      <c r="E79" t="s">
        <v>613</v>
      </c>
      <c r="F79" t="s">
        <v>676</v>
      </c>
    </row>
    <row r="80" spans="5:6">
      <c r="E80" t="s">
        <v>613</v>
      </c>
      <c r="F80" t="s">
        <v>685</v>
      </c>
    </row>
    <row r="81" spans="5:6">
      <c r="E81" t="s">
        <v>613</v>
      </c>
      <c r="F81" t="s">
        <v>693</v>
      </c>
    </row>
    <row r="82" spans="5:6">
      <c r="E82" t="s">
        <v>613</v>
      </c>
      <c r="F82" t="s">
        <v>701</v>
      </c>
    </row>
    <row r="83" spans="5:6">
      <c r="E83" t="s">
        <v>613</v>
      </c>
      <c r="F83" t="s">
        <v>709</v>
      </c>
    </row>
    <row r="84" spans="5:6">
      <c r="E84" t="s">
        <v>613</v>
      </c>
      <c r="F84" t="s">
        <v>716</v>
      </c>
    </row>
    <row r="85" spans="5:6">
      <c r="E85" t="s">
        <v>613</v>
      </c>
      <c r="F85" t="s">
        <v>722</v>
      </c>
    </row>
    <row r="86" spans="5:6">
      <c r="E86" t="s">
        <v>613</v>
      </c>
      <c r="F86" t="s">
        <v>728</v>
      </c>
    </row>
    <row r="87" spans="5:6">
      <c r="E87" t="s">
        <v>613</v>
      </c>
      <c r="F87" t="s">
        <v>732</v>
      </c>
    </row>
    <row r="88" spans="5:6">
      <c r="E88" t="s">
        <v>613</v>
      </c>
      <c r="F88" t="s">
        <v>735</v>
      </c>
    </row>
    <row r="89" spans="5:6">
      <c r="E89" t="s">
        <v>613</v>
      </c>
      <c r="F89" t="s">
        <v>737</v>
      </c>
    </row>
    <row r="90" spans="5:6">
      <c r="E90" t="s">
        <v>613</v>
      </c>
      <c r="F90" t="s">
        <v>738</v>
      </c>
    </row>
    <row r="91" spans="5:6">
      <c r="E91" t="s">
        <v>613</v>
      </c>
      <c r="F91" t="s">
        <v>739</v>
      </c>
    </row>
    <row r="92" spans="5:6">
      <c r="E92" t="s">
        <v>615</v>
      </c>
      <c r="F92" t="s">
        <v>637</v>
      </c>
    </row>
    <row r="93" spans="5:6">
      <c r="E93" t="s">
        <v>615</v>
      </c>
      <c r="F93" t="s">
        <v>647</v>
      </c>
    </row>
    <row r="94" spans="5:6">
      <c r="E94" t="s">
        <v>615</v>
      </c>
      <c r="F94" t="s">
        <v>657</v>
      </c>
    </row>
    <row r="95" spans="5:6">
      <c r="E95" t="s">
        <v>615</v>
      </c>
      <c r="F95" t="s">
        <v>667</v>
      </c>
    </row>
    <row r="96" spans="5:6">
      <c r="E96" t="s">
        <v>615</v>
      </c>
      <c r="F96" t="s">
        <v>677</v>
      </c>
    </row>
    <row r="97" spans="5:6">
      <c r="E97" t="s">
        <v>615</v>
      </c>
      <c r="F97" t="s">
        <v>686</v>
      </c>
    </row>
    <row r="98" spans="5:6">
      <c r="E98" t="s">
        <v>615</v>
      </c>
      <c r="F98" t="s">
        <v>694</v>
      </c>
    </row>
    <row r="99" spans="5:6">
      <c r="E99" t="s">
        <v>615</v>
      </c>
      <c r="F99" t="s">
        <v>702</v>
      </c>
    </row>
    <row r="100" spans="5:6">
      <c r="E100" t="s">
        <v>615</v>
      </c>
      <c r="F100" t="s">
        <v>710</v>
      </c>
    </row>
    <row r="101" spans="5:6">
      <c r="E101" t="s">
        <v>615</v>
      </c>
      <c r="F101" t="s">
        <v>717</v>
      </c>
    </row>
    <row r="102" spans="5:6">
      <c r="E102" t="s">
        <v>615</v>
      </c>
      <c r="F102" t="s">
        <v>723</v>
      </c>
    </row>
    <row r="103" spans="5:6">
      <c r="E103" t="s">
        <v>615</v>
      </c>
      <c r="F103" t="s">
        <v>729</v>
      </c>
    </row>
    <row r="104" spans="5:6">
      <c r="E104" t="s">
        <v>615</v>
      </c>
      <c r="F104" t="s">
        <v>733</v>
      </c>
    </row>
    <row r="105" spans="5:6">
      <c r="E105" t="s">
        <v>618</v>
      </c>
      <c r="F105" t="s">
        <v>638</v>
      </c>
    </row>
    <row r="106" spans="5:6">
      <c r="E106" t="s">
        <v>618</v>
      </c>
      <c r="F106" t="s">
        <v>648</v>
      </c>
    </row>
    <row r="107" spans="5:6">
      <c r="E107" t="s">
        <v>618</v>
      </c>
      <c r="F107" t="s">
        <v>658</v>
      </c>
    </row>
    <row r="108" spans="5:6">
      <c r="E108" t="s">
        <v>618</v>
      </c>
      <c r="F108" t="s">
        <v>668</v>
      </c>
    </row>
    <row r="109" spans="5:6">
      <c r="E109" t="s">
        <v>618</v>
      </c>
      <c r="F109" t="s">
        <v>678</v>
      </c>
    </row>
    <row r="110" spans="5:6">
      <c r="E110" t="s">
        <v>618</v>
      </c>
      <c r="F110" t="s">
        <v>687</v>
      </c>
    </row>
    <row r="111" spans="5:6">
      <c r="E111" t="s">
        <v>618</v>
      </c>
      <c r="F111" t="s">
        <v>695</v>
      </c>
    </row>
    <row r="112" spans="5:6">
      <c r="E112" t="s">
        <v>618</v>
      </c>
      <c r="F112" t="s">
        <v>703</v>
      </c>
    </row>
    <row r="113" spans="5:6">
      <c r="E113" t="s">
        <v>618</v>
      </c>
      <c r="F113" t="s">
        <v>711</v>
      </c>
    </row>
    <row r="114" spans="5:6">
      <c r="E114" t="s">
        <v>618</v>
      </c>
      <c r="F114" t="s">
        <v>718</v>
      </c>
    </row>
    <row r="115" spans="5:6">
      <c r="E115" t="s">
        <v>618</v>
      </c>
      <c r="F115" t="s">
        <v>724</v>
      </c>
    </row>
    <row r="116" spans="5:6">
      <c r="E116" t="s">
        <v>621</v>
      </c>
      <c r="F116" t="s">
        <v>639</v>
      </c>
    </row>
    <row r="117" spans="5:6">
      <c r="E117" t="s">
        <v>621</v>
      </c>
      <c r="F117" t="s">
        <v>649</v>
      </c>
    </row>
    <row r="118" spans="5:6">
      <c r="E118" t="s">
        <v>621</v>
      </c>
      <c r="F118" t="s">
        <v>659</v>
      </c>
    </row>
    <row r="119" spans="5:6">
      <c r="E119" t="s">
        <v>621</v>
      </c>
      <c r="F119" t="s">
        <v>669</v>
      </c>
    </row>
    <row r="120" spans="5:6">
      <c r="E120" t="s">
        <v>621</v>
      </c>
      <c r="F120" t="s">
        <v>679</v>
      </c>
    </row>
    <row r="121" spans="5:6">
      <c r="E121" t="s">
        <v>621</v>
      </c>
      <c r="F121" t="s">
        <v>688</v>
      </c>
    </row>
    <row r="122" spans="5:6">
      <c r="E122" t="s">
        <v>621</v>
      </c>
      <c r="F122" t="s">
        <v>696</v>
      </c>
    </row>
    <row r="123" spans="5:6">
      <c r="E123" t="s">
        <v>621</v>
      </c>
      <c r="F123" t="s">
        <v>704</v>
      </c>
    </row>
    <row r="124" spans="5:6">
      <c r="E124" t="s">
        <v>624</v>
      </c>
      <c r="F124" t="s">
        <v>640</v>
      </c>
    </row>
    <row r="125" spans="5:6">
      <c r="E125" t="s">
        <v>624</v>
      </c>
      <c r="F125" t="s">
        <v>650</v>
      </c>
    </row>
    <row r="126" spans="5:6">
      <c r="E126" t="s">
        <v>624</v>
      </c>
      <c r="F126" t="s">
        <v>660</v>
      </c>
    </row>
    <row r="127" spans="5:6">
      <c r="E127" t="s">
        <v>624</v>
      </c>
      <c r="F127" t="s">
        <v>670</v>
      </c>
    </row>
    <row r="128" spans="5:6">
      <c r="E128" t="s">
        <v>624</v>
      </c>
      <c r="F128" t="s">
        <v>680</v>
      </c>
    </row>
  </sheetData>
  <mergeCells count="3">
    <mergeCell ref="K2:K3"/>
    <mergeCell ref="L2:P2"/>
    <mergeCell ref="Q2:AA2"/>
  </mergeCells>
  <phoneticPr fontId="80"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A7115-0CBC-4ABB-BE5B-970F623C3B18}">
  <dimension ref="A1:EV100"/>
  <sheetViews>
    <sheetView topLeftCell="A40" zoomScaleNormal="100" workbookViewId="0">
      <selection activeCell="B6" sqref="B6"/>
    </sheetView>
  </sheetViews>
  <sheetFormatPr defaultColWidth="10.42578125" defaultRowHeight="14.1"/>
  <cols>
    <col min="1" max="1" width="40.140625" style="21" bestFit="1" customWidth="1"/>
    <col min="2" max="5" width="13.42578125" style="21" customWidth="1"/>
    <col min="6" max="6" width="13.140625" style="21" customWidth="1"/>
    <col min="7" max="9" width="13.85546875" style="21" customWidth="1"/>
    <col min="10" max="10" width="14.140625" style="21" customWidth="1"/>
    <col min="11" max="11" width="15.140625" style="23" customWidth="1"/>
    <col min="12" max="12" width="17" style="23" customWidth="1"/>
    <col min="13" max="13" width="14.140625" style="21" customWidth="1"/>
    <col min="14" max="14" width="21.42578125" style="21" bestFit="1" customWidth="1"/>
    <col min="15" max="15" width="32.140625" style="21" customWidth="1"/>
    <col min="16" max="16" width="11.42578125" style="21" customWidth="1"/>
    <col min="17" max="23" width="0" style="21" hidden="1" customWidth="1"/>
    <col min="24" max="24" width="15.42578125" style="21" bestFit="1" customWidth="1"/>
    <col min="25" max="25" width="17.42578125" style="21" bestFit="1" customWidth="1"/>
    <col min="26" max="33" width="0" style="21" hidden="1" customWidth="1"/>
    <col min="34" max="16384" width="10.42578125" style="21"/>
  </cols>
  <sheetData>
    <row r="1" spans="1:33">
      <c r="B1" s="48"/>
      <c r="C1" s="48"/>
      <c r="D1" s="48"/>
      <c r="E1" s="48"/>
      <c r="F1" s="48"/>
      <c r="G1" s="48"/>
      <c r="H1" s="48"/>
      <c r="I1" s="48"/>
      <c r="J1" s="48"/>
      <c r="K1" s="48"/>
      <c r="L1" s="48"/>
      <c r="M1" s="48"/>
      <c r="N1"/>
      <c r="O1"/>
    </row>
    <row r="2" spans="1:33">
      <c r="G2" s="1134" t="s">
        <v>740</v>
      </c>
      <c r="H2" s="1134"/>
      <c r="I2" s="1134"/>
      <c r="J2" s="1134"/>
      <c r="K2" s="24"/>
      <c r="L2" s="24"/>
      <c r="M2" s="24"/>
      <c r="N2" s="24"/>
      <c r="O2" s="24"/>
    </row>
    <row r="3" spans="1:33">
      <c r="G3" s="21" t="s">
        <v>741</v>
      </c>
      <c r="H3" s="21" t="e" vm="1">
        <v>#VALUE!</v>
      </c>
      <c r="M3"/>
      <c r="N3"/>
      <c r="O3"/>
    </row>
    <row r="4" spans="1:33">
      <c r="D4" s="1134" t="s">
        <v>742</v>
      </c>
      <c r="E4" s="1134"/>
      <c r="F4" s="1134"/>
      <c r="G4" s="1134"/>
      <c r="H4" s="1134"/>
      <c r="I4" s="1134"/>
      <c r="J4" s="1134"/>
      <c r="K4" s="1134"/>
      <c r="L4" s="1134"/>
      <c r="M4" s="1134"/>
      <c r="N4"/>
      <c r="O4"/>
    </row>
    <row r="5" spans="1:33">
      <c r="A5" s="48" t="s">
        <v>743</v>
      </c>
      <c r="B5" s="332">
        <v>2023</v>
      </c>
      <c r="C5" s="332">
        <f>B5-1</f>
        <v>2022</v>
      </c>
      <c r="D5" s="332">
        <f t="shared" ref="D5:M5" si="0">C5-1</f>
        <v>2021</v>
      </c>
      <c r="E5" s="332">
        <f t="shared" si="0"/>
        <v>2020</v>
      </c>
      <c r="F5" s="332">
        <f t="shared" si="0"/>
        <v>2019</v>
      </c>
      <c r="G5" s="332">
        <f t="shared" si="0"/>
        <v>2018</v>
      </c>
      <c r="H5" s="332">
        <f t="shared" si="0"/>
        <v>2017</v>
      </c>
      <c r="I5" s="332">
        <f t="shared" si="0"/>
        <v>2016</v>
      </c>
      <c r="J5" s="332">
        <f t="shared" si="0"/>
        <v>2015</v>
      </c>
      <c r="K5" s="332">
        <f t="shared" si="0"/>
        <v>2014</v>
      </c>
      <c r="L5" s="332">
        <f t="shared" si="0"/>
        <v>2013</v>
      </c>
      <c r="M5" s="332">
        <f t="shared" si="0"/>
        <v>2012</v>
      </c>
      <c r="N5"/>
      <c r="O5"/>
      <c r="Q5" s="9" t="s">
        <v>744</v>
      </c>
      <c r="R5" s="1135" t="s">
        <v>745</v>
      </c>
      <c r="S5" s="1135"/>
      <c r="T5" s="21" t="s">
        <v>746</v>
      </c>
      <c r="Z5" s="48">
        <v>2016</v>
      </c>
      <c r="AA5" s="48">
        <v>2015</v>
      </c>
      <c r="AB5" s="48">
        <v>2014</v>
      </c>
      <c r="AC5" s="48">
        <v>2013</v>
      </c>
      <c r="AD5" s="48">
        <v>2012</v>
      </c>
      <c r="AE5" s="48">
        <v>2011</v>
      </c>
      <c r="AF5" s="48">
        <v>2010</v>
      </c>
      <c r="AG5" s="48">
        <v>2009</v>
      </c>
    </row>
    <row r="6" spans="1:33">
      <c r="A6" s="25" t="s">
        <v>116</v>
      </c>
      <c r="B6" s="272">
        <v>2060</v>
      </c>
      <c r="C6" s="272">
        <v>1573</v>
      </c>
      <c r="D6" s="272">
        <v>1529</v>
      </c>
      <c r="E6" s="272">
        <v>1158</v>
      </c>
      <c r="F6" s="272">
        <v>1479</v>
      </c>
      <c r="G6" s="272">
        <v>1396</v>
      </c>
      <c r="H6" s="333" t="s">
        <v>199</v>
      </c>
      <c r="I6" s="333" t="s">
        <v>199</v>
      </c>
      <c r="J6" s="333" t="s">
        <v>199</v>
      </c>
      <c r="K6" s="333" t="s">
        <v>199</v>
      </c>
      <c r="L6" s="333" t="s">
        <v>199</v>
      </c>
      <c r="M6" s="333" t="s">
        <v>199</v>
      </c>
      <c r="N6" s="27" t="s">
        <v>747</v>
      </c>
      <c r="O6" t="s">
        <v>748</v>
      </c>
      <c r="P6"/>
      <c r="Q6" s="21" t="s">
        <v>749</v>
      </c>
      <c r="R6" s="21" t="s">
        <v>749</v>
      </c>
      <c r="X6" s="28"/>
      <c r="Y6" s="28"/>
      <c r="Z6" s="26">
        <v>38537</v>
      </c>
      <c r="AA6" s="26">
        <v>47011</v>
      </c>
      <c r="AB6" s="26">
        <v>55184</v>
      </c>
      <c r="AC6" s="26">
        <v>55656</v>
      </c>
      <c r="AD6" s="26">
        <v>65875</v>
      </c>
      <c r="AE6" s="26">
        <v>60138</v>
      </c>
      <c r="AF6" s="26">
        <v>42588</v>
      </c>
      <c r="AG6" s="26">
        <v>32396</v>
      </c>
    </row>
    <row r="7" spans="1:33">
      <c r="A7" s="25" t="s">
        <v>537</v>
      </c>
      <c r="B7" s="272">
        <v>1323.93</v>
      </c>
      <c r="C7" s="272">
        <v>977.64</v>
      </c>
      <c r="D7" s="272">
        <v>942.36</v>
      </c>
      <c r="E7" s="272">
        <v>611.17999999999995</v>
      </c>
      <c r="F7" s="272">
        <v>855.62</v>
      </c>
      <c r="G7" s="272">
        <v>858.76</v>
      </c>
      <c r="H7" s="333" t="s">
        <v>199</v>
      </c>
      <c r="I7" s="333" t="s">
        <v>199</v>
      </c>
      <c r="J7" s="333" t="s">
        <v>199</v>
      </c>
      <c r="K7" s="333" t="s">
        <v>199</v>
      </c>
      <c r="L7" s="333" t="s">
        <v>199</v>
      </c>
      <c r="M7" s="333" t="s">
        <v>199</v>
      </c>
      <c r="N7" s="27" t="s">
        <v>747</v>
      </c>
      <c r="O7" t="str">
        <f>+A7</f>
        <v>Gross Profit</v>
      </c>
      <c r="P7"/>
      <c r="Q7" s="21" t="s">
        <v>749</v>
      </c>
      <c r="R7" s="21" t="s">
        <v>750</v>
      </c>
      <c r="Z7" s="30">
        <f>Z6-28044</f>
        <v>10493</v>
      </c>
      <c r="AA7" s="30">
        <f>AA6-33546</f>
        <v>13465</v>
      </c>
      <c r="AB7" s="30">
        <f>AB6-40718</f>
        <v>14466</v>
      </c>
      <c r="AC7" s="30">
        <f>AC6-40727</f>
        <v>14929</v>
      </c>
      <c r="AD7" s="31">
        <f>+AD6-47055</f>
        <v>18820</v>
      </c>
      <c r="AE7" s="31">
        <f>+AE6-43578</f>
        <v>16560</v>
      </c>
      <c r="AF7" s="31">
        <f>+AF6-30367</f>
        <v>12221</v>
      </c>
      <c r="AG7" s="31">
        <f>+AG6-23886</f>
        <v>8510</v>
      </c>
    </row>
    <row r="8" spans="1:33">
      <c r="A8" s="25" t="s">
        <v>293</v>
      </c>
      <c r="B8" s="272">
        <v>240.67</v>
      </c>
      <c r="C8" s="272">
        <v>171.65</v>
      </c>
      <c r="D8" s="272">
        <v>141.97</v>
      </c>
      <c r="E8" s="272">
        <v>24.09</v>
      </c>
      <c r="F8" s="272">
        <v>121.16</v>
      </c>
      <c r="G8" s="272">
        <v>125.63</v>
      </c>
      <c r="H8" s="333" t="s">
        <v>199</v>
      </c>
      <c r="I8" s="333" t="s">
        <v>199</v>
      </c>
      <c r="J8" s="333" t="s">
        <v>199</v>
      </c>
      <c r="K8" s="333" t="s">
        <v>199</v>
      </c>
      <c r="L8" s="333" t="s">
        <v>199</v>
      </c>
      <c r="M8" s="333" t="s">
        <v>199</v>
      </c>
      <c r="N8" s="27" t="s">
        <v>747</v>
      </c>
      <c r="O8" t="s">
        <v>293</v>
      </c>
      <c r="P8"/>
      <c r="Q8" s="21" t="s">
        <v>749</v>
      </c>
      <c r="R8" s="32" t="s">
        <v>751</v>
      </c>
      <c r="Z8" s="30">
        <f>Z7-4383</f>
        <v>6110</v>
      </c>
      <c r="AA8" s="30">
        <f>AA7-4951</f>
        <v>8514</v>
      </c>
      <c r="AB8" s="30">
        <f>AB7-6529</f>
        <v>7937</v>
      </c>
      <c r="AC8" s="30">
        <f>AC7-5547</f>
        <v>9382</v>
      </c>
      <c r="AD8" s="31">
        <f>AD7-5919-2466-797-580-485</f>
        <v>8573</v>
      </c>
      <c r="AE8" s="31">
        <f>+AE7-5203-2297-826-1081</f>
        <v>7153</v>
      </c>
      <c r="AF8" s="31">
        <f>+AF7-4248-1905-914-1191</f>
        <v>3963</v>
      </c>
      <c r="AG8" s="31">
        <f>+AG7-3645-1421-1045-1822</f>
        <v>577</v>
      </c>
    </row>
    <row r="9" spans="1:33">
      <c r="A9" s="25" t="s">
        <v>541</v>
      </c>
      <c r="B9" s="272">
        <v>-39.599999999999994</v>
      </c>
      <c r="C9" s="272">
        <v>-51.949999999999996</v>
      </c>
      <c r="D9" s="272">
        <v>-260.31</v>
      </c>
      <c r="E9" s="272">
        <v>-69.81</v>
      </c>
      <c r="F9" s="272">
        <v>-40.899999999999977</v>
      </c>
      <c r="G9" s="272">
        <v>-23.819999999999993</v>
      </c>
      <c r="H9" s="333" t="s">
        <v>199</v>
      </c>
      <c r="I9" s="333" t="s">
        <v>199</v>
      </c>
      <c r="J9" s="333" t="s">
        <v>199</v>
      </c>
      <c r="K9" s="333" t="s">
        <v>199</v>
      </c>
      <c r="L9" s="333" t="s">
        <v>199</v>
      </c>
      <c r="M9" s="333" t="s">
        <v>199</v>
      </c>
      <c r="N9" s="27" t="s">
        <v>747</v>
      </c>
      <c r="O9" t="s">
        <v>752</v>
      </c>
      <c r="P9"/>
      <c r="Q9" s="21" t="s">
        <v>749</v>
      </c>
      <c r="R9" s="21" t="s">
        <v>753</v>
      </c>
      <c r="S9" s="21" t="s">
        <v>754</v>
      </c>
      <c r="T9" s="21" t="s">
        <v>755</v>
      </c>
      <c r="U9" s="21" t="s">
        <v>756</v>
      </c>
      <c r="V9" s="21" t="s">
        <v>757</v>
      </c>
      <c r="Z9" s="30">
        <f>1853+596+595+1904+6+8</f>
        <v>4962</v>
      </c>
      <c r="AA9" s="30">
        <f>2119+587+2023+11</f>
        <v>4740</v>
      </c>
      <c r="AB9" s="30">
        <f>2380+624+1619-8+16</f>
        <v>4631</v>
      </c>
      <c r="AC9" s="30">
        <f>2046+727+981+6+14</f>
        <v>3774</v>
      </c>
      <c r="AD9" s="31">
        <f>-14+41</f>
        <v>27</v>
      </c>
      <c r="AE9" s="30">
        <v>53</v>
      </c>
      <c r="AF9" s="30">
        <f>58+24</f>
        <v>82</v>
      </c>
      <c r="AG9" s="30">
        <f>12-68</f>
        <v>-56</v>
      </c>
    </row>
    <row r="10" spans="1:33">
      <c r="A10" s="25" t="s">
        <v>294</v>
      </c>
      <c r="B10" s="272">
        <v>-33.5</v>
      </c>
      <c r="C10" s="272">
        <v>-27.74</v>
      </c>
      <c r="D10" s="272">
        <v>-6.21</v>
      </c>
      <c r="E10" s="272">
        <v>5.09</v>
      </c>
      <c r="F10" s="272">
        <v>-6.9</v>
      </c>
      <c r="G10" s="272">
        <v>-22.58</v>
      </c>
      <c r="H10" s="333" t="s">
        <v>199</v>
      </c>
      <c r="I10" s="333" t="s">
        <v>199</v>
      </c>
      <c r="J10" s="333" t="s">
        <v>199</v>
      </c>
      <c r="K10" s="333" t="s">
        <v>199</v>
      </c>
      <c r="L10" s="333" t="s">
        <v>199</v>
      </c>
      <c r="M10" s="333" t="s">
        <v>199</v>
      </c>
      <c r="N10" s="27" t="s">
        <v>747</v>
      </c>
      <c r="O10" t="s">
        <v>758</v>
      </c>
      <c r="P10"/>
      <c r="Q10" s="21" t="s">
        <v>749</v>
      </c>
      <c r="R10" s="21" t="s">
        <v>759</v>
      </c>
      <c r="Z10" s="30">
        <f>505+518</f>
        <v>1023</v>
      </c>
      <c r="AA10" s="30">
        <f>507-161</f>
        <v>346</v>
      </c>
      <c r="AB10" s="30">
        <f>484-322</f>
        <v>162</v>
      </c>
      <c r="AC10" s="30">
        <f>465+35</f>
        <v>500</v>
      </c>
      <c r="AD10" s="31">
        <f>467-130</f>
        <v>337</v>
      </c>
      <c r="AE10" s="30">
        <f>396+32</f>
        <v>428</v>
      </c>
      <c r="AF10" s="30">
        <f>343-130</f>
        <v>213</v>
      </c>
      <c r="AG10" s="30">
        <f>389-381</f>
        <v>8</v>
      </c>
    </row>
    <row r="11" spans="1:33">
      <c r="A11" s="25" t="s">
        <v>295</v>
      </c>
      <c r="B11" s="272">
        <v>-36.15</v>
      </c>
      <c r="C11" s="272">
        <v>-37.72</v>
      </c>
      <c r="D11" s="272">
        <v>-36.32</v>
      </c>
      <c r="E11" s="272">
        <v>-17.100000000000001</v>
      </c>
      <c r="F11" s="272">
        <v>-49.02</v>
      </c>
      <c r="G11" s="272">
        <v>-34.700000000000003</v>
      </c>
      <c r="H11" s="333" t="s">
        <v>199</v>
      </c>
      <c r="I11" s="333" t="s">
        <v>199</v>
      </c>
      <c r="J11" s="333" t="s">
        <v>199</v>
      </c>
      <c r="K11" s="333" t="s">
        <v>199</v>
      </c>
      <c r="L11" s="333" t="s">
        <v>199</v>
      </c>
      <c r="M11" s="333" t="s">
        <v>199</v>
      </c>
      <c r="N11" s="27" t="s">
        <v>747</v>
      </c>
      <c r="O11" t="s">
        <v>295</v>
      </c>
      <c r="P11"/>
      <c r="Q11" s="21" t="s">
        <v>749</v>
      </c>
      <c r="R11" s="21" t="s">
        <v>760</v>
      </c>
      <c r="Z11" s="26">
        <v>192</v>
      </c>
      <c r="AA11" s="26">
        <v>916</v>
      </c>
      <c r="AB11" s="26">
        <v>692</v>
      </c>
      <c r="AC11" s="26">
        <v>1319</v>
      </c>
      <c r="AD11" s="29">
        <f>2528</f>
        <v>2528</v>
      </c>
      <c r="AE11" s="26">
        <f>1720</f>
        <v>1720</v>
      </c>
      <c r="AF11" s="26">
        <f>968</f>
        <v>968</v>
      </c>
      <c r="AG11" s="26">
        <f>-270</f>
        <v>-270</v>
      </c>
    </row>
    <row r="12" spans="1:33">
      <c r="A12" s="25" t="s">
        <v>60</v>
      </c>
      <c r="B12" s="272">
        <v>131.41999999999999</v>
      </c>
      <c r="C12" s="272">
        <v>54.24</v>
      </c>
      <c r="D12" s="272">
        <v>-160.87</v>
      </c>
      <c r="E12" s="272">
        <v>-57.73</v>
      </c>
      <c r="F12" s="272">
        <v>24.34</v>
      </c>
      <c r="G12" s="272">
        <v>44.53</v>
      </c>
      <c r="H12" s="272" t="s">
        <v>199</v>
      </c>
      <c r="I12" s="272" t="s">
        <v>199</v>
      </c>
      <c r="J12" s="272" t="s">
        <v>199</v>
      </c>
      <c r="K12" s="272" t="s">
        <v>199</v>
      </c>
      <c r="L12" s="272" t="s">
        <v>199</v>
      </c>
      <c r="M12" s="272" t="s">
        <v>199</v>
      </c>
      <c r="N12" s="27" t="s">
        <v>747</v>
      </c>
      <c r="O12" t="s">
        <v>60</v>
      </c>
      <c r="P12"/>
      <c r="Q12" s="21" t="s">
        <v>761</v>
      </c>
      <c r="R12" s="21" t="s">
        <v>762</v>
      </c>
      <c r="Z12" s="26">
        <v>-67</v>
      </c>
      <c r="AA12" s="26">
        <v>2512</v>
      </c>
      <c r="AB12" s="26">
        <v>2452</v>
      </c>
      <c r="AC12" s="26">
        <v>3789</v>
      </c>
      <c r="AD12" s="26">
        <v>5681</v>
      </c>
      <c r="AE12" s="26">
        <f>4928+24</f>
        <v>4952</v>
      </c>
      <c r="AF12" s="26">
        <v>2700</v>
      </c>
      <c r="AG12" s="26">
        <v>895</v>
      </c>
    </row>
    <row r="13" spans="1:33">
      <c r="B13" s="334">
        <f>SUM(B8:B11)</f>
        <v>131.41999999999999</v>
      </c>
      <c r="C13" s="334">
        <f t="shared" ref="C13:M13" si="1">SUM(C8:C11)</f>
        <v>54.240000000000023</v>
      </c>
      <c r="D13" s="334">
        <f t="shared" si="1"/>
        <v>-160.87</v>
      </c>
      <c r="E13" s="334">
        <f t="shared" si="1"/>
        <v>-57.73</v>
      </c>
      <c r="F13" s="334">
        <f t="shared" si="1"/>
        <v>24.340000000000011</v>
      </c>
      <c r="G13" s="334">
        <f t="shared" si="1"/>
        <v>44.53</v>
      </c>
      <c r="H13" s="334">
        <f t="shared" si="1"/>
        <v>0</v>
      </c>
      <c r="I13" s="334">
        <f t="shared" si="1"/>
        <v>0</v>
      </c>
      <c r="J13" s="334">
        <f t="shared" si="1"/>
        <v>0</v>
      </c>
      <c r="K13" s="334">
        <f t="shared" si="1"/>
        <v>0</v>
      </c>
      <c r="L13" s="334">
        <f t="shared" si="1"/>
        <v>0</v>
      </c>
      <c r="M13" s="334">
        <f t="shared" si="1"/>
        <v>0</v>
      </c>
      <c r="N13"/>
      <c r="O13"/>
      <c r="P13"/>
      <c r="Z13" s="23">
        <f t="shared" ref="Z13:AG13" si="2">Z8-Z10-Z9-Z11</f>
        <v>-67</v>
      </c>
      <c r="AA13" s="23">
        <f t="shared" si="2"/>
        <v>2512</v>
      </c>
      <c r="AB13" s="23">
        <f t="shared" si="2"/>
        <v>2452</v>
      </c>
      <c r="AC13" s="23">
        <f t="shared" si="2"/>
        <v>3789</v>
      </c>
      <c r="AD13" s="23">
        <f t="shared" si="2"/>
        <v>5681</v>
      </c>
      <c r="AE13" s="23">
        <f t="shared" si="2"/>
        <v>4952</v>
      </c>
      <c r="AF13" s="23">
        <f t="shared" si="2"/>
        <v>2700</v>
      </c>
      <c r="AG13" s="23">
        <f t="shared" si="2"/>
        <v>895</v>
      </c>
    </row>
    <row r="14" spans="1:33">
      <c r="A14" s="48" t="s">
        <v>763</v>
      </c>
      <c r="B14" s="335">
        <f>B12-B13</f>
        <v>0</v>
      </c>
      <c r="C14" s="335">
        <f t="shared" ref="C14:G14" si="3">C12-C13</f>
        <v>0</v>
      </c>
      <c r="D14" s="335">
        <f t="shared" si="3"/>
        <v>0</v>
      </c>
      <c r="E14" s="335">
        <f t="shared" si="3"/>
        <v>0</v>
      </c>
      <c r="F14" s="335">
        <f t="shared" si="3"/>
        <v>0</v>
      </c>
      <c r="G14" s="335">
        <f t="shared" si="3"/>
        <v>0</v>
      </c>
      <c r="H14" s="335" t="s">
        <v>199</v>
      </c>
      <c r="I14" s="335" t="s">
        <v>199</v>
      </c>
      <c r="J14" s="335" t="s">
        <v>199</v>
      </c>
      <c r="K14" s="335" t="s">
        <v>199</v>
      </c>
      <c r="L14" s="335" t="s">
        <v>199</v>
      </c>
      <c r="M14" s="335" t="s">
        <v>199</v>
      </c>
      <c r="N14"/>
      <c r="O14"/>
      <c r="P14"/>
      <c r="Z14" s="34">
        <f t="shared" ref="Z14:AG14" si="4">Z12-Z13</f>
        <v>0</v>
      </c>
      <c r="AA14" s="34">
        <f t="shared" si="4"/>
        <v>0</v>
      </c>
      <c r="AB14" s="34">
        <f t="shared" si="4"/>
        <v>0</v>
      </c>
      <c r="AC14" s="34">
        <f t="shared" si="4"/>
        <v>0</v>
      </c>
      <c r="AD14" s="34">
        <f t="shared" si="4"/>
        <v>0</v>
      </c>
      <c r="AE14" s="34">
        <f t="shared" si="4"/>
        <v>0</v>
      </c>
      <c r="AF14" s="34">
        <f t="shared" si="4"/>
        <v>0</v>
      </c>
      <c r="AG14" s="34">
        <f t="shared" si="4"/>
        <v>0</v>
      </c>
    </row>
    <row r="15" spans="1:33">
      <c r="A15"/>
      <c r="B15" s="338"/>
      <c r="C15" s="338"/>
      <c r="D15" s="338"/>
      <c r="E15" s="338"/>
      <c r="F15" s="338"/>
      <c r="G15" s="338"/>
      <c r="H15" s="338"/>
      <c r="I15" s="338"/>
      <c r="J15" s="338"/>
      <c r="K15" s="338"/>
      <c r="L15" s="338"/>
      <c r="M15" s="338"/>
      <c r="N15"/>
      <c r="O15"/>
      <c r="P15"/>
      <c r="Z15" s="26"/>
      <c r="AA15" s="26"/>
      <c r="AB15" s="26"/>
      <c r="AC15" s="26"/>
      <c r="AD15" s="26"/>
      <c r="AE15" s="26"/>
      <c r="AF15" s="26"/>
      <c r="AG15" s="26"/>
    </row>
    <row r="16" spans="1:33">
      <c r="A16" s="25" t="s">
        <v>764</v>
      </c>
      <c r="B16" s="336">
        <v>247.02</v>
      </c>
      <c r="C16" s="336">
        <v>237.55</v>
      </c>
      <c r="D16" s="336">
        <v>203.5</v>
      </c>
      <c r="E16" s="336">
        <v>242.34</v>
      </c>
      <c r="F16" s="336">
        <v>242.34</v>
      </c>
      <c r="G16" s="336">
        <v>242.34</v>
      </c>
      <c r="H16" s="333" t="s">
        <v>199</v>
      </c>
      <c r="I16" s="333" t="s">
        <v>199</v>
      </c>
      <c r="J16" s="333" t="s">
        <v>199</v>
      </c>
      <c r="K16" s="333" t="s">
        <v>199</v>
      </c>
      <c r="L16" s="333" t="s">
        <v>199</v>
      </c>
      <c r="M16" s="333" t="s">
        <v>199</v>
      </c>
      <c r="N16" s="27"/>
      <c r="O16"/>
      <c r="P16"/>
      <c r="Z16" s="26"/>
      <c r="AA16" s="26"/>
      <c r="AB16" s="26"/>
      <c r="AC16" s="26"/>
      <c r="AD16" s="26"/>
      <c r="AE16" s="26"/>
      <c r="AF16" s="26"/>
      <c r="AG16" s="26"/>
    </row>
    <row r="17" spans="1:152">
      <c r="A17" s="25" t="s">
        <v>765</v>
      </c>
      <c r="B17" s="336">
        <v>252.36</v>
      </c>
      <c r="C17" s="336">
        <v>240.65</v>
      </c>
      <c r="D17" s="336">
        <v>203.5</v>
      </c>
      <c r="E17" s="336">
        <v>242.34</v>
      </c>
      <c r="F17" s="336">
        <v>242.34</v>
      </c>
      <c r="G17" s="336">
        <v>242.34</v>
      </c>
      <c r="H17" s="333" t="s">
        <v>199</v>
      </c>
      <c r="I17" s="333" t="s">
        <v>199</v>
      </c>
      <c r="J17" s="333" t="s">
        <v>199</v>
      </c>
      <c r="K17" s="333" t="s">
        <v>199</v>
      </c>
      <c r="L17" s="333" t="s">
        <v>199</v>
      </c>
      <c r="M17" s="333" t="s">
        <v>199</v>
      </c>
      <c r="N17" s="27"/>
      <c r="O17"/>
      <c r="P17"/>
      <c r="Z17" s="26"/>
      <c r="AA17" s="26"/>
      <c r="AB17" s="26"/>
      <c r="AC17" s="26"/>
      <c r="AD17" s="26"/>
      <c r="AE17" s="26"/>
      <c r="AF17" s="26"/>
      <c r="AG17" s="26"/>
    </row>
    <row r="18" spans="1:152" customFormat="1" ht="12.6">
      <c r="B18" s="338"/>
      <c r="C18" s="338"/>
      <c r="D18" s="338"/>
      <c r="E18" s="338"/>
      <c r="F18" s="338"/>
      <c r="G18" s="338"/>
      <c r="H18" s="338"/>
      <c r="I18" s="338"/>
      <c r="J18" s="338"/>
      <c r="K18" s="338"/>
      <c r="L18" s="338"/>
      <c r="M18" s="338"/>
    </row>
    <row r="19" spans="1:152">
      <c r="A19" s="25" t="s">
        <v>766</v>
      </c>
      <c r="B19" s="272">
        <v>-17</v>
      </c>
      <c r="C19" s="272">
        <v>11</v>
      </c>
      <c r="D19" s="272">
        <v>48</v>
      </c>
      <c r="E19" s="272">
        <v>-42</v>
      </c>
      <c r="F19" s="272">
        <v>12</v>
      </c>
      <c r="G19" s="272">
        <v>0</v>
      </c>
      <c r="H19" s="333" t="s">
        <v>199</v>
      </c>
      <c r="I19" s="333" t="s">
        <v>199</v>
      </c>
      <c r="J19" s="333" t="s">
        <v>199</v>
      </c>
      <c r="K19" s="333" t="s">
        <v>199</v>
      </c>
      <c r="L19" s="333" t="s">
        <v>199</v>
      </c>
      <c r="M19" s="333" t="s">
        <v>199</v>
      </c>
      <c r="N19" s="27"/>
      <c r="O19"/>
      <c r="P19"/>
      <c r="Z19" s="26"/>
      <c r="AA19" s="26"/>
      <c r="AB19" s="26"/>
      <c r="AC19" s="26"/>
      <c r="AD19" s="26"/>
      <c r="AE19" s="26"/>
      <c r="AF19" s="26"/>
      <c r="AG19" s="26"/>
    </row>
    <row r="20" spans="1:152">
      <c r="A20" s="9" t="s">
        <v>767</v>
      </c>
      <c r="B20" s="272">
        <v>108.77</v>
      </c>
      <c r="C20" s="272">
        <v>87.34</v>
      </c>
      <c r="D20" s="272">
        <v>-120.77</v>
      </c>
      <c r="E20" s="272">
        <v>-97.47</v>
      </c>
      <c r="F20" s="272">
        <v>36.78</v>
      </c>
      <c r="G20" s="272">
        <v>42.25</v>
      </c>
      <c r="H20" s="333" t="s">
        <v>199</v>
      </c>
      <c r="I20" s="333" t="s">
        <v>199</v>
      </c>
      <c r="J20" s="333" t="s">
        <v>199</v>
      </c>
      <c r="K20" s="333" t="s">
        <v>199</v>
      </c>
      <c r="L20" s="333" t="s">
        <v>199</v>
      </c>
      <c r="M20" s="333" t="s">
        <v>199</v>
      </c>
      <c r="N20" s="27"/>
      <c r="O20"/>
      <c r="P20"/>
      <c r="Z20" s="26"/>
      <c r="AA20" s="26"/>
      <c r="AB20" s="26"/>
      <c r="AC20" s="26"/>
      <c r="AD20" s="26"/>
      <c r="AE20" s="26"/>
      <c r="AF20" s="26"/>
      <c r="AG20" s="26"/>
    </row>
    <row r="21" spans="1:152" customFormat="1" ht="12.6">
      <c r="B21" s="338"/>
      <c r="C21" s="338"/>
      <c r="D21" s="338"/>
      <c r="E21" s="338"/>
      <c r="F21" s="338"/>
      <c r="G21" s="338"/>
      <c r="H21" s="338"/>
      <c r="I21" s="338"/>
      <c r="J21" s="338"/>
      <c r="K21" s="338"/>
      <c r="L21" s="338"/>
      <c r="M21" s="338"/>
    </row>
    <row r="22" spans="1:152">
      <c r="A22" s="21" t="s">
        <v>542</v>
      </c>
      <c r="B22" s="334">
        <f t="shared" ref="B22:E22" si="5">B23-C23</f>
        <v>-199.0100000000001</v>
      </c>
      <c r="C22" s="334">
        <f t="shared" si="5"/>
        <v>-76.480000000000018</v>
      </c>
      <c r="D22" s="334">
        <f>D23-E23</f>
        <v>-218.88</v>
      </c>
      <c r="E22" s="334">
        <f t="shared" si="5"/>
        <v>-9.1699999999999591</v>
      </c>
      <c r="F22" s="334" t="s">
        <v>199</v>
      </c>
      <c r="G22" s="334" t="s">
        <v>199</v>
      </c>
      <c r="H22" s="334" t="s">
        <v>199</v>
      </c>
      <c r="I22" s="334" t="s">
        <v>199</v>
      </c>
      <c r="J22" s="334" t="s">
        <v>199</v>
      </c>
      <c r="K22" s="334" t="s">
        <v>199</v>
      </c>
      <c r="L22" s="334" t="s">
        <v>199</v>
      </c>
      <c r="M22" s="334" t="s">
        <v>199</v>
      </c>
      <c r="N22" s="33" t="s">
        <v>768</v>
      </c>
      <c r="O22" t="s">
        <v>769</v>
      </c>
      <c r="P22"/>
      <c r="Q22" s="21" t="s">
        <v>761</v>
      </c>
      <c r="Z22" s="26"/>
      <c r="AA22" s="26"/>
      <c r="AB22" s="26"/>
      <c r="AC22" s="26"/>
      <c r="AD22" s="29"/>
      <c r="AE22" s="26"/>
      <c r="AF22" s="26"/>
      <c r="AG22" s="26"/>
    </row>
    <row r="23" spans="1:152">
      <c r="A23" s="25" t="s">
        <v>770</v>
      </c>
      <c r="B23" s="272">
        <f t="shared" ref="B23" si="6">B27-B42-B28</f>
        <v>-22.940000000000055</v>
      </c>
      <c r="C23" s="272">
        <f t="shared" ref="C23:F23" si="7">C27-C42-C28</f>
        <v>176.07000000000005</v>
      </c>
      <c r="D23" s="272">
        <f t="shared" si="7"/>
        <v>252.55000000000007</v>
      </c>
      <c r="E23" s="272">
        <f t="shared" si="7"/>
        <v>471.43000000000006</v>
      </c>
      <c r="F23" s="272">
        <f t="shared" si="7"/>
        <v>480.6</v>
      </c>
      <c r="G23" s="272" t="s">
        <v>199</v>
      </c>
      <c r="H23" s="272" t="s">
        <v>199</v>
      </c>
      <c r="I23" s="272" t="s">
        <v>199</v>
      </c>
      <c r="J23" s="272" t="s">
        <v>199</v>
      </c>
      <c r="K23" s="272" t="s">
        <v>199</v>
      </c>
      <c r="L23" s="272" t="s">
        <v>199</v>
      </c>
      <c r="M23" s="272" t="s">
        <v>199</v>
      </c>
      <c r="N23" s="33"/>
      <c r="O23"/>
      <c r="P23"/>
      <c r="Z23" s="26"/>
      <c r="AA23" s="26"/>
      <c r="AB23" s="26"/>
      <c r="AC23" s="26"/>
      <c r="AD23" s="29"/>
      <c r="AE23" s="26"/>
      <c r="AF23" s="26"/>
      <c r="AG23" s="26"/>
    </row>
    <row r="24" spans="1:152">
      <c r="A24" s="7">
        <v>2625</v>
      </c>
      <c r="B24" s="339">
        <v>2625</v>
      </c>
      <c r="C24" s="339">
        <v>2625</v>
      </c>
      <c r="D24" s="339">
        <v>2625</v>
      </c>
      <c r="E24" s="339">
        <v>2625</v>
      </c>
      <c r="F24" s="339">
        <v>2625</v>
      </c>
      <c r="G24" s="339">
        <v>2625</v>
      </c>
      <c r="H24" s="339">
        <v>2625</v>
      </c>
      <c r="I24" s="339">
        <v>2625</v>
      </c>
      <c r="J24" s="339">
        <v>2625</v>
      </c>
      <c r="K24" s="339">
        <v>2625</v>
      </c>
      <c r="L24" s="339">
        <v>2625</v>
      </c>
      <c r="M24" s="339">
        <v>2625</v>
      </c>
      <c r="N24" s="7">
        <v>2625</v>
      </c>
      <c r="O24"/>
      <c r="P24"/>
      <c r="Q24" s="21" t="s">
        <v>761</v>
      </c>
      <c r="R24" s="21" t="s">
        <v>771</v>
      </c>
      <c r="T24" s="21" t="s">
        <v>772</v>
      </c>
      <c r="Z24" s="26">
        <v>1799</v>
      </c>
      <c r="AA24" s="26">
        <v>1757</v>
      </c>
      <c r="AB24" s="26">
        <v>1620</v>
      </c>
      <c r="AC24" s="26">
        <v>1111</v>
      </c>
      <c r="AD24" s="26">
        <v>1617</v>
      </c>
      <c r="AE24" s="26">
        <v>1159</v>
      </c>
      <c r="AF24" s="26">
        <v>1084</v>
      </c>
      <c r="AG24" s="26">
        <v>1029</v>
      </c>
    </row>
    <row r="25" spans="1:152">
      <c r="A25" s="48" t="s">
        <v>465</v>
      </c>
      <c r="B25" s="339">
        <v>2625</v>
      </c>
      <c r="C25" s="339">
        <v>2625</v>
      </c>
      <c r="D25" s="339">
        <v>2625</v>
      </c>
      <c r="E25" s="339">
        <v>2625</v>
      </c>
      <c r="F25" s="339">
        <v>2625</v>
      </c>
      <c r="G25" s="339">
        <v>2625</v>
      </c>
      <c r="H25" s="339">
        <v>2625</v>
      </c>
      <c r="I25" s="339">
        <v>2625</v>
      </c>
      <c r="J25" s="339">
        <v>2625</v>
      </c>
      <c r="K25" s="339">
        <v>2625</v>
      </c>
      <c r="L25" s="339">
        <v>2625</v>
      </c>
      <c r="M25" s="339">
        <v>2625</v>
      </c>
      <c r="N25" s="7">
        <v>2625</v>
      </c>
      <c r="O25"/>
      <c r="P25"/>
      <c r="Q25" s="21" t="s">
        <v>761</v>
      </c>
      <c r="R25" s="21" t="s">
        <v>773</v>
      </c>
      <c r="S25" s="21" t="s">
        <v>774</v>
      </c>
      <c r="T25" s="21" t="s">
        <v>775</v>
      </c>
      <c r="Z25" s="26">
        <v>23</v>
      </c>
      <c r="AA25" s="26">
        <f>-33+2025</f>
        <v>1992</v>
      </c>
      <c r="AB25" s="26">
        <v>3817</v>
      </c>
      <c r="AC25" s="26">
        <v>1776</v>
      </c>
      <c r="AD25" s="26">
        <v>-244</v>
      </c>
      <c r="AE25" s="26">
        <v>-312</v>
      </c>
      <c r="AF25" s="26">
        <v>-449</v>
      </c>
      <c r="AG25" s="26">
        <v>-110</v>
      </c>
    </row>
    <row r="26" spans="1:152">
      <c r="A26" s="103" t="s">
        <v>776</v>
      </c>
      <c r="B26" s="394"/>
      <c r="C26" s="394"/>
      <c r="D26" s="394"/>
      <c r="E26" s="394"/>
      <c r="F26" s="394"/>
      <c r="G26" s="394"/>
      <c r="H26" s="394"/>
      <c r="I26" s="394"/>
      <c r="J26" s="394"/>
      <c r="K26" s="394"/>
      <c r="L26" s="394"/>
      <c r="M26" s="394"/>
      <c r="N26" s="7">
        <v>1922</v>
      </c>
      <c r="O26" s="7">
        <v>2625</v>
      </c>
      <c r="P26"/>
      <c r="S26" s="21" t="e" cm="1">
        <f t="array" ref="S26">Inputs!B65P26</f>
        <v>#NAME?</v>
      </c>
      <c r="Z26" s="26"/>
      <c r="AA26" s="26"/>
      <c r="AB26" s="26"/>
      <c r="AC26" s="26"/>
      <c r="AD26" s="26"/>
      <c r="AE26" s="26"/>
      <c r="AF26" s="26"/>
      <c r="AG26" s="26"/>
    </row>
    <row r="27" spans="1:152">
      <c r="A27" s="9" t="s">
        <v>777</v>
      </c>
      <c r="B27" s="271">
        <v>1421.03</v>
      </c>
      <c r="C27" s="271">
        <v>1375.92</v>
      </c>
      <c r="D27" s="271">
        <v>1573.94</v>
      </c>
      <c r="E27" s="271">
        <v>1513.38</v>
      </c>
      <c r="F27" s="271">
        <v>1397.47</v>
      </c>
      <c r="G27" s="271"/>
      <c r="H27" s="271"/>
      <c r="I27" s="271"/>
      <c r="J27" s="271"/>
      <c r="K27" s="271"/>
      <c r="L27" s="271"/>
      <c r="M27" s="271"/>
      <c r="N27" s="7"/>
      <c r="O27" s="7"/>
      <c r="P27"/>
      <c r="Z27" s="26"/>
      <c r="AA27" s="26"/>
      <c r="AB27" s="26"/>
      <c r="AC27" s="26"/>
      <c r="AD27" s="26"/>
      <c r="AE27" s="26"/>
      <c r="AF27" s="26"/>
      <c r="AG27" s="26"/>
    </row>
    <row r="28" spans="1:152">
      <c r="A28" s="100" t="s">
        <v>298</v>
      </c>
      <c r="B28" s="272">
        <v>327</v>
      </c>
      <c r="C28" s="272">
        <v>272</v>
      </c>
      <c r="D28" s="272">
        <v>523</v>
      </c>
      <c r="E28" s="272">
        <v>388</v>
      </c>
      <c r="F28" s="272">
        <v>236</v>
      </c>
      <c r="G28" s="272" t="s">
        <v>199</v>
      </c>
      <c r="H28" s="272" t="s">
        <v>199</v>
      </c>
      <c r="I28" s="272" t="s">
        <v>199</v>
      </c>
      <c r="J28" s="272" t="s">
        <v>199</v>
      </c>
      <c r="K28" s="272" t="s">
        <v>199</v>
      </c>
      <c r="L28" s="272" t="s">
        <v>199</v>
      </c>
      <c r="M28" s="272" t="s">
        <v>199</v>
      </c>
      <c r="N28" s="36" t="s">
        <v>778</v>
      </c>
      <c r="O28" t="s">
        <v>298</v>
      </c>
      <c r="P28"/>
      <c r="Z28" s="35"/>
      <c r="AA28" s="35"/>
      <c r="AB28" s="35"/>
      <c r="AC28" s="35"/>
      <c r="AD28" s="35"/>
      <c r="AE28" s="34"/>
      <c r="AF28" s="34"/>
      <c r="AG28" s="34"/>
    </row>
    <row r="29" spans="1:152">
      <c r="A29" s="101" t="s">
        <v>551</v>
      </c>
      <c r="B29" s="272">
        <v>273</v>
      </c>
      <c r="C29" s="272">
        <v>197</v>
      </c>
      <c r="D29" s="272">
        <v>190</v>
      </c>
      <c r="E29" s="272">
        <v>180</v>
      </c>
      <c r="F29" s="272">
        <v>206</v>
      </c>
      <c r="G29" s="272" t="s">
        <v>199</v>
      </c>
      <c r="H29" s="272" t="s">
        <v>199</v>
      </c>
      <c r="I29" s="272" t="s">
        <v>199</v>
      </c>
      <c r="J29" s="272" t="s">
        <v>199</v>
      </c>
      <c r="K29" s="272" t="s">
        <v>199</v>
      </c>
      <c r="L29" s="272" t="s">
        <v>199</v>
      </c>
      <c r="M29" s="272" t="s">
        <v>199</v>
      </c>
      <c r="N29" s="36" t="s">
        <v>778</v>
      </c>
      <c r="O29" t="s">
        <v>551</v>
      </c>
      <c r="P29"/>
      <c r="Z29" s="35"/>
      <c r="AA29" s="35"/>
      <c r="AB29" s="35"/>
      <c r="AC29" s="35"/>
      <c r="AD29" s="35"/>
      <c r="AE29" s="34"/>
      <c r="AF29" s="34"/>
      <c r="AG29" s="34"/>
    </row>
    <row r="30" spans="1:152">
      <c r="A30" s="100" t="s">
        <v>300</v>
      </c>
      <c r="B30" s="272">
        <v>577</v>
      </c>
      <c r="C30" s="272">
        <v>440</v>
      </c>
      <c r="D30" s="272">
        <v>385</v>
      </c>
      <c r="E30" s="272">
        <v>393</v>
      </c>
      <c r="F30" s="272">
        <v>353</v>
      </c>
      <c r="G30" s="272" t="s">
        <v>199</v>
      </c>
      <c r="H30" s="272" t="s">
        <v>199</v>
      </c>
      <c r="I30" s="272" t="s">
        <v>199</v>
      </c>
      <c r="J30" s="272" t="s">
        <v>199</v>
      </c>
      <c r="K30" s="272" t="s">
        <v>199</v>
      </c>
      <c r="L30" s="272" t="s">
        <v>199</v>
      </c>
      <c r="M30" s="272" t="s">
        <v>199</v>
      </c>
      <c r="N30" s="36" t="s">
        <v>778</v>
      </c>
      <c r="O30" t="s">
        <v>300</v>
      </c>
      <c r="P30"/>
      <c r="Q30" s="21" t="s">
        <v>779</v>
      </c>
      <c r="R30" s="21" t="s">
        <v>780</v>
      </c>
      <c r="Z30" s="26">
        <v>7168</v>
      </c>
      <c r="AA30" s="26">
        <v>6460</v>
      </c>
      <c r="AB30" s="26">
        <v>7341</v>
      </c>
      <c r="AC30" s="26">
        <v>6081</v>
      </c>
      <c r="AD30" s="26">
        <v>5490</v>
      </c>
      <c r="AE30" s="26">
        <v>3057</v>
      </c>
      <c r="AF30" s="26">
        <v>3592</v>
      </c>
      <c r="AG30" s="26">
        <v>4867</v>
      </c>
    </row>
    <row r="31" spans="1:152" s="22" customFormat="1">
      <c r="A31" s="100" t="s">
        <v>781</v>
      </c>
      <c r="B31" s="272">
        <f t="shared" ref="B31" si="8">B27-SUM(B28:B30)</f>
        <v>244.02999999999997</v>
      </c>
      <c r="C31" s="272">
        <f t="shared" ref="C31:M31" si="9">C27-SUM(C28:C30)</f>
        <v>466.92000000000007</v>
      </c>
      <c r="D31" s="272">
        <f t="shared" si="9"/>
        <v>475.94000000000005</v>
      </c>
      <c r="E31" s="272">
        <f t="shared" si="9"/>
        <v>552.38000000000011</v>
      </c>
      <c r="F31" s="272">
        <f t="shared" si="9"/>
        <v>602.47</v>
      </c>
      <c r="G31" s="272">
        <f t="shared" si="9"/>
        <v>0</v>
      </c>
      <c r="H31" s="272">
        <f t="shared" si="9"/>
        <v>0</v>
      </c>
      <c r="I31" s="272">
        <f t="shared" si="9"/>
        <v>0</v>
      </c>
      <c r="J31" s="272">
        <f t="shared" si="9"/>
        <v>0</v>
      </c>
      <c r="K31" s="272">
        <f t="shared" si="9"/>
        <v>0</v>
      </c>
      <c r="L31" s="272">
        <f t="shared" si="9"/>
        <v>0</v>
      </c>
      <c r="M31" s="272">
        <f t="shared" si="9"/>
        <v>0</v>
      </c>
      <c r="N31" s="36" t="s">
        <v>778</v>
      </c>
      <c r="O31" t="s">
        <v>300</v>
      </c>
      <c r="P31"/>
      <c r="Q31" s="21" t="s">
        <v>779</v>
      </c>
      <c r="R31" s="21" t="s">
        <v>782</v>
      </c>
      <c r="S31" s="21" t="s">
        <v>783</v>
      </c>
      <c r="T31" s="21" t="s">
        <v>784</v>
      </c>
      <c r="U31" s="21"/>
      <c r="V31" s="21"/>
      <c r="W31" s="21"/>
      <c r="X31" s="21"/>
      <c r="Y31" s="21"/>
      <c r="Z31" s="30">
        <f>5981+8522+1029+13556</f>
        <v>29088</v>
      </c>
      <c r="AA31" s="30">
        <f>6695+8991+1170+13651</f>
        <v>30507</v>
      </c>
      <c r="AB31" s="30">
        <f>7737+9027+1364+14644</f>
        <v>32772</v>
      </c>
      <c r="AC31" s="30">
        <v>33499</v>
      </c>
      <c r="AD31" s="30">
        <v>33911</v>
      </c>
      <c r="AE31" s="30">
        <v>31031</v>
      </c>
      <c r="AF31" s="30">
        <v>28849</v>
      </c>
      <c r="AG31" s="30">
        <v>27162</v>
      </c>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1"/>
      <c r="BJ31" s="21"/>
      <c r="BK31" s="21"/>
      <c r="BL31" s="21"/>
      <c r="BM31" s="21"/>
      <c r="BN31" s="21"/>
      <c r="BO31" s="21"/>
      <c r="BP31" s="21"/>
      <c r="BQ31" s="21"/>
      <c r="BR31" s="21"/>
      <c r="BS31" s="21"/>
      <c r="BT31" s="21"/>
      <c r="BU31" s="21"/>
      <c r="BV31" s="21"/>
      <c r="BW31" s="21"/>
      <c r="BX31" s="21"/>
      <c r="BY31" s="21"/>
      <c r="BZ31" s="21"/>
      <c r="CA31" s="21"/>
      <c r="CB31" s="21"/>
      <c r="CC31" s="21"/>
      <c r="CD31" s="21"/>
      <c r="CE31" s="21"/>
      <c r="CF31" s="21"/>
      <c r="CG31" s="21"/>
      <c r="CH31" s="21"/>
      <c r="CI31" s="21"/>
      <c r="CJ31" s="21"/>
      <c r="CK31" s="21"/>
      <c r="CL31" s="21"/>
      <c r="CM31" s="21"/>
      <c r="CN31" s="21"/>
      <c r="CO31" s="21"/>
      <c r="CP31" s="21"/>
      <c r="CQ31" s="21"/>
      <c r="CR31" s="21"/>
      <c r="CS31" s="21"/>
      <c r="CT31" s="21"/>
      <c r="CU31" s="21"/>
      <c r="CV31" s="21"/>
      <c r="CW31" s="21"/>
      <c r="CX31" s="21"/>
      <c r="CY31" s="21"/>
      <c r="CZ31" s="21"/>
      <c r="DA31" s="21"/>
      <c r="DB31" s="21"/>
      <c r="DC31" s="21"/>
      <c r="DD31" s="21"/>
      <c r="DE31" s="21"/>
      <c r="DF31" s="21"/>
      <c r="DG31" s="21"/>
      <c r="DH31" s="21"/>
      <c r="DI31" s="21"/>
      <c r="DJ31" s="21"/>
      <c r="DK31" s="21"/>
      <c r="DL31" s="21"/>
      <c r="DM31" s="21"/>
      <c r="DN31" s="21"/>
      <c r="DO31" s="21"/>
      <c r="DP31" s="21"/>
      <c r="DQ31" s="21"/>
      <c r="DR31" s="21"/>
      <c r="DS31" s="21"/>
      <c r="DT31" s="21"/>
      <c r="DU31" s="21"/>
      <c r="DV31" s="21"/>
      <c r="DW31" s="21"/>
      <c r="DX31" s="21"/>
      <c r="DY31" s="21"/>
      <c r="DZ31" s="21"/>
      <c r="EA31" s="21"/>
      <c r="EB31" s="21"/>
      <c r="EC31" s="21"/>
      <c r="ED31" s="21"/>
      <c r="EE31" s="21"/>
      <c r="EF31" s="21"/>
      <c r="EG31" s="21"/>
      <c r="EH31" s="21"/>
      <c r="EI31" s="21"/>
      <c r="EJ31" s="21"/>
      <c r="EK31" s="21"/>
      <c r="EL31" s="21"/>
      <c r="EM31" s="21"/>
      <c r="EN31" s="21"/>
      <c r="EO31" s="21"/>
      <c r="EP31" s="21"/>
      <c r="EQ31" s="21"/>
      <c r="ER31" s="21"/>
      <c r="ES31" s="21"/>
      <c r="ET31" s="21"/>
      <c r="EU31" s="21"/>
      <c r="EV31" s="21"/>
    </row>
    <row r="32" spans="1:152" s="22" customFormat="1">
      <c r="A32" s="9" t="s">
        <v>785</v>
      </c>
      <c r="B32" s="271">
        <f t="shared" ref="B32:M32" si="10">B38-B27</f>
        <v>1632.6299999999999</v>
      </c>
      <c r="C32" s="271">
        <f t="shared" si="10"/>
        <v>1221.1799999999998</v>
      </c>
      <c r="D32" s="271">
        <f t="shared" si="10"/>
        <v>1220.0099999999998</v>
      </c>
      <c r="E32" s="271">
        <f t="shared" si="10"/>
        <v>1436.12</v>
      </c>
      <c r="F32" s="271">
        <f t="shared" si="10"/>
        <v>1561.3</v>
      </c>
      <c r="G32" s="271">
        <f t="shared" si="10"/>
        <v>0</v>
      </c>
      <c r="H32" s="271">
        <f t="shared" si="10"/>
        <v>0</v>
      </c>
      <c r="I32" s="271">
        <f t="shared" si="10"/>
        <v>0</v>
      </c>
      <c r="J32" s="271">
        <f t="shared" si="10"/>
        <v>0</v>
      </c>
      <c r="K32" s="271">
        <f t="shared" si="10"/>
        <v>0</v>
      </c>
      <c r="L32" s="271">
        <f t="shared" si="10"/>
        <v>0</v>
      </c>
      <c r="M32" s="271">
        <f t="shared" si="10"/>
        <v>0</v>
      </c>
      <c r="N32" s="36"/>
      <c r="O32"/>
      <c r="P32"/>
      <c r="Q32" s="21"/>
      <c r="R32" s="21"/>
      <c r="S32" s="21"/>
      <c r="T32" s="21"/>
      <c r="U32" s="21"/>
      <c r="V32" s="21"/>
      <c r="W32" s="21"/>
      <c r="X32" s="21"/>
      <c r="Y32" s="21"/>
      <c r="Z32" s="30"/>
      <c r="AA32" s="30"/>
      <c r="AB32" s="30"/>
      <c r="AC32" s="30"/>
      <c r="AD32" s="30"/>
      <c r="AE32" s="30"/>
      <c r="AF32" s="30"/>
      <c r="AG32" s="30"/>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c r="BM32" s="21"/>
      <c r="BN32" s="21"/>
      <c r="BO32" s="21"/>
      <c r="BP32" s="21"/>
      <c r="BQ32" s="21"/>
      <c r="BR32" s="21"/>
      <c r="BS32" s="21"/>
      <c r="BT32" s="21"/>
      <c r="BU32" s="21"/>
      <c r="BV32" s="21"/>
      <c r="BW32" s="21"/>
      <c r="BX32" s="21"/>
      <c r="BY32" s="21"/>
      <c r="BZ32" s="21"/>
      <c r="CA32" s="21"/>
      <c r="CB32" s="21"/>
      <c r="CC32" s="21"/>
      <c r="CD32" s="21"/>
      <c r="CE32" s="21"/>
      <c r="CF32" s="21"/>
      <c r="CG32" s="21"/>
      <c r="CH32" s="21"/>
      <c r="CI32" s="21"/>
      <c r="CJ32" s="21"/>
      <c r="CK32" s="21"/>
      <c r="CL32" s="21"/>
      <c r="CM32" s="21"/>
      <c r="CN32" s="21"/>
      <c r="CO32" s="21"/>
      <c r="CP32" s="21"/>
      <c r="CQ32" s="21"/>
      <c r="CR32" s="21"/>
      <c r="CS32" s="21"/>
      <c r="CT32" s="21"/>
      <c r="CU32" s="21"/>
      <c r="CV32" s="21"/>
      <c r="CW32" s="21"/>
      <c r="CX32" s="21"/>
      <c r="CY32" s="21"/>
      <c r="CZ32" s="21"/>
      <c r="DA32" s="21"/>
      <c r="DB32" s="21"/>
      <c r="DC32" s="21"/>
      <c r="DD32" s="21"/>
      <c r="DE32" s="21"/>
      <c r="DF32" s="21"/>
      <c r="DG32" s="21"/>
      <c r="DH32" s="21"/>
      <c r="DI32" s="21"/>
      <c r="DJ32" s="21"/>
      <c r="DK32" s="21"/>
      <c r="DL32" s="21"/>
      <c r="DM32" s="21"/>
      <c r="DN32" s="21"/>
      <c r="DO32" s="21"/>
      <c r="DP32" s="21"/>
      <c r="DQ32" s="21"/>
      <c r="DR32" s="21"/>
      <c r="DS32" s="21"/>
      <c r="DT32" s="21"/>
      <c r="DU32" s="21"/>
      <c r="DV32" s="21"/>
      <c r="DW32" s="21"/>
      <c r="DX32" s="21"/>
      <c r="DY32" s="21"/>
      <c r="DZ32" s="21"/>
      <c r="EA32" s="21"/>
      <c r="EB32" s="21"/>
      <c r="EC32" s="21"/>
      <c r="ED32" s="21"/>
      <c r="EE32" s="21"/>
      <c r="EF32" s="21"/>
      <c r="EG32" s="21"/>
      <c r="EH32" s="21"/>
      <c r="EI32" s="21"/>
      <c r="EJ32" s="21"/>
      <c r="EK32" s="21"/>
      <c r="EL32" s="21"/>
      <c r="EM32" s="21"/>
      <c r="EN32" s="21"/>
      <c r="EO32" s="21"/>
      <c r="EP32" s="21"/>
      <c r="EQ32" s="21"/>
      <c r="ER32" s="21"/>
      <c r="ES32" s="21"/>
      <c r="ET32" s="21"/>
      <c r="EU32" s="21"/>
      <c r="EV32" s="21"/>
    </row>
    <row r="33" spans="1:33">
      <c r="A33" s="102" t="s">
        <v>552</v>
      </c>
      <c r="B33" s="272">
        <v>765.41</v>
      </c>
      <c r="C33" s="272">
        <v>536.87</v>
      </c>
      <c r="D33" s="272">
        <v>547.88</v>
      </c>
      <c r="E33" s="272">
        <v>727.62</v>
      </c>
      <c r="F33" s="272">
        <v>823.91</v>
      </c>
      <c r="G33" s="272" t="s">
        <v>199</v>
      </c>
      <c r="H33" s="272" t="s">
        <v>199</v>
      </c>
      <c r="I33" s="272" t="s">
        <v>199</v>
      </c>
      <c r="J33" s="272" t="s">
        <v>199</v>
      </c>
      <c r="K33" s="272" t="s">
        <v>199</v>
      </c>
      <c r="L33" s="272" t="s">
        <v>199</v>
      </c>
      <c r="M33" s="272" t="s">
        <v>199</v>
      </c>
      <c r="N33" s="36"/>
      <c r="O33"/>
      <c r="P33"/>
      <c r="Q33" s="21" t="s">
        <v>779</v>
      </c>
      <c r="R33" s="21" t="s">
        <v>786</v>
      </c>
      <c r="Z33" s="26">
        <v>8614</v>
      </c>
      <c r="AA33" s="26">
        <v>9700</v>
      </c>
      <c r="AB33" s="26">
        <v>12205</v>
      </c>
      <c r="AC33" s="26">
        <v>12625</v>
      </c>
      <c r="AD33" s="26">
        <v>15547</v>
      </c>
      <c r="AE33" s="26">
        <v>14544</v>
      </c>
      <c r="AF33" s="26">
        <v>9587</v>
      </c>
      <c r="AG33" s="26">
        <v>6360</v>
      </c>
    </row>
    <row r="34" spans="1:33">
      <c r="A34" s="102" t="s">
        <v>787</v>
      </c>
      <c r="B34" s="272">
        <v>589.27</v>
      </c>
      <c r="C34" s="272">
        <v>401.87</v>
      </c>
      <c r="D34" s="272">
        <v>421.15</v>
      </c>
      <c r="E34" s="272">
        <v>429.47</v>
      </c>
      <c r="F34" s="272">
        <v>514.91999999999996</v>
      </c>
      <c r="G34" s="272" t="s">
        <v>199</v>
      </c>
      <c r="H34" s="272" t="s">
        <v>199</v>
      </c>
      <c r="I34" s="272" t="s">
        <v>199</v>
      </c>
      <c r="J34" s="272" t="s">
        <v>199</v>
      </c>
      <c r="K34" s="272" t="s">
        <v>199</v>
      </c>
      <c r="L34" s="272" t="s">
        <v>199</v>
      </c>
      <c r="M34" s="272" t="s">
        <v>199</v>
      </c>
      <c r="N34" s="36"/>
      <c r="O34"/>
      <c r="P34"/>
      <c r="Z34" s="26"/>
      <c r="AA34" s="26"/>
      <c r="AB34" s="26"/>
      <c r="AC34" s="26"/>
      <c r="AD34" s="26"/>
      <c r="AE34" s="26"/>
      <c r="AF34" s="26"/>
      <c r="AG34" s="26"/>
    </row>
    <row r="35" spans="1:33">
      <c r="A35" s="102" t="s">
        <v>788</v>
      </c>
      <c r="B35" s="272">
        <v>20.71</v>
      </c>
      <c r="C35" s="272">
        <v>24.24</v>
      </c>
      <c r="D35" s="272">
        <v>25.52</v>
      </c>
      <c r="E35" s="272">
        <v>46.99</v>
      </c>
      <c r="F35" s="272">
        <v>51.86</v>
      </c>
      <c r="G35" s="272" t="s">
        <v>199</v>
      </c>
      <c r="H35" s="272" t="s">
        <v>199</v>
      </c>
      <c r="I35" s="272" t="s">
        <v>199</v>
      </c>
      <c r="J35" s="272" t="s">
        <v>199</v>
      </c>
      <c r="K35" s="272" t="s">
        <v>199</v>
      </c>
      <c r="L35" s="272" t="s">
        <v>199</v>
      </c>
      <c r="M35" s="272" t="s">
        <v>199</v>
      </c>
      <c r="N35" s="36"/>
      <c r="O35"/>
      <c r="P35"/>
      <c r="Z35" s="26"/>
      <c r="AA35" s="26"/>
      <c r="AB35" s="26"/>
      <c r="AC35" s="26"/>
      <c r="AD35" s="26"/>
      <c r="AE35" s="26"/>
      <c r="AF35" s="26"/>
      <c r="AG35" s="26"/>
    </row>
    <row r="36" spans="1:33">
      <c r="A36" s="102" t="s">
        <v>789</v>
      </c>
      <c r="B36" s="272">
        <f t="shared" ref="B36" si="11">B32-SUM(B33:B35)</f>
        <v>257.24</v>
      </c>
      <c r="C36" s="272">
        <f t="shared" ref="C36" si="12">C32-SUM(C33:C35)</f>
        <v>258.19999999999982</v>
      </c>
      <c r="D36" s="272">
        <f t="shared" ref="D36" si="13">D32-SUM(D33:D35)</f>
        <v>225.45999999999981</v>
      </c>
      <c r="E36" s="272">
        <f>E32-SUM(E33:E35)</f>
        <v>232.03999999999974</v>
      </c>
      <c r="F36" s="272">
        <f t="shared" ref="F36" si="14">F32-SUM(F33:F35)</f>
        <v>170.61000000000013</v>
      </c>
      <c r="G36" s="272">
        <f t="shared" ref="G36" si="15">G32-SUM(G33:G35)</f>
        <v>0</v>
      </c>
      <c r="H36" s="272">
        <f t="shared" ref="H36" si="16">H32-SUM(H33:H35)</f>
        <v>0</v>
      </c>
      <c r="I36" s="272">
        <f t="shared" ref="I36" si="17">I32-SUM(I33:I35)</f>
        <v>0</v>
      </c>
      <c r="J36" s="272">
        <f t="shared" ref="J36" si="18">J32-SUM(J33:J35)</f>
        <v>0</v>
      </c>
      <c r="K36" s="272">
        <f t="shared" ref="K36" si="19">K32-SUM(K33:K35)</f>
        <v>0</v>
      </c>
      <c r="L36" s="272">
        <f t="shared" ref="L36" si="20">L32-SUM(L33:L35)</f>
        <v>0</v>
      </c>
      <c r="M36" s="272">
        <f t="shared" ref="M36" si="21">M32-SUM(M33:M35)</f>
        <v>0</v>
      </c>
      <c r="N36" s="36" t="s">
        <v>778</v>
      </c>
      <c r="O36" t="s">
        <v>552</v>
      </c>
      <c r="P36"/>
      <c r="Z36" s="26"/>
      <c r="AA36" s="26"/>
      <c r="AB36" s="26"/>
      <c r="AC36" s="26"/>
      <c r="AD36" s="26"/>
      <c r="AE36" s="26"/>
      <c r="AF36" s="26"/>
      <c r="AG36" s="26"/>
    </row>
    <row r="37" spans="1:33">
      <c r="A37" s="21" t="s">
        <v>553</v>
      </c>
      <c r="B37" s="334">
        <f>B31+B36</f>
        <v>501.27</v>
      </c>
      <c r="C37" s="334">
        <f>C31+C36</f>
        <v>725.11999999999989</v>
      </c>
      <c r="D37" s="334">
        <f t="shared" ref="D37:M37" si="22">D31+D36</f>
        <v>701.39999999999986</v>
      </c>
      <c r="E37" s="334">
        <f t="shared" si="22"/>
        <v>784.41999999999985</v>
      </c>
      <c r="F37" s="334">
        <f t="shared" si="22"/>
        <v>773.08000000000015</v>
      </c>
      <c r="G37" s="334">
        <f t="shared" si="22"/>
        <v>0</v>
      </c>
      <c r="H37" s="334">
        <f t="shared" si="22"/>
        <v>0</v>
      </c>
      <c r="I37" s="334">
        <f t="shared" si="22"/>
        <v>0</v>
      </c>
      <c r="J37" s="334">
        <f t="shared" si="22"/>
        <v>0</v>
      </c>
      <c r="K37" s="334">
        <f t="shared" si="22"/>
        <v>0</v>
      </c>
      <c r="L37" s="334">
        <f t="shared" si="22"/>
        <v>0</v>
      </c>
      <c r="M37" s="334">
        <f t="shared" si="22"/>
        <v>0</v>
      </c>
      <c r="N37" s="36" t="s">
        <v>778</v>
      </c>
      <c r="O37"/>
      <c r="P37"/>
      <c r="Z37" s="26"/>
      <c r="AA37" s="26"/>
      <c r="AB37" s="26"/>
      <c r="AC37" s="26"/>
      <c r="AD37" s="26"/>
      <c r="AE37" s="26"/>
      <c r="AF37" s="26"/>
      <c r="AG37" s="26"/>
    </row>
    <row r="38" spans="1:33">
      <c r="A38" s="9" t="s">
        <v>37</v>
      </c>
      <c r="B38" s="271">
        <v>3053.66</v>
      </c>
      <c r="C38" s="271">
        <v>2597.1</v>
      </c>
      <c r="D38" s="271">
        <v>2793.95</v>
      </c>
      <c r="E38" s="271">
        <v>2949.5</v>
      </c>
      <c r="F38" s="271">
        <v>2958.77</v>
      </c>
      <c r="G38" s="271"/>
      <c r="H38" s="271"/>
      <c r="I38" s="271"/>
      <c r="J38" s="271"/>
      <c r="K38" s="271"/>
      <c r="L38" s="271"/>
      <c r="M38" s="271"/>
      <c r="N38" s="36" t="s">
        <v>778</v>
      </c>
      <c r="O38" t="s">
        <v>37</v>
      </c>
      <c r="P38"/>
      <c r="Q38" s="21" t="s">
        <v>779</v>
      </c>
      <c r="R38" s="21" t="s">
        <v>790</v>
      </c>
      <c r="Z38" s="26">
        <v>15322</v>
      </c>
      <c r="AA38" s="26">
        <v>16090</v>
      </c>
      <c r="AB38" s="26">
        <f>16577</f>
        <v>16577</v>
      </c>
      <c r="AC38" s="26">
        <v>17075</v>
      </c>
      <c r="AD38" s="26">
        <v>16461</v>
      </c>
      <c r="AE38" s="26">
        <v>14395</v>
      </c>
      <c r="AF38" s="26">
        <v>12539</v>
      </c>
      <c r="AG38" s="26">
        <v>12386</v>
      </c>
    </row>
    <row r="39" spans="1:33">
      <c r="B39" s="334"/>
      <c r="C39" s="334"/>
      <c r="D39" s="334"/>
      <c r="E39" s="334"/>
      <c r="F39" s="334"/>
      <c r="G39" s="334"/>
      <c r="H39" s="334"/>
      <c r="I39" s="334"/>
      <c r="J39" s="334"/>
      <c r="K39" s="334"/>
      <c r="L39" s="334"/>
      <c r="M39" s="334"/>
      <c r="N39" s="36" t="s">
        <v>778</v>
      </c>
      <c r="O39"/>
      <c r="P39"/>
      <c r="Z39" s="23">
        <f t="shared" ref="Z39:AG39" si="23">Z40-SUM(Z30:Z38)</f>
        <v>14512</v>
      </c>
      <c r="AA39" s="23">
        <f t="shared" si="23"/>
        <v>15585</v>
      </c>
      <c r="AB39" s="23">
        <f t="shared" si="23"/>
        <v>15786</v>
      </c>
      <c r="AC39" s="23">
        <f t="shared" si="23"/>
        <v>15616</v>
      </c>
      <c r="AD39" s="23">
        <f t="shared" si="23"/>
        <v>17947</v>
      </c>
      <c r="AE39" s="23">
        <f t="shared" si="23"/>
        <v>18419</v>
      </c>
      <c r="AF39" s="23">
        <f t="shared" si="23"/>
        <v>9453</v>
      </c>
      <c r="AG39" s="23">
        <f t="shared" si="23"/>
        <v>9263</v>
      </c>
    </row>
    <row r="40" spans="1:33">
      <c r="B40" s="334"/>
      <c r="C40" s="334"/>
      <c r="D40" s="334"/>
      <c r="E40" s="334"/>
      <c r="F40" s="334"/>
      <c r="G40" s="334"/>
      <c r="H40" s="334"/>
      <c r="I40" s="334"/>
      <c r="J40" s="334"/>
      <c r="K40" s="334"/>
      <c r="L40" s="334"/>
      <c r="M40" s="334"/>
      <c r="N40" s="36" t="s">
        <v>778</v>
      </c>
      <c r="O40"/>
      <c r="P40"/>
      <c r="Q40" s="21" t="s">
        <v>779</v>
      </c>
      <c r="R40" s="21" t="s">
        <v>791</v>
      </c>
      <c r="Z40" s="37">
        <v>74704</v>
      </c>
      <c r="AA40" s="37">
        <v>78342</v>
      </c>
      <c r="AB40" s="37">
        <v>84681</v>
      </c>
      <c r="AC40" s="37">
        <v>84896</v>
      </c>
      <c r="AD40" s="37">
        <v>89356</v>
      </c>
      <c r="AE40" s="37">
        <v>81446</v>
      </c>
      <c r="AF40" s="37">
        <v>64020</v>
      </c>
      <c r="AG40" s="37">
        <v>60038</v>
      </c>
    </row>
    <row r="41" spans="1:33">
      <c r="A41" s="103" t="s">
        <v>792</v>
      </c>
      <c r="B41" s="271"/>
      <c r="C41" s="271"/>
      <c r="D41" s="271"/>
      <c r="E41" s="271"/>
      <c r="F41" s="271"/>
      <c r="G41" s="271"/>
      <c r="H41" s="271"/>
      <c r="I41" s="271"/>
      <c r="J41" s="271"/>
      <c r="K41" s="271"/>
      <c r="L41" s="271"/>
      <c r="M41" s="271"/>
      <c r="N41" s="36" t="s">
        <v>778</v>
      </c>
      <c r="O41"/>
      <c r="P41"/>
      <c r="Z41" s="28"/>
      <c r="AA41" s="28"/>
      <c r="AB41" s="28"/>
      <c r="AC41" s="28"/>
      <c r="AD41" s="28"/>
      <c r="AE41" s="28"/>
      <c r="AF41" s="28"/>
      <c r="AG41" s="28"/>
    </row>
    <row r="42" spans="1:33">
      <c r="A42" s="9" t="s">
        <v>304</v>
      </c>
      <c r="B42" s="271">
        <v>1116.97</v>
      </c>
      <c r="C42" s="271">
        <v>927.85</v>
      </c>
      <c r="D42" s="271">
        <v>798.39</v>
      </c>
      <c r="E42" s="271">
        <v>653.95000000000005</v>
      </c>
      <c r="F42" s="271">
        <v>680.87</v>
      </c>
      <c r="G42" s="271"/>
      <c r="H42" s="271"/>
      <c r="I42" s="271"/>
      <c r="J42" s="271"/>
      <c r="K42" s="271"/>
      <c r="L42" s="271"/>
      <c r="M42" s="271"/>
      <c r="N42" s="36" t="s">
        <v>778</v>
      </c>
      <c r="O42" t="s">
        <v>304</v>
      </c>
      <c r="P42"/>
      <c r="Z42" s="28"/>
      <c r="AA42" s="28"/>
      <c r="AB42" s="28"/>
      <c r="AC42" s="28"/>
      <c r="AD42" s="28"/>
      <c r="AE42" s="28"/>
      <c r="AF42" s="28"/>
      <c r="AG42" s="28"/>
    </row>
    <row r="43" spans="1:33">
      <c r="A43" s="100" t="s">
        <v>793</v>
      </c>
      <c r="B43" s="272">
        <v>320</v>
      </c>
      <c r="C43" s="272">
        <v>261</v>
      </c>
      <c r="D43" s="272">
        <v>220</v>
      </c>
      <c r="E43" s="272">
        <v>232</v>
      </c>
      <c r="F43" s="272">
        <v>283</v>
      </c>
      <c r="G43" s="272" t="s">
        <v>199</v>
      </c>
      <c r="H43" s="272" t="s">
        <v>199</v>
      </c>
      <c r="I43" s="272" t="s">
        <v>199</v>
      </c>
      <c r="J43" s="272" t="s">
        <v>199</v>
      </c>
      <c r="K43" s="272" t="s">
        <v>199</v>
      </c>
      <c r="L43" s="272" t="s">
        <v>199</v>
      </c>
      <c r="M43" s="272" t="s">
        <v>199</v>
      </c>
      <c r="N43" s="36"/>
      <c r="O43"/>
      <c r="P43"/>
      <c r="Z43" s="35"/>
      <c r="AA43" s="35"/>
      <c r="AB43" s="35"/>
      <c r="AC43" s="35"/>
      <c r="AD43" s="35"/>
      <c r="AE43" s="34"/>
      <c r="AF43" s="34"/>
      <c r="AG43" s="34"/>
    </row>
    <row r="44" spans="1:33" s="9" customFormat="1">
      <c r="A44" s="25" t="s">
        <v>555</v>
      </c>
      <c r="B44" s="272">
        <v>319.31</v>
      </c>
      <c r="C44" s="272">
        <v>306.27</v>
      </c>
      <c r="D44" s="272">
        <v>178.81</v>
      </c>
      <c r="E44" s="272">
        <v>129.49</v>
      </c>
      <c r="F44" s="272">
        <v>118.86</v>
      </c>
      <c r="G44" s="272" t="s">
        <v>199</v>
      </c>
      <c r="H44" s="272" t="s">
        <v>199</v>
      </c>
      <c r="I44" s="272" t="s">
        <v>199</v>
      </c>
      <c r="J44" s="272" t="s">
        <v>199</v>
      </c>
      <c r="K44" s="272" t="s">
        <v>199</v>
      </c>
      <c r="L44" s="272" t="s">
        <v>199</v>
      </c>
      <c r="M44" s="272" t="s">
        <v>199</v>
      </c>
      <c r="N44" s="36" t="s">
        <v>778</v>
      </c>
      <c r="O44" t="s">
        <v>794</v>
      </c>
      <c r="P44"/>
      <c r="Q44" s="21" t="s">
        <v>779</v>
      </c>
      <c r="R44" s="9" t="s">
        <v>795</v>
      </c>
      <c r="Z44" s="37">
        <v>26132</v>
      </c>
      <c r="AA44" s="37">
        <v>26242</v>
      </c>
      <c r="AB44" s="37">
        <v>27877</v>
      </c>
      <c r="AC44" s="37">
        <v>27297</v>
      </c>
      <c r="AD44" s="37">
        <v>29415</v>
      </c>
      <c r="AE44" s="37">
        <f>93+3895+8161+3386+2410+2691+298+1967+558+5102</f>
        <v>28561</v>
      </c>
      <c r="AF44" s="37">
        <f>204+3852+5856+2880+1670+1831+281+1521+495+3430</f>
        <v>22020</v>
      </c>
      <c r="AG44" s="37">
        <f>433+3650+2993+3351+797+1217+262+888+302+5399</f>
        <v>19292</v>
      </c>
    </row>
    <row r="45" spans="1:33" s="9" customFormat="1">
      <c r="A45" s="25" t="s">
        <v>556</v>
      </c>
      <c r="B45" s="272">
        <v>135.35</v>
      </c>
      <c r="C45" s="272">
        <v>119.28</v>
      </c>
      <c r="D45" s="272">
        <v>121.23</v>
      </c>
      <c r="E45" s="272">
        <v>113.39</v>
      </c>
      <c r="F45" s="272">
        <v>114.92</v>
      </c>
      <c r="G45" s="272" t="s">
        <v>199</v>
      </c>
      <c r="H45" s="272" t="s">
        <v>199</v>
      </c>
      <c r="I45" s="272" t="s">
        <v>199</v>
      </c>
      <c r="J45" s="272" t="s">
        <v>199</v>
      </c>
      <c r="K45" s="272" t="s">
        <v>199</v>
      </c>
      <c r="L45" s="272" t="s">
        <v>199</v>
      </c>
      <c r="M45" s="272" t="s">
        <v>199</v>
      </c>
      <c r="N45" s="36"/>
      <c r="O45"/>
      <c r="P45"/>
      <c r="Q45" s="21"/>
      <c r="Z45" s="37"/>
      <c r="AA45" s="37"/>
      <c r="AB45" s="37"/>
      <c r="AC45" s="37"/>
      <c r="AD45" s="37"/>
      <c r="AE45" s="37"/>
      <c r="AF45" s="37"/>
      <c r="AG45" s="37"/>
    </row>
    <row r="46" spans="1:33">
      <c r="A46" s="100" t="s">
        <v>557</v>
      </c>
      <c r="B46" s="272">
        <f t="shared" ref="B46" si="24">B42-SUM(B43:B45)</f>
        <v>342.31000000000006</v>
      </c>
      <c r="C46" s="272">
        <f t="shared" ref="C46:M46" si="25">C42-SUM(C43:C45)</f>
        <v>241.30000000000007</v>
      </c>
      <c r="D46" s="272">
        <f t="shared" si="25"/>
        <v>278.35000000000002</v>
      </c>
      <c r="E46" s="272">
        <f t="shared" si="25"/>
        <v>179.07000000000005</v>
      </c>
      <c r="F46" s="272">
        <f>F42-SUM(F43:F45)</f>
        <v>164.09000000000003</v>
      </c>
      <c r="G46" s="272">
        <f t="shared" si="25"/>
        <v>0</v>
      </c>
      <c r="H46" s="272">
        <f t="shared" si="25"/>
        <v>0</v>
      </c>
      <c r="I46" s="272">
        <f t="shared" si="25"/>
        <v>0</v>
      </c>
      <c r="J46" s="272">
        <f t="shared" si="25"/>
        <v>0</v>
      </c>
      <c r="K46" s="272">
        <f t="shared" si="25"/>
        <v>0</v>
      </c>
      <c r="L46" s="272">
        <f t="shared" si="25"/>
        <v>0</v>
      </c>
      <c r="M46" s="272">
        <f t="shared" si="25"/>
        <v>0</v>
      </c>
      <c r="N46" s="36" t="s">
        <v>778</v>
      </c>
      <c r="O46"/>
      <c r="P46"/>
      <c r="R46" s="21" t="s">
        <v>796</v>
      </c>
      <c r="Z46" s="30">
        <v>7303</v>
      </c>
      <c r="AA46" s="30">
        <v>6967</v>
      </c>
      <c r="AB46" s="30">
        <v>4708</v>
      </c>
      <c r="AC46" s="30">
        <v>3679</v>
      </c>
      <c r="AD46" s="30">
        <v>5287</v>
      </c>
      <c r="AE46" s="30">
        <v>5660</v>
      </c>
      <c r="AF46" s="30">
        <v>3925</v>
      </c>
      <c r="AG46" s="30">
        <v>5701</v>
      </c>
    </row>
    <row r="47" spans="1:33">
      <c r="A47" s="9" t="s">
        <v>558</v>
      </c>
      <c r="B47" s="271">
        <f t="shared" ref="B47:M47" si="26">B51-B42</f>
        <v>942.03</v>
      </c>
      <c r="C47" s="271">
        <f t="shared" si="26"/>
        <v>885.15</v>
      </c>
      <c r="D47" s="271">
        <f t="shared" si="26"/>
        <v>1263.6100000000001</v>
      </c>
      <c r="E47" s="271">
        <f t="shared" si="26"/>
        <v>1508.05</v>
      </c>
      <c r="F47" s="271">
        <f t="shared" si="26"/>
        <v>1460.13</v>
      </c>
      <c r="G47" s="271">
        <f t="shared" si="26"/>
        <v>0</v>
      </c>
      <c r="H47" s="271">
        <f t="shared" si="26"/>
        <v>0</v>
      </c>
      <c r="I47" s="271">
        <f t="shared" si="26"/>
        <v>0</v>
      </c>
      <c r="J47" s="271">
        <f t="shared" si="26"/>
        <v>0</v>
      </c>
      <c r="K47" s="271">
        <f t="shared" si="26"/>
        <v>0</v>
      </c>
      <c r="L47" s="271">
        <f t="shared" si="26"/>
        <v>0</v>
      </c>
      <c r="M47" s="271">
        <f t="shared" si="26"/>
        <v>0</v>
      </c>
      <c r="N47" s="36" t="s">
        <v>778</v>
      </c>
      <c r="O47" t="s">
        <v>797</v>
      </c>
      <c r="P47"/>
      <c r="Z47" s="30"/>
      <c r="AA47" s="30"/>
      <c r="AB47" s="30"/>
      <c r="AC47" s="30"/>
      <c r="AD47" s="30"/>
      <c r="AE47" s="30"/>
      <c r="AF47" s="30"/>
      <c r="AG47" s="30"/>
    </row>
    <row r="48" spans="1:33">
      <c r="A48" s="25" t="s">
        <v>559</v>
      </c>
      <c r="B48" s="272">
        <v>125.02</v>
      </c>
      <c r="C48" s="272">
        <v>197.86</v>
      </c>
      <c r="D48" s="272">
        <v>536.16999999999996</v>
      </c>
      <c r="E48" s="272">
        <v>687.37</v>
      </c>
      <c r="F48" s="272">
        <v>581.29</v>
      </c>
      <c r="G48" s="272" t="s">
        <v>199</v>
      </c>
      <c r="H48" s="272" t="s">
        <v>199</v>
      </c>
      <c r="I48" s="272" t="s">
        <v>199</v>
      </c>
      <c r="J48" s="272" t="s">
        <v>199</v>
      </c>
      <c r="K48" s="272" t="s">
        <v>199</v>
      </c>
      <c r="L48" s="272" t="s">
        <v>199</v>
      </c>
      <c r="M48" s="272" t="s">
        <v>199</v>
      </c>
      <c r="N48" s="36" t="s">
        <v>778</v>
      </c>
      <c r="O48" t="s">
        <v>798</v>
      </c>
      <c r="P48"/>
      <c r="Z48" s="23">
        <f t="shared" ref="Z48:AG48" si="27">Z44-Z46</f>
        <v>18829</v>
      </c>
      <c r="AA48" s="23">
        <f t="shared" si="27"/>
        <v>19275</v>
      </c>
      <c r="AB48" s="23">
        <f t="shared" si="27"/>
        <v>23169</v>
      </c>
      <c r="AC48" s="23">
        <f t="shared" si="27"/>
        <v>23618</v>
      </c>
      <c r="AD48" s="23">
        <f t="shared" si="27"/>
        <v>24128</v>
      </c>
      <c r="AE48" s="23">
        <f t="shared" si="27"/>
        <v>22901</v>
      </c>
      <c r="AF48" s="23">
        <f t="shared" si="27"/>
        <v>18095</v>
      </c>
      <c r="AG48" s="23">
        <f t="shared" si="27"/>
        <v>13591</v>
      </c>
    </row>
    <row r="49" spans="1:33" s="9" customFormat="1">
      <c r="A49" s="25" t="s">
        <v>560</v>
      </c>
      <c r="B49" s="272">
        <v>519.89</v>
      </c>
      <c r="C49" s="272">
        <v>355.36</v>
      </c>
      <c r="D49" s="272">
        <v>376.75</v>
      </c>
      <c r="E49" s="272">
        <v>384.52</v>
      </c>
      <c r="F49" s="272">
        <v>454.72</v>
      </c>
      <c r="G49" s="272" t="s">
        <v>199</v>
      </c>
      <c r="H49" s="272" t="s">
        <v>199</v>
      </c>
      <c r="I49" s="272" t="s">
        <v>199</v>
      </c>
      <c r="J49" s="272" t="s">
        <v>199</v>
      </c>
      <c r="K49" s="272" t="s">
        <v>199</v>
      </c>
      <c r="L49" s="272" t="s">
        <v>199</v>
      </c>
      <c r="M49" s="272" t="s">
        <v>199</v>
      </c>
      <c r="N49" s="36"/>
      <c r="O49"/>
      <c r="P49"/>
      <c r="Q49" s="21" t="s">
        <v>779</v>
      </c>
      <c r="R49" s="9" t="s">
        <v>799</v>
      </c>
      <c r="Z49" s="37">
        <f>61491-Z44</f>
        <v>35359</v>
      </c>
      <c r="AA49" s="37">
        <f>63457-AA44</f>
        <v>37215</v>
      </c>
      <c r="AB49" s="37">
        <f>67855-AB44</f>
        <v>39978</v>
      </c>
      <c r="AC49" s="37">
        <v>36721</v>
      </c>
      <c r="AD49" s="37">
        <v>41973</v>
      </c>
      <c r="AE49" s="37">
        <f>8415+16529+10956+3583</f>
        <v>39483</v>
      </c>
      <c r="AF49" s="37">
        <f>4505+15932+7584+2654</f>
        <v>30675</v>
      </c>
      <c r="AG49" s="37">
        <f>5652+16195+7420+2179</f>
        <v>31446</v>
      </c>
    </row>
    <row r="50" spans="1:33">
      <c r="A50" s="100" t="s">
        <v>561</v>
      </c>
      <c r="B50" s="272">
        <f t="shared" ref="B50" si="28">B47-SUM(B48:B49)</f>
        <v>297.12</v>
      </c>
      <c r="C50" s="272">
        <f t="shared" ref="C50:M50" si="29">C47-SUM(C48:C49)</f>
        <v>331.92999999999995</v>
      </c>
      <c r="D50" s="272">
        <f t="shared" si="29"/>
        <v>350.69000000000017</v>
      </c>
      <c r="E50" s="272">
        <f t="shared" si="29"/>
        <v>436.16000000000008</v>
      </c>
      <c r="F50" s="272">
        <f t="shared" si="29"/>
        <v>424.12000000000012</v>
      </c>
      <c r="G50" s="272">
        <f t="shared" si="29"/>
        <v>0</v>
      </c>
      <c r="H50" s="272">
        <f t="shared" si="29"/>
        <v>0</v>
      </c>
      <c r="I50" s="272">
        <f t="shared" si="29"/>
        <v>0</v>
      </c>
      <c r="J50" s="272">
        <f t="shared" si="29"/>
        <v>0</v>
      </c>
      <c r="K50" s="272">
        <f>K47-SUM(K48:K49)</f>
        <v>0</v>
      </c>
      <c r="L50" s="272">
        <f t="shared" si="29"/>
        <v>0</v>
      </c>
      <c r="M50" s="272">
        <f t="shared" si="29"/>
        <v>0</v>
      </c>
      <c r="N50" s="36" t="s">
        <v>778</v>
      </c>
      <c r="O50" t="s">
        <v>800</v>
      </c>
      <c r="P50"/>
      <c r="R50" s="21" t="s">
        <v>801</v>
      </c>
      <c r="Z50" s="26">
        <v>22818</v>
      </c>
      <c r="AA50" s="26">
        <v>25169</v>
      </c>
      <c r="AB50" s="26">
        <v>27784</v>
      </c>
      <c r="AC50" s="26">
        <v>26719</v>
      </c>
      <c r="AD50" s="26">
        <v>27752</v>
      </c>
      <c r="AE50" s="26">
        <v>24944</v>
      </c>
      <c r="AF50" s="26">
        <v>20437</v>
      </c>
      <c r="AG50" s="26">
        <v>21847</v>
      </c>
    </row>
    <row r="51" spans="1:33">
      <c r="A51" s="9" t="s">
        <v>43</v>
      </c>
      <c r="B51" s="271">
        <v>2059</v>
      </c>
      <c r="C51" s="271">
        <v>1813</v>
      </c>
      <c r="D51" s="271">
        <v>2062</v>
      </c>
      <c r="E51" s="271">
        <v>2162</v>
      </c>
      <c r="F51" s="271">
        <v>2141</v>
      </c>
      <c r="G51" s="271"/>
      <c r="H51" s="271"/>
      <c r="I51" s="271"/>
      <c r="J51" s="271"/>
      <c r="K51" s="271"/>
      <c r="L51" s="271"/>
      <c r="M51" s="271"/>
      <c r="N51" s="36" t="s">
        <v>778</v>
      </c>
      <c r="O51" t="s">
        <v>43</v>
      </c>
      <c r="P51"/>
      <c r="Z51" s="26"/>
      <c r="AA51" s="26"/>
      <c r="AB51" s="26"/>
      <c r="AC51" s="26"/>
      <c r="AD51" s="26"/>
      <c r="AE51" s="26"/>
      <c r="AF51" s="26"/>
      <c r="AG51" s="26"/>
    </row>
    <row r="52" spans="1:33">
      <c r="B52" s="334"/>
      <c r="C52" s="334"/>
      <c r="D52" s="334"/>
      <c r="E52" s="334"/>
      <c r="F52" s="334"/>
      <c r="G52" s="334"/>
      <c r="H52" s="334"/>
      <c r="I52" s="334"/>
      <c r="J52" s="334"/>
      <c r="K52" s="334"/>
      <c r="L52" s="334"/>
      <c r="M52" s="334"/>
      <c r="N52" s="36" t="s">
        <v>778</v>
      </c>
      <c r="O52"/>
      <c r="P52"/>
      <c r="Z52" s="23">
        <f t="shared" ref="Z52:AG52" si="30">Z49-Z50</f>
        <v>12541</v>
      </c>
      <c r="AA52" s="23">
        <f t="shared" si="30"/>
        <v>12046</v>
      </c>
      <c r="AB52" s="23">
        <f t="shared" si="30"/>
        <v>12194</v>
      </c>
      <c r="AC52" s="23">
        <f t="shared" si="30"/>
        <v>10002</v>
      </c>
      <c r="AD52" s="23">
        <f t="shared" si="30"/>
        <v>14221</v>
      </c>
      <c r="AE52" s="23">
        <f t="shared" si="30"/>
        <v>14539</v>
      </c>
      <c r="AF52" s="23">
        <f t="shared" si="30"/>
        <v>10238</v>
      </c>
      <c r="AG52" s="23">
        <f t="shared" si="30"/>
        <v>9599</v>
      </c>
    </row>
    <row r="53" spans="1:33" s="9" customFormat="1">
      <c r="A53" s="21"/>
      <c r="B53" s="334"/>
      <c r="C53" s="334"/>
      <c r="D53" s="334"/>
      <c r="E53" s="334"/>
      <c r="F53" s="334"/>
      <c r="G53" s="334"/>
      <c r="H53" s="334"/>
      <c r="I53" s="334"/>
      <c r="J53" s="334"/>
      <c r="K53" s="334"/>
      <c r="L53" s="334"/>
      <c r="M53" s="334"/>
      <c r="N53" s="36" t="s">
        <v>778</v>
      </c>
      <c r="O53"/>
      <c r="P53"/>
      <c r="Z53" s="34">
        <f>+Z49+Z44</f>
        <v>61491</v>
      </c>
      <c r="AA53" s="34">
        <f>+AA49+AA44</f>
        <v>63457</v>
      </c>
      <c r="AB53" s="34">
        <f>+AB49+AB44</f>
        <v>67855</v>
      </c>
      <c r="AC53" s="34">
        <f>AC44+AC49</f>
        <v>64018</v>
      </c>
      <c r="AD53" s="34">
        <f>AD49+AD44</f>
        <v>71388</v>
      </c>
      <c r="AE53" s="34">
        <f>AE49+AE44</f>
        <v>68044</v>
      </c>
      <c r="AF53" s="34">
        <f>AF49+AF44</f>
        <v>52695</v>
      </c>
      <c r="AG53" s="34">
        <f>AG49+AG44</f>
        <v>50738</v>
      </c>
    </row>
    <row r="54" spans="1:33">
      <c r="A54" s="38" t="s">
        <v>563</v>
      </c>
      <c r="B54" s="337">
        <v>67</v>
      </c>
      <c r="C54" s="337">
        <v>57</v>
      </c>
      <c r="D54" s="337">
        <v>49</v>
      </c>
      <c r="E54" s="337">
        <v>53</v>
      </c>
      <c r="F54" s="337">
        <v>46</v>
      </c>
      <c r="G54" s="272" t="s">
        <v>199</v>
      </c>
      <c r="H54" s="272" t="s">
        <v>199</v>
      </c>
      <c r="I54" s="272" t="s">
        <v>199</v>
      </c>
      <c r="J54" s="272" t="s">
        <v>199</v>
      </c>
      <c r="K54" s="272" t="s">
        <v>199</v>
      </c>
      <c r="L54" s="272" t="s">
        <v>199</v>
      </c>
      <c r="M54" s="272" t="s">
        <v>199</v>
      </c>
      <c r="N54" s="36" t="s">
        <v>778</v>
      </c>
      <c r="O54" t="s">
        <v>563</v>
      </c>
      <c r="P54"/>
    </row>
    <row r="55" spans="1:33">
      <c r="B55" s="334"/>
      <c r="C55" s="334"/>
      <c r="D55" s="334"/>
      <c r="E55" s="334"/>
      <c r="F55" s="334"/>
      <c r="G55" s="334"/>
      <c r="H55" s="334"/>
      <c r="I55" s="334"/>
      <c r="J55" s="334"/>
      <c r="K55" s="334"/>
      <c r="L55" s="334"/>
      <c r="M55" s="334"/>
      <c r="N55" s="36" t="s">
        <v>778</v>
      </c>
      <c r="O55"/>
      <c r="P55"/>
    </row>
    <row r="56" spans="1:33" s="9" customFormat="1">
      <c r="A56" s="9" t="s">
        <v>564</v>
      </c>
      <c r="B56" s="271">
        <f t="shared" ref="B56" si="31">B38-B51-B54</f>
        <v>927.65999999999985</v>
      </c>
      <c r="C56" s="271">
        <f t="shared" ref="C56:F56" si="32">C38-C51-C54</f>
        <v>727.09999999999991</v>
      </c>
      <c r="D56" s="271">
        <f t="shared" si="32"/>
        <v>682.94999999999982</v>
      </c>
      <c r="E56" s="271">
        <f>E38-E51-E54</f>
        <v>734.5</v>
      </c>
      <c r="F56" s="271">
        <f t="shared" si="32"/>
        <v>771.77</v>
      </c>
      <c r="G56" s="334" t="s">
        <v>199</v>
      </c>
      <c r="H56" s="334" t="s">
        <v>199</v>
      </c>
      <c r="I56" s="334" t="s">
        <v>199</v>
      </c>
      <c r="J56" s="334" t="s">
        <v>199</v>
      </c>
      <c r="K56" s="334" t="s">
        <v>199</v>
      </c>
      <c r="L56" s="334" t="s">
        <v>199</v>
      </c>
      <c r="M56" s="334" t="s">
        <v>199</v>
      </c>
      <c r="N56" s="36" t="s">
        <v>778</v>
      </c>
      <c r="O56"/>
      <c r="P56"/>
      <c r="Q56" s="21" t="s">
        <v>779</v>
      </c>
      <c r="R56" s="9" t="s">
        <v>802</v>
      </c>
    </row>
    <row r="57" spans="1:33">
      <c r="A57" s="9"/>
      <c r="B57" s="271"/>
      <c r="C57" s="271"/>
      <c r="D57" s="271"/>
      <c r="E57" s="271"/>
      <c r="F57" s="271"/>
      <c r="G57" s="271"/>
      <c r="H57" s="271"/>
      <c r="I57" s="271"/>
      <c r="J57" s="271"/>
      <c r="K57" s="271"/>
      <c r="L57" s="271"/>
      <c r="M57" s="271"/>
      <c r="N57" s="36"/>
      <c r="O57"/>
      <c r="P57"/>
    </row>
    <row r="58" spans="1:33">
      <c r="A58" s="48" t="s">
        <v>803</v>
      </c>
      <c r="B58" s="271"/>
      <c r="C58" s="271"/>
      <c r="D58" s="271"/>
      <c r="E58" s="271"/>
      <c r="F58" s="271"/>
      <c r="G58" s="271"/>
      <c r="H58" s="271"/>
      <c r="I58" s="271"/>
      <c r="J58" s="271"/>
      <c r="K58" s="271"/>
      <c r="L58" s="271"/>
      <c r="M58" s="271"/>
      <c r="N58" s="36"/>
      <c r="O58"/>
      <c r="P58"/>
    </row>
    <row r="59" spans="1:33">
      <c r="A59" s="9" t="s">
        <v>122</v>
      </c>
      <c r="B59" s="271">
        <v>298</v>
      </c>
      <c r="C59" s="271">
        <v>154</v>
      </c>
      <c r="D59" s="271">
        <v>333</v>
      </c>
      <c r="E59" s="271">
        <v>81</v>
      </c>
      <c r="F59" s="271">
        <v>195</v>
      </c>
      <c r="G59" s="271">
        <v>228</v>
      </c>
      <c r="H59" s="271"/>
      <c r="I59" s="271"/>
      <c r="J59" s="271"/>
      <c r="K59" s="271"/>
      <c r="L59" s="271"/>
      <c r="M59" s="271"/>
      <c r="N59" s="36"/>
      <c r="O59"/>
      <c r="P59"/>
    </row>
    <row r="60" spans="1:33">
      <c r="A60" s="25" t="s">
        <v>60</v>
      </c>
      <c r="B60" s="272">
        <f t="shared" ref="B60:M60" si="33">B12</f>
        <v>131.41999999999999</v>
      </c>
      <c r="C60" s="272">
        <f t="shared" si="33"/>
        <v>54.24</v>
      </c>
      <c r="D60" s="272">
        <f t="shared" si="33"/>
        <v>-160.87</v>
      </c>
      <c r="E60" s="272">
        <f t="shared" si="33"/>
        <v>-57.73</v>
      </c>
      <c r="F60" s="272">
        <f t="shared" si="33"/>
        <v>24.34</v>
      </c>
      <c r="G60" s="272">
        <f t="shared" si="33"/>
        <v>44.53</v>
      </c>
      <c r="H60" s="272" t="str">
        <f t="shared" si="33"/>
        <v>N/A</v>
      </c>
      <c r="I60" s="272" t="str">
        <f t="shared" si="33"/>
        <v>N/A</v>
      </c>
      <c r="J60" s="272" t="str">
        <f t="shared" si="33"/>
        <v>N/A</v>
      </c>
      <c r="K60" s="272" t="str">
        <f t="shared" si="33"/>
        <v>N/A</v>
      </c>
      <c r="L60" s="272" t="str">
        <f t="shared" si="33"/>
        <v>N/A</v>
      </c>
      <c r="M60" s="272" t="str">
        <f t="shared" si="33"/>
        <v>N/A</v>
      </c>
      <c r="N60" s="36"/>
      <c r="O60"/>
      <c r="P60"/>
    </row>
    <row r="61" spans="1:33">
      <c r="A61" s="100" t="s">
        <v>52</v>
      </c>
      <c r="B61" s="272">
        <v>211</v>
      </c>
      <c r="C61" s="272">
        <v>183</v>
      </c>
      <c r="D61" s="272">
        <v>193</v>
      </c>
      <c r="E61" s="272">
        <v>212</v>
      </c>
      <c r="F61" s="272">
        <v>198</v>
      </c>
      <c r="G61" s="272">
        <v>190</v>
      </c>
      <c r="H61" s="272" t="s">
        <v>199</v>
      </c>
      <c r="I61" s="272" t="s">
        <v>199</v>
      </c>
      <c r="J61" s="272" t="s">
        <v>199</v>
      </c>
      <c r="K61" s="272" t="s">
        <v>199</v>
      </c>
      <c r="L61" s="272" t="s">
        <v>199</v>
      </c>
      <c r="M61" s="272" t="s">
        <v>199</v>
      </c>
      <c r="N61" s="36"/>
      <c r="O61"/>
      <c r="P61"/>
    </row>
    <row r="62" spans="1:33">
      <c r="A62" s="100" t="s">
        <v>804</v>
      </c>
      <c r="B62" s="272">
        <v>-22</v>
      </c>
      <c r="C62" s="272">
        <v>-40</v>
      </c>
      <c r="D62" s="272">
        <v>24</v>
      </c>
      <c r="E62" s="272">
        <v>-11</v>
      </c>
      <c r="F62" s="272">
        <v>-13</v>
      </c>
      <c r="G62" s="272">
        <v>7</v>
      </c>
      <c r="H62" s="272" t="s">
        <v>199</v>
      </c>
      <c r="I62" s="272" t="s">
        <v>199</v>
      </c>
      <c r="J62" s="272" t="s">
        <v>199</v>
      </c>
      <c r="K62" s="272" t="s">
        <v>199</v>
      </c>
      <c r="L62" s="272" t="s">
        <v>199</v>
      </c>
      <c r="M62" s="272" t="s">
        <v>199</v>
      </c>
      <c r="N62" s="36"/>
      <c r="O62"/>
      <c r="P62"/>
    </row>
    <row r="63" spans="1:33">
      <c r="A63" s="100" t="s">
        <v>805</v>
      </c>
      <c r="B63" s="272">
        <f t="shared" ref="B63" si="34">B59-B60-B61-B62</f>
        <v>-22.419999999999987</v>
      </c>
      <c r="C63" s="272">
        <f t="shared" ref="C63" si="35">C59-C60-C61-C62</f>
        <v>-43.240000000000009</v>
      </c>
      <c r="D63" s="272">
        <f>D59-D60-D61-D62</f>
        <v>276.87</v>
      </c>
      <c r="E63" s="272">
        <f t="shared" ref="E63:G63" si="36">E59-E60-E61-E62</f>
        <v>-62.27000000000001</v>
      </c>
      <c r="F63" s="272">
        <f t="shared" si="36"/>
        <v>-14.340000000000003</v>
      </c>
      <c r="G63" s="272">
        <f t="shared" si="36"/>
        <v>-13.530000000000001</v>
      </c>
      <c r="H63" s="272" t="s">
        <v>199</v>
      </c>
      <c r="I63" s="272" t="s">
        <v>199</v>
      </c>
      <c r="J63" s="272" t="s">
        <v>199</v>
      </c>
      <c r="K63" s="272" t="s">
        <v>199</v>
      </c>
      <c r="L63" s="272" t="s">
        <v>199</v>
      </c>
      <c r="M63" s="272" t="s">
        <v>199</v>
      </c>
      <c r="N63" s="36"/>
      <c r="O63"/>
      <c r="P63"/>
    </row>
    <row r="64" spans="1:33">
      <c r="A64" s="9" t="s">
        <v>123</v>
      </c>
      <c r="B64" s="271">
        <v>23.56</v>
      </c>
      <c r="C64" s="271">
        <v>-60.4</v>
      </c>
      <c r="D64" s="271">
        <v>-97</v>
      </c>
      <c r="E64" s="271">
        <v>105.67</v>
      </c>
      <c r="F64" s="271">
        <v>93.98</v>
      </c>
      <c r="G64" s="271">
        <v>-394.97</v>
      </c>
      <c r="H64" s="271"/>
      <c r="I64" s="271"/>
      <c r="J64" s="271"/>
      <c r="K64" s="271"/>
      <c r="L64" s="271"/>
      <c r="M64" s="271"/>
      <c r="N64" s="36"/>
      <c r="O64"/>
      <c r="P64"/>
    </row>
    <row r="65" spans="1:16">
      <c r="A65" s="100" t="s">
        <v>124</v>
      </c>
      <c r="B65" s="272">
        <v>-61.46</v>
      </c>
      <c r="C65" s="272">
        <v>-51.519999999999996</v>
      </c>
      <c r="D65" s="272">
        <v>-89.7</v>
      </c>
      <c r="E65" s="272">
        <v>-29.85</v>
      </c>
      <c r="F65" s="272">
        <v>-52.01</v>
      </c>
      <c r="G65" s="272">
        <v>-17.850000000000001</v>
      </c>
      <c r="H65" s="272" t="s">
        <v>199</v>
      </c>
      <c r="I65" s="272" t="s">
        <v>199</v>
      </c>
      <c r="J65" s="272" t="s">
        <v>199</v>
      </c>
      <c r="K65" s="272" t="s">
        <v>199</v>
      </c>
      <c r="L65" s="272" t="s">
        <v>199</v>
      </c>
      <c r="M65" s="272" t="s">
        <v>199</v>
      </c>
      <c r="N65" s="36"/>
      <c r="O65"/>
      <c r="P65"/>
    </row>
    <row r="66" spans="1:16">
      <c r="A66" s="100" t="s">
        <v>125</v>
      </c>
      <c r="B66" s="272">
        <v>85.460000000000008</v>
      </c>
      <c r="C66" s="272">
        <v>-8.48</v>
      </c>
      <c r="D66" s="272">
        <v>-7.3000000000000007</v>
      </c>
      <c r="E66" s="272">
        <v>135.85</v>
      </c>
      <c r="F66" s="272">
        <v>146.01</v>
      </c>
      <c r="G66" s="272">
        <v>-376.8</v>
      </c>
      <c r="H66" s="272" t="s">
        <v>199</v>
      </c>
      <c r="I66" s="272" t="s">
        <v>199</v>
      </c>
      <c r="J66" s="272" t="s">
        <v>199</v>
      </c>
      <c r="K66" s="272" t="s">
        <v>199</v>
      </c>
      <c r="L66" s="272" t="s">
        <v>199</v>
      </c>
      <c r="M66" s="272" t="s">
        <v>199</v>
      </c>
      <c r="N66" s="36"/>
      <c r="O66"/>
      <c r="P66"/>
    </row>
    <row r="67" spans="1:16">
      <c r="A67" s="100" t="s">
        <v>806</v>
      </c>
      <c r="B67" s="272">
        <f>B64-B65-B66</f>
        <v>-0.44000000000001194</v>
      </c>
      <c r="C67" s="272">
        <f>C64-C65-C66</f>
        <v>-0.40000000000000213</v>
      </c>
      <c r="D67" s="272">
        <f>D64-D65-D66</f>
        <v>0</v>
      </c>
      <c r="E67" s="272">
        <f t="shared" ref="E67" si="37">E64-E65-E66</f>
        <v>-0.32999999999998408</v>
      </c>
      <c r="F67" s="272">
        <f t="shared" ref="F67:G67" si="38">F64-F65-F66</f>
        <v>-1.999999999998181E-2</v>
      </c>
      <c r="G67" s="272">
        <f t="shared" si="38"/>
        <v>-0.31999999999999318</v>
      </c>
      <c r="H67" s="272" t="s">
        <v>199</v>
      </c>
      <c r="I67" s="272" t="s">
        <v>199</v>
      </c>
      <c r="J67" s="272" t="s">
        <v>199</v>
      </c>
      <c r="K67" s="272" t="s">
        <v>199</v>
      </c>
      <c r="L67" s="272" t="s">
        <v>199</v>
      </c>
      <c r="M67" s="272" t="s">
        <v>199</v>
      </c>
      <c r="N67" s="36"/>
      <c r="O67"/>
      <c r="P67"/>
    </row>
    <row r="68" spans="1:16">
      <c r="A68" s="9" t="s">
        <v>126</v>
      </c>
      <c r="B68" s="271">
        <v>-270.88</v>
      </c>
      <c r="C68" s="271">
        <v>-312.88</v>
      </c>
      <c r="D68" s="271">
        <v>-75.83</v>
      </c>
      <c r="E68" s="271">
        <v>-55.99</v>
      </c>
      <c r="F68" s="271">
        <v>-299.39999999999998</v>
      </c>
      <c r="G68" s="271">
        <v>155.68</v>
      </c>
      <c r="H68" s="271"/>
      <c r="I68" s="271"/>
      <c r="J68" s="271"/>
      <c r="K68" s="271"/>
      <c r="L68" s="271"/>
      <c r="M68" s="271"/>
      <c r="N68" s="36"/>
      <c r="O68"/>
      <c r="P68"/>
    </row>
    <row r="69" spans="1:16">
      <c r="A69" s="100" t="s">
        <v>807</v>
      </c>
      <c r="B69" s="272">
        <v>221</v>
      </c>
      <c r="C69" s="272">
        <v>0</v>
      </c>
      <c r="D69" s="272">
        <v>146</v>
      </c>
      <c r="E69" s="272">
        <v>303</v>
      </c>
      <c r="F69" s="272">
        <v>146</v>
      </c>
      <c r="G69" s="272">
        <v>561</v>
      </c>
      <c r="H69" s="272" t="s">
        <v>199</v>
      </c>
      <c r="I69" s="272" t="s">
        <v>199</v>
      </c>
      <c r="J69" s="272" t="s">
        <v>199</v>
      </c>
      <c r="K69" s="272" t="s">
        <v>199</v>
      </c>
      <c r="L69" s="272" t="s">
        <v>199</v>
      </c>
      <c r="M69" s="272" t="s">
        <v>199</v>
      </c>
      <c r="N69" s="36"/>
      <c r="O69"/>
      <c r="P69"/>
    </row>
    <row r="70" spans="1:16">
      <c r="A70" s="100" t="s">
        <v>808</v>
      </c>
      <c r="B70" s="272">
        <v>-467</v>
      </c>
      <c r="C70" s="272">
        <v>-301</v>
      </c>
      <c r="D70" s="272">
        <v>-314</v>
      </c>
      <c r="E70" s="272">
        <v>-356</v>
      </c>
      <c r="F70" s="272">
        <v>-429</v>
      </c>
      <c r="G70" s="272">
        <v>-391</v>
      </c>
      <c r="H70" s="272" t="s">
        <v>199</v>
      </c>
      <c r="I70" s="272" t="s">
        <v>199</v>
      </c>
      <c r="J70" s="272" t="s">
        <v>199</v>
      </c>
      <c r="K70" s="272" t="s">
        <v>199</v>
      </c>
      <c r="L70" s="272" t="s">
        <v>199</v>
      </c>
      <c r="M70" s="272" t="s">
        <v>199</v>
      </c>
      <c r="N70" s="36"/>
      <c r="O70"/>
      <c r="P70"/>
    </row>
    <row r="71" spans="1:16">
      <c r="A71" s="100" t="s">
        <v>809</v>
      </c>
      <c r="B71" s="272">
        <v>-136</v>
      </c>
      <c r="C71" s="272">
        <v>-128</v>
      </c>
      <c r="D71" s="272">
        <v>-119</v>
      </c>
      <c r="E71" s="272">
        <v>-104</v>
      </c>
      <c r="F71" s="272">
        <v>-124</v>
      </c>
      <c r="G71" s="272">
        <v>-134</v>
      </c>
      <c r="H71" s="272" t="s">
        <v>199</v>
      </c>
      <c r="I71" s="272" t="s">
        <v>199</v>
      </c>
      <c r="J71" s="272" t="s">
        <v>199</v>
      </c>
      <c r="K71" s="272" t="s">
        <v>199</v>
      </c>
      <c r="L71" s="272" t="s">
        <v>199</v>
      </c>
      <c r="M71" s="272" t="s">
        <v>199</v>
      </c>
      <c r="N71" s="36"/>
      <c r="O71"/>
      <c r="P71"/>
    </row>
    <row r="72" spans="1:16">
      <c r="A72" s="100" t="s">
        <v>810</v>
      </c>
      <c r="B72" s="272">
        <v>136</v>
      </c>
      <c r="C72" s="272">
        <v>128</v>
      </c>
      <c r="D72" s="272">
        <v>119</v>
      </c>
      <c r="E72" s="272">
        <v>104</v>
      </c>
      <c r="F72" s="272">
        <v>124</v>
      </c>
      <c r="G72" s="272">
        <v>134</v>
      </c>
      <c r="H72" s="272" t="s">
        <v>199</v>
      </c>
      <c r="I72" s="272" t="s">
        <v>199</v>
      </c>
      <c r="J72" s="272" t="s">
        <v>199</v>
      </c>
      <c r="K72" s="272" t="s">
        <v>199</v>
      </c>
      <c r="L72" s="272" t="s">
        <v>199</v>
      </c>
      <c r="M72" s="272" t="s">
        <v>199</v>
      </c>
      <c r="N72" s="36"/>
      <c r="O72"/>
      <c r="P72"/>
    </row>
    <row r="73" spans="1:16">
      <c r="A73" s="100" t="s">
        <v>127</v>
      </c>
      <c r="B73" s="272">
        <v>-27.07</v>
      </c>
      <c r="C73" s="272">
        <v>-23.03</v>
      </c>
      <c r="D73" s="272">
        <v>0.12</v>
      </c>
      <c r="E73" s="272">
        <v>0</v>
      </c>
      <c r="F73" s="272">
        <v>0</v>
      </c>
      <c r="G73" s="272">
        <v>0</v>
      </c>
      <c r="H73" s="272" t="s">
        <v>199</v>
      </c>
      <c r="I73" s="272" t="s">
        <v>199</v>
      </c>
      <c r="J73" s="272" t="s">
        <v>199</v>
      </c>
      <c r="K73" s="272" t="s">
        <v>199</v>
      </c>
      <c r="L73" s="272" t="s">
        <v>199</v>
      </c>
      <c r="M73" s="272" t="s">
        <v>199</v>
      </c>
      <c r="N73" s="33" t="s">
        <v>811</v>
      </c>
      <c r="O73" t="s">
        <v>812</v>
      </c>
      <c r="P73"/>
    </row>
    <row r="74" spans="1:16">
      <c r="A74" s="100" t="s">
        <v>546</v>
      </c>
      <c r="B74" s="272">
        <v>-4</v>
      </c>
      <c r="C74" s="272">
        <v>-15</v>
      </c>
      <c r="D74" s="272">
        <v>-767</v>
      </c>
      <c r="E74" s="272">
        <v>1</v>
      </c>
      <c r="F74" s="272">
        <v>0</v>
      </c>
      <c r="G74" s="272">
        <v>-3</v>
      </c>
      <c r="H74" s="272" t="s">
        <v>199</v>
      </c>
      <c r="I74" s="272" t="s">
        <v>199</v>
      </c>
      <c r="J74" s="272" t="s">
        <v>199</v>
      </c>
      <c r="K74" s="272" t="s">
        <v>199</v>
      </c>
      <c r="L74" s="272" t="s">
        <v>199</v>
      </c>
      <c r="M74" s="272" t="s">
        <v>199</v>
      </c>
      <c r="N74" s="33" t="s">
        <v>811</v>
      </c>
      <c r="O74" t="str">
        <f>+A74</f>
        <v>Share buyback</v>
      </c>
      <c r="P74"/>
    </row>
    <row r="75" spans="1:16">
      <c r="A75" s="100" t="s">
        <v>806</v>
      </c>
      <c r="B75" s="272">
        <f t="shared" ref="B75" si="39">B68-B69-B70-B71-B72-B73-B74</f>
        <v>6.1900000000000048</v>
      </c>
      <c r="C75" s="272">
        <f t="shared" ref="C75:G75" si="40">C68-C69-C70-C71-C72-C73-C74</f>
        <v>26.150000000000006</v>
      </c>
      <c r="D75" s="272">
        <f t="shared" si="40"/>
        <v>859.05</v>
      </c>
      <c r="E75" s="272">
        <f t="shared" si="40"/>
        <v>-3.9900000000000091</v>
      </c>
      <c r="F75" s="272">
        <f t="shared" si="40"/>
        <v>-16.399999999999977</v>
      </c>
      <c r="G75" s="272">
        <f t="shared" si="40"/>
        <v>-11.319999999999993</v>
      </c>
      <c r="H75" s="272" t="s">
        <v>199</v>
      </c>
      <c r="I75" s="272" t="s">
        <v>199</v>
      </c>
      <c r="J75" s="272" t="s">
        <v>199</v>
      </c>
      <c r="K75" s="272" t="s">
        <v>199</v>
      </c>
      <c r="L75" s="272" t="s">
        <v>199</v>
      </c>
      <c r="M75" s="272" t="s">
        <v>199</v>
      </c>
      <c r="N75" s="36"/>
      <c r="O75"/>
      <c r="P75"/>
    </row>
    <row r="76" spans="1:16">
      <c r="A76" s="9" t="s">
        <v>130</v>
      </c>
      <c r="B76" s="271"/>
      <c r="C76" s="271"/>
      <c r="D76" s="271"/>
      <c r="E76" s="271"/>
      <c r="F76" s="271"/>
      <c r="G76" s="271"/>
      <c r="H76" s="271"/>
      <c r="I76" s="271"/>
      <c r="J76" s="271"/>
      <c r="K76" s="271"/>
      <c r="L76" s="271"/>
      <c r="M76" s="271"/>
      <c r="N76" s="36"/>
      <c r="O76"/>
      <c r="P76"/>
    </row>
    <row r="77" spans="1:16">
      <c r="A77" s="9" t="s">
        <v>565</v>
      </c>
      <c r="B77" s="271">
        <f t="shared" ref="B77" si="41">B59+B64+B68+B76</f>
        <v>50.680000000000007</v>
      </c>
      <c r="C77" s="271">
        <f t="shared" ref="C77:M77" si="42">C59+C64+C68+C76</f>
        <v>-219.28</v>
      </c>
      <c r="D77" s="271">
        <f t="shared" si="42"/>
        <v>160.17000000000002</v>
      </c>
      <c r="E77" s="271">
        <f t="shared" si="42"/>
        <v>130.68</v>
      </c>
      <c r="F77" s="271">
        <f t="shared" si="42"/>
        <v>-10.419999999999959</v>
      </c>
      <c r="G77" s="271">
        <f t="shared" si="42"/>
        <v>-11.29000000000002</v>
      </c>
      <c r="H77" s="271">
        <f t="shared" si="42"/>
        <v>0</v>
      </c>
      <c r="I77" s="271">
        <f t="shared" si="42"/>
        <v>0</v>
      </c>
      <c r="J77" s="271">
        <f t="shared" si="42"/>
        <v>0</v>
      </c>
      <c r="K77" s="271">
        <f t="shared" si="42"/>
        <v>0</v>
      </c>
      <c r="L77" s="271">
        <f t="shared" si="42"/>
        <v>0</v>
      </c>
      <c r="M77" s="271">
        <f t="shared" si="42"/>
        <v>0</v>
      </c>
      <c r="N77" s="36"/>
      <c r="O77"/>
      <c r="P77"/>
    </row>
    <row r="78" spans="1:16">
      <c r="M78" s="23"/>
      <c r="N78"/>
      <c r="O78" t="s">
        <v>813</v>
      </c>
      <c r="P78"/>
    </row>
    <row r="79" spans="1:16">
      <c r="A79" s="48" t="s">
        <v>814</v>
      </c>
      <c r="B79" s="48"/>
      <c r="C79" s="48"/>
      <c r="D79" s="48"/>
      <c r="E79" s="1135" t="s">
        <v>573</v>
      </c>
      <c r="F79" s="1135"/>
      <c r="G79" s="1135"/>
      <c r="H79" s="1135" t="s">
        <v>815</v>
      </c>
      <c r="I79" s="1135"/>
      <c r="J79" s="48" t="s">
        <v>575</v>
      </c>
      <c r="K79" s="48" t="s">
        <v>576</v>
      </c>
      <c r="L79" s="48" t="s">
        <v>577</v>
      </c>
      <c r="M79" s="34"/>
      <c r="N79"/>
      <c r="O79"/>
      <c r="P79"/>
    </row>
    <row r="80" spans="1:16">
      <c r="A80" s="25" t="s">
        <v>816</v>
      </c>
      <c r="B80" s="26">
        <v>7201</v>
      </c>
      <c r="C80" s="39" t="s">
        <v>817</v>
      </c>
      <c r="D80" s="23"/>
      <c r="E80" s="1136"/>
      <c r="F80" s="1136"/>
      <c r="G80" s="1136"/>
      <c r="H80" s="1137"/>
      <c r="I80" s="1137"/>
      <c r="J80" s="64"/>
      <c r="K80" s="63"/>
      <c r="L80" s="63"/>
      <c r="M80" s="23"/>
      <c r="N80" s="39" t="s">
        <v>818</v>
      </c>
      <c r="O80"/>
      <c r="P80"/>
    </row>
    <row r="81" spans="1:16">
      <c r="A81" s="25" t="s">
        <v>819</v>
      </c>
      <c r="B81" s="26" t="s">
        <v>820</v>
      </c>
      <c r="C81" s="39" t="s">
        <v>821</v>
      </c>
      <c r="D81" s="23"/>
      <c r="E81" s="1136"/>
      <c r="F81" s="1136"/>
      <c r="G81" s="1136"/>
      <c r="H81" s="1137"/>
      <c r="I81" s="1137"/>
      <c r="J81" s="64"/>
      <c r="K81" s="63"/>
      <c r="L81" s="63"/>
      <c r="M81" s="23"/>
      <c r="N81" s="39" t="s">
        <v>818</v>
      </c>
      <c r="O81"/>
      <c r="P81"/>
    </row>
    <row r="82" spans="1:16">
      <c r="A82" s="25" t="s">
        <v>41</v>
      </c>
      <c r="B82" s="560" t="s">
        <v>822</v>
      </c>
      <c r="C82" s="39" t="s">
        <v>821</v>
      </c>
      <c r="D82" s="65"/>
      <c r="E82" s="1136"/>
      <c r="F82" s="1136"/>
      <c r="G82" s="1136"/>
      <c r="H82" s="1137"/>
      <c r="I82" s="1137"/>
      <c r="J82" s="64"/>
      <c r="K82" s="63"/>
      <c r="L82" s="63"/>
      <c r="M82" s="67"/>
      <c r="N82" s="39" t="s">
        <v>818</v>
      </c>
      <c r="O82"/>
      <c r="P82"/>
    </row>
    <row r="83" spans="1:16">
      <c r="A83" s="25" t="s">
        <v>45</v>
      </c>
      <c r="B83" s="561">
        <v>0.752</v>
      </c>
      <c r="C83" s="39" t="s">
        <v>821</v>
      </c>
      <c r="D83" s="66"/>
      <c r="E83" s="1136"/>
      <c r="F83" s="1136"/>
      <c r="G83" s="1136"/>
      <c r="H83" s="1137"/>
      <c r="I83" s="1137"/>
      <c r="J83" s="64"/>
      <c r="K83" s="63"/>
      <c r="L83" s="63"/>
      <c r="M83" s="67"/>
      <c r="N83" s="39" t="s">
        <v>818</v>
      </c>
      <c r="O83"/>
      <c r="P83"/>
    </row>
    <row r="84" spans="1:16">
      <c r="A84" s="25" t="s">
        <v>569</v>
      </c>
      <c r="B84" s="26"/>
      <c r="C84" s="39" t="s">
        <v>817</v>
      </c>
      <c r="D84" s="23"/>
      <c r="E84" s="1136"/>
      <c r="F84" s="1136"/>
      <c r="G84" s="1136"/>
      <c r="H84" s="1137"/>
      <c r="I84" s="1137"/>
      <c r="J84" s="64"/>
      <c r="K84" s="63"/>
      <c r="L84" s="63"/>
      <c r="M84" s="23"/>
      <c r="N84" s="39" t="s">
        <v>818</v>
      </c>
      <c r="O84"/>
      <c r="P84"/>
    </row>
    <row r="85" spans="1:16">
      <c r="A85" s="25" t="s">
        <v>823</v>
      </c>
      <c r="B85" s="562">
        <v>1.24E-2</v>
      </c>
      <c r="C85" s="39" t="s">
        <v>821</v>
      </c>
      <c r="D85" s="23"/>
      <c r="E85" s="1136"/>
      <c r="F85" s="1136"/>
      <c r="G85" s="1136"/>
      <c r="H85" s="1137"/>
      <c r="I85" s="1137"/>
      <c r="J85" s="63"/>
      <c r="K85" s="63"/>
      <c r="L85" s="63"/>
      <c r="M85" s="23"/>
      <c r="N85" s="39" t="s">
        <v>818</v>
      </c>
      <c r="O85"/>
    </row>
    <row r="86" spans="1:16">
      <c r="A86" s="25" t="s">
        <v>571</v>
      </c>
      <c r="B86" s="26">
        <v>0</v>
      </c>
      <c r="C86" s="39" t="s">
        <v>824</v>
      </c>
      <c r="D86" s="23"/>
      <c r="E86" s="1136"/>
      <c r="F86" s="1136"/>
      <c r="G86" s="1136"/>
      <c r="H86" s="1137"/>
      <c r="I86" s="1137"/>
      <c r="J86" s="63"/>
      <c r="K86" s="63"/>
      <c r="L86" s="63"/>
      <c r="M86" s="23"/>
      <c r="N86" s="39" t="s">
        <v>818</v>
      </c>
    </row>
    <row r="87" spans="1:16">
      <c r="B87" s="48">
        <f>B5</f>
        <v>2023</v>
      </c>
      <c r="C87" s="48">
        <f t="shared" ref="C87:D87" si="43">C5</f>
        <v>2022</v>
      </c>
      <c r="D87" s="48">
        <f t="shared" si="43"/>
        <v>2021</v>
      </c>
      <c r="E87" s="40"/>
      <c r="G87" s="40"/>
      <c r="H87" s="40"/>
      <c r="I87" s="40"/>
      <c r="J87" s="40"/>
      <c r="K87" s="40"/>
      <c r="L87" s="40"/>
      <c r="M87" s="40"/>
      <c r="N87"/>
    </row>
    <row r="88" spans="1:16">
      <c r="A88" s="25" t="s">
        <v>572</v>
      </c>
      <c r="E88" s="39" t="s">
        <v>824</v>
      </c>
      <c r="K88" s="21"/>
      <c r="L88" s="21"/>
      <c r="O88"/>
      <c r="P88"/>
    </row>
    <row r="89" spans="1:16">
      <c r="A89" s="25" t="s">
        <v>65</v>
      </c>
      <c r="B89" s="62" t="s">
        <v>825</v>
      </c>
      <c r="C89" s="62" t="s">
        <v>826</v>
      </c>
      <c r="D89" s="62" t="s">
        <v>827</v>
      </c>
      <c r="E89" s="39" t="s">
        <v>824</v>
      </c>
      <c r="K89" s="21"/>
      <c r="L89" s="21"/>
      <c r="O89" s="48"/>
    </row>
    <row r="90" spans="1:16">
      <c r="M90"/>
      <c r="N90" s="99"/>
      <c r="O90" s="48"/>
    </row>
    <row r="91" spans="1:16">
      <c r="J91" s="23"/>
      <c r="L91"/>
      <c r="M91"/>
      <c r="N91"/>
    </row>
    <row r="92" spans="1:16">
      <c r="B92" s="811"/>
      <c r="C92" s="811"/>
      <c r="D92" s="811"/>
      <c r="E92" s="811"/>
      <c r="F92" s="811"/>
      <c r="H92" s="812"/>
      <c r="J92" s="23"/>
      <c r="L92"/>
      <c r="M92"/>
      <c r="N92"/>
    </row>
    <row r="93" spans="1:16">
      <c r="G93" s="811"/>
      <c r="J93" s="23"/>
      <c r="L93"/>
      <c r="M93"/>
      <c r="N93"/>
    </row>
    <row r="94" spans="1:16">
      <c r="B94" s="818"/>
      <c r="C94" s="818"/>
      <c r="D94" s="818"/>
      <c r="E94" s="818"/>
      <c r="F94" s="818"/>
      <c r="G94" s="818"/>
      <c r="H94" s="818"/>
      <c r="J94" s="23"/>
      <c r="L94"/>
      <c r="M94"/>
      <c r="N94"/>
    </row>
    <row r="95" spans="1:16">
      <c r="J95" s="23"/>
      <c r="L95"/>
      <c r="M95"/>
      <c r="N95"/>
    </row>
    <row r="96" spans="1:16">
      <c r="J96" s="23"/>
      <c r="L96"/>
      <c r="M96"/>
      <c r="N96"/>
      <c r="O96"/>
    </row>
    <row r="97" spans="1:14">
      <c r="J97" s="23"/>
      <c r="L97"/>
      <c r="M97"/>
      <c r="N97"/>
    </row>
    <row r="98" spans="1:14">
      <c r="G98"/>
      <c r="M98"/>
      <c r="N98"/>
    </row>
    <row r="99" spans="1:14">
      <c r="A99"/>
      <c r="B99"/>
      <c r="C99"/>
      <c r="D99"/>
      <c r="E99"/>
      <c r="F99"/>
      <c r="G99"/>
    </row>
    <row r="100" spans="1:14">
      <c r="A100"/>
      <c r="B100"/>
      <c r="C100"/>
      <c r="D100"/>
      <c r="E100"/>
      <c r="F100"/>
      <c r="G100"/>
    </row>
  </sheetData>
  <mergeCells count="19">
    <mergeCell ref="E85:G85"/>
    <mergeCell ref="E86:G86"/>
    <mergeCell ref="H80:I80"/>
    <mergeCell ref="H81:I81"/>
    <mergeCell ref="H82:I82"/>
    <mergeCell ref="H83:I83"/>
    <mergeCell ref="H84:I84"/>
    <mergeCell ref="H85:I85"/>
    <mergeCell ref="H86:I86"/>
    <mergeCell ref="E80:G80"/>
    <mergeCell ref="E81:G81"/>
    <mergeCell ref="E82:G82"/>
    <mergeCell ref="E83:G83"/>
    <mergeCell ref="E84:G84"/>
    <mergeCell ref="G2:J2"/>
    <mergeCell ref="D4:M4"/>
    <mergeCell ref="R5:S5"/>
    <mergeCell ref="H79:I79"/>
    <mergeCell ref="E79:G79"/>
  </mergeCells>
  <phoneticPr fontId="80" type="noConversion"/>
  <pageMargins left="0.75" right="0.75" top="1" bottom="1" header="0" footer="0"/>
  <pageSetup orientation="portrait" horizontalDpi="4294967292" r:id="rId1"/>
  <headerFooter alignWithMargins="0"/>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62ABDA6886CF6498653E646AB2571ED" ma:contentTypeVersion="16" ma:contentTypeDescription="Create a new document." ma:contentTypeScope="" ma:versionID="235e0e40c567e6394453f2090fab65a6">
  <xsd:schema xmlns:xsd="http://www.w3.org/2001/XMLSchema" xmlns:xs="http://www.w3.org/2001/XMLSchema" xmlns:p="http://schemas.microsoft.com/office/2006/metadata/properties" xmlns:ns2="6ba73c8a-1af7-4183-b158-1cd1291da2b6" xmlns:ns3="8c89d0e4-a8d9-42ba-a773-c59a56f7723e" targetNamespace="http://schemas.microsoft.com/office/2006/metadata/properties" ma:root="true" ma:fieldsID="be2affa39fb2f3cdc665ba7b2e6a6e47" ns2:_="" ns3:_="">
    <xsd:import namespace="6ba73c8a-1af7-4183-b158-1cd1291da2b6"/>
    <xsd:import namespace="8c89d0e4-a8d9-42ba-a773-c59a56f7723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a73c8a-1af7-4183-b158-1cd1291da2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a48f9566-069b-479b-843d-4f6c74a4a3f0"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c89d0e4-a8d9-42ba-a773-c59a56f7723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b20a6b64-fbb8-4bf5-b941-ddf64427d44d}" ma:internalName="TaxCatchAll" ma:showField="CatchAllData" ma:web="8c89d0e4-a8d9-42ba-a773-c59a56f772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ba73c8a-1af7-4183-b158-1cd1291da2b6">
      <Terms xmlns="http://schemas.microsoft.com/office/infopath/2007/PartnerControls"/>
    </lcf76f155ced4ddcb4097134ff3c332f>
    <TaxCatchAll xmlns="8c89d0e4-a8d9-42ba-a773-c59a56f7723e" xsi:nil="true"/>
  </documentManagement>
</p:properties>
</file>

<file path=customXml/itemProps1.xml><?xml version="1.0" encoding="utf-8"?>
<ds:datastoreItem xmlns:ds="http://schemas.openxmlformats.org/officeDocument/2006/customXml" ds:itemID="{1BD3CAAE-B6BB-4C52-A4A0-C29604F6E74F}"/>
</file>

<file path=customXml/itemProps2.xml><?xml version="1.0" encoding="utf-8"?>
<ds:datastoreItem xmlns:ds="http://schemas.openxmlformats.org/officeDocument/2006/customXml" ds:itemID="{E4E33FEE-1117-4802-A5BB-FA073D1C6E04}"/>
</file>

<file path=customXml/itemProps3.xml><?xml version="1.0" encoding="utf-8"?>
<ds:datastoreItem xmlns:ds="http://schemas.openxmlformats.org/officeDocument/2006/customXml" ds:itemID="{A881089C-6E2A-4FD7-A402-55E9C86C97B5}"/>
</file>

<file path=docProps/app.xml><?xml version="1.0" encoding="utf-8"?>
<Properties xmlns="http://schemas.openxmlformats.org/officeDocument/2006/extended-properties" xmlns:vt="http://schemas.openxmlformats.org/officeDocument/2006/docPropsVTypes">
  <Application>Microsoft Excel Online</Application>
  <Manager/>
  <Company>HIL CONSULTORES, S.C.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ABRAHAM E. HERNANDEZ P.</dc:creator>
  <cp:keywords/>
  <dc:description/>
  <cp:lastModifiedBy>DEOLIZE CARVALHO COSTA NETO</cp:lastModifiedBy>
  <cp:revision/>
  <dcterms:created xsi:type="dcterms:W3CDTF">2000-04-19T14:51:26Z</dcterms:created>
  <dcterms:modified xsi:type="dcterms:W3CDTF">2025-09-23T12:52:41Z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0x010100162ABDA6886CF6498653E646AB2571ED</vt:lpwstr>
  </property>
  <property fmtid="{D5CDD505-2E9C-101B-9397-08002B2CF9AE}" pid="3" name="Order">
    <vt:r8>7100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MediaServiceImageTags">
    <vt:lpwstr/>
  </property>
</Properties>
</file>