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drawings/drawing4.xml" ContentType="application/vnd.openxmlformats-officedocument.drawing+xml"/>
  <Override PartName="/xl/tables/table1.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6.xml" ContentType="application/vnd.openxmlformats-officedocument.spreadsheetml.comments+xml"/>
  <Override PartName="/xl/tables/table3.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tables/table4.xml" ContentType="application/vnd.openxmlformats-officedocument.spreadsheetml.tab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5.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23"/>
  <workbookPr codeName="ThisWorkbook"/>
  <mc:AlternateContent xmlns:mc="http://schemas.openxmlformats.org/markup-compatibility/2006">
    <mc:Choice Requires="x15">
      <x15ac:absPath xmlns:x15ac="http://schemas.microsoft.com/office/spreadsheetml/2010/11/ac" url="https://phdisegutl.sharepoint.com/sites/LIS-GENERAL-SecuritiesResearch/Shared Documents/Securities Research/One Pagers/24-25/3rd cycle/Team 3 (Gon%C3%A7alo Raposo)/"/>
    </mc:Choice>
  </mc:AlternateContent>
  <xr:revisionPtr revIDLastSave="12" documentId="11_F9B1DDA74639AEDEFF822E16725C8194DF808584" xr6:coauthVersionLast="47" xr6:coauthVersionMax="47" xr10:uidLastSave="{FB081552-A0B5-404D-945C-236F81429A53}"/>
  <bookViews>
    <workbookView xWindow="0" yWindow="0" windowWidth="28800" windowHeight="12300" tabRatio="644" firstSheet="3" activeTab="2" xr2:uid="{00000000-000D-0000-FFFF-FFFF00000000}"/>
  </bookViews>
  <sheets>
    <sheet name="OP" sheetId="1" r:id="rId1"/>
    <sheet name="Segments" sheetId="3" r:id="rId2"/>
    <sheet name="Peers" sheetId="10" r:id="rId3"/>
    <sheet name="DCF" sheetId="4" r:id="rId4"/>
    <sheet name="Sheet1" sheetId="29" state="hidden" r:id="rId5"/>
    <sheet name="Sheet2" sheetId="30" state="hidden" r:id="rId6"/>
    <sheet name="ESG" sheetId="31" r:id="rId7"/>
    <sheet name="Assumptions" sheetId="22" r:id="rId8"/>
    <sheet name="Fin. Data" sheetId="16" r:id="rId9"/>
    <sheet name="Sector Impact" sheetId="18" state="hidden" r:id="rId10"/>
    <sheet name="Inputs" sheetId="17" r:id="rId11"/>
    <sheet name="Research" sheetId="25" r:id="rId12"/>
    <sheet name="Forecasts" sheetId="27" state="hidden" r:id="rId13"/>
    <sheet name="Top Auto Manufacturers Companie" sheetId="28" state="hidden" r:id="rId14"/>
  </sheets>
  <externalReferences>
    <externalReference r:id="rId15"/>
    <externalReference r:id="rId16"/>
  </externalReferences>
  <definedNames>
    <definedName name="_xlnm.Print_Area" localSheetId="0">OP!$A$1:$M$77</definedName>
    <definedName name="_xlnm.Print_Area" localSheetId="1">Segments!#REF!</definedName>
    <definedName name="Benchmark">[1]ControlsH!$B$3</definedName>
    <definedName name="BestConsOv">#REF!</definedName>
    <definedName name="Broker_Name">OFFSET(#REF!,0,0,[1]ControlsH!$E$5, 1)</definedName>
    <definedName name="calCODE">[1]ControlsH!$C$4</definedName>
    <definedName name="Chart_Benchmark_100_Size">OFFSET(#REF!, 0, 0, [1]ControlsH!$E$3, 1)</definedName>
    <definedName name="Chart_Date_Size">OFFSET(#REF!, 0, 0, [1]ControlsH!$E$3, 1)</definedName>
    <definedName name="Chart_Date_VAL1_Size">OFFSET(#REF!, 0, 0, [1]ControlsH!$I$3, 1)</definedName>
    <definedName name="Chart_Date_VAL2_Size">OFFSET(#REF!, 0, 0, [1]ControlsH!$I$5, 1)</definedName>
    <definedName name="Chart_Peer_100_Size">OFFSET(#REF!, 0, 0, [1]ControlsH!$E$3, 1)</definedName>
    <definedName name="Chart_Price_100_Size">OFFSET(#REF!, 0, 0, [1]ControlsH!$E$3, 1)</definedName>
    <definedName name="Chart_Price_Size">OFFSET(#REF!, 0, 0, [1]ControlsH!$E$3, 1)</definedName>
    <definedName name="Chart_VAL1_FY1_Size">OFFSET(#REF!, 0, 0, [1]ControlsH!$F$3, 1)</definedName>
    <definedName name="Chart_VAL1_FY2_Size">OFFSET(#REF!, 0, 0, [1]ControlsH!$G$3, 1)</definedName>
    <definedName name="Chart_VAL1_FY3_Size">OFFSET(#REF!, 0, 0, [1]ControlsH!$H$3, 1)</definedName>
    <definedName name="Chart_VAL2_FY1_Size">OFFSET(#REF!, 0, 0, [1]ControlsH!$F$5, 1)</definedName>
    <definedName name="Chart_VAL2_FY2_Size">OFFSET(#REF!, 0, 0, [1]ControlsH!$G$5, 1)</definedName>
    <definedName name="Chart_VAL2_FY3_Size">OFFSET(#REF!, 0, 0, [1]ControlsH!$H$5, 1)</definedName>
    <definedName name="Chart_Volume_Size">OFFSET(#REF!, 0, 0, [1]ControlsH!$E$3, 1)</definedName>
    <definedName name="compNAME">[1]ControlsH!$B$6</definedName>
    <definedName name="CURRENCY">[1]ControlsH!$B$9</definedName>
    <definedName name="currPRICE">[1]Overview!$E$19</definedName>
    <definedName name="custBenchmark">[1]Overview!$C$9</definedName>
    <definedName name="custED">#REF!</definedName>
    <definedName name="custSD">#REF!</definedName>
    <definedName name="dayCODE">[1]ControlsH!$C$5</definedName>
    <definedName name="ED">[1]ControlsH!$B$5</definedName>
    <definedName name="ESTBrokersItem">#REF!</definedName>
    <definedName name="ESTBrokersPeriod">#REF!</definedName>
    <definedName name="ESTDetailBroker">#REF!</definedName>
    <definedName name="ESTDetailBroker2">#REF!</definedName>
    <definedName name="ESTDetailPeriod">#REF!</definedName>
    <definedName name="EstDetPerO">#REF!</definedName>
    <definedName name="EstDetPerT">#REF!</definedName>
    <definedName name="ExternalData_1" localSheetId="11" hidden="1">Research!$P$6:$V$37</definedName>
    <definedName name="ExternalData_1" localSheetId="13" hidden="1">'Top Auto Manufacturers Companie'!$A$1:$G$32</definedName>
    <definedName name="FinancialsPeriod">#REF!</definedName>
    <definedName name="fundTICKER">[1]ControlsH!$B$15</definedName>
    <definedName name="GraphValRatio1">#REF!</definedName>
    <definedName name="GraphValRatio2">#REF!</definedName>
    <definedName name="Index1">#REF!</definedName>
    <definedName name="Lang">[1]Overview!$D$11</definedName>
    <definedName name="newCrncy">[1]ControlsH!$B$21:$B$199</definedName>
    <definedName name="newEstBrokerPeriod">#REF!</definedName>
    <definedName name="newEstBrokersItem">#REF!</definedName>
    <definedName name="newEstDetailBroker">#REF!</definedName>
    <definedName name="newEstDetailBroker2">#REF!</definedName>
    <definedName name="newEstDetailPeriod">#REF!</definedName>
    <definedName name="newFinancialsPeriod">#REF!</definedName>
    <definedName name="newOverviewCon">#REF!</definedName>
    <definedName name="newOverviewYear">#REF!</definedName>
    <definedName name="newOwners">#REF!</definedName>
    <definedName name="newPeersRatio">#REF!</definedName>
    <definedName name="newPeriod">#REF!</definedName>
    <definedName name="newValRatio1">#REF!</definedName>
    <definedName name="newValRatio2">#REF!</definedName>
    <definedName name="OverviewValRatioPeriod">[1]Overview!$D$30</definedName>
    <definedName name="PeerDate1">[1]Peers!$S$11</definedName>
    <definedName name="peerHist1">#REF!</definedName>
    <definedName name="PeerIndex">[1]ControlsH!$F$35:$F$36</definedName>
    <definedName name="Peers">OFFSET([1]Peers!$C$18,0,0,MAX(COUNTA([1]Peers!$C$18:$C$47),1),1)</definedName>
    <definedName name="peersWEIGHT">[1]ControlsH!$B$13</definedName>
    <definedName name="PERIODICITY">[1]ControlsH!$C$3</definedName>
    <definedName name="salesGEOG">OFFSET([1]Overview!$W$16, 0, 0,#REF!, 1)</definedName>
    <definedName name="salesPROD">OFFSET([1]Overview!$Q$16, 0, 0,#REF!, 1)</definedName>
    <definedName name="SD">[1]ControlsH!$B$4</definedName>
    <definedName name="Sectors" localSheetId="7">'[2]Sector Impact'!$K$4:$K$16</definedName>
    <definedName name="Sectors">'Sector Impact'!$K$4:$K$16</definedName>
    <definedName name="shBroker1">#REF!</definedName>
    <definedName name="shBrokerRange">#REF!</definedName>
    <definedName name="shOverviewYear">#REF!</definedName>
    <definedName name="shPeer1">#REF!</definedName>
    <definedName name="shPeerRange">#REF!</definedName>
    <definedName name="shPeersDate1">#REF!</definedName>
    <definedName name="startingDate">#REF!</definedName>
    <definedName name="Target_Price">OFFSET(#REF!,0,0,[1]ControlsH!$E$5, 1)</definedName>
    <definedName name="TICKER">[1]Overview!$D$8</definedName>
    <definedName name="Top20OwnerType">[1]Owners!$E$24</definedName>
    <definedName name="ViewConsolidatedOrParent">[1]Overview!$O$13</definedName>
    <definedName name="ViewYear">[1]Overview!$U$13</definedName>
    <definedName name="YTDdt">[1]ControlsH!$G$34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14" i="10" l="1"/>
  <c r="N31" i="22"/>
  <c r="M9" i="22"/>
  <c r="C79" i="22"/>
  <c r="D79" i="22"/>
  <c r="E79" i="22"/>
  <c r="F79" i="22"/>
  <c r="G79" i="22"/>
  <c r="H79" i="22"/>
  <c r="I79" i="22"/>
  <c r="J79" i="22"/>
  <c r="K79" i="22"/>
  <c r="L79" i="22"/>
  <c r="M79" i="22"/>
  <c r="N79" i="22"/>
  <c r="E78" i="22"/>
  <c r="E76" i="22"/>
  <c r="M31" i="22"/>
  <c r="G40" i="4"/>
  <c r="H40" i="4" s="1"/>
  <c r="I40" i="4" s="1"/>
  <c r="J40" i="4" s="1"/>
  <c r="K40" i="4" s="1"/>
  <c r="L40" i="4" s="1"/>
  <c r="M40" i="4" s="1"/>
  <c r="N40" i="4" s="1"/>
  <c r="O40" i="4" s="1"/>
  <c r="P40" i="4" s="1"/>
  <c r="Q40" i="4" s="1"/>
  <c r="R40" i="4" s="1"/>
  <c r="S40" i="4" s="1"/>
  <c r="T40" i="4" s="1"/>
  <c r="U40" i="4" s="1"/>
  <c r="V40" i="4" s="1"/>
  <c r="W40" i="4" s="1"/>
  <c r="X40" i="4" s="1"/>
  <c r="Y40" i="4" s="1"/>
  <c r="Z40" i="4" s="1"/>
  <c r="AA40" i="4" s="1"/>
  <c r="AB40" i="4" s="1"/>
  <c r="AC40" i="4" s="1"/>
  <c r="AD40" i="4" s="1"/>
  <c r="AE40" i="4" s="1"/>
  <c r="AF40" i="4" s="1"/>
  <c r="G38" i="4"/>
  <c r="H38" i="4" s="1"/>
  <c r="I38" i="4" s="1"/>
  <c r="J38" i="4" s="1"/>
  <c r="K38" i="4" s="1"/>
  <c r="L38" i="4" s="1"/>
  <c r="M38" i="4" s="1"/>
  <c r="N38" i="4" s="1"/>
  <c r="O38" i="4" s="1"/>
  <c r="P38" i="4" s="1"/>
  <c r="Q38" i="4" s="1"/>
  <c r="R38" i="4" s="1"/>
  <c r="S38" i="4" s="1"/>
  <c r="T38" i="4" s="1"/>
  <c r="U38" i="4" s="1"/>
  <c r="V38" i="4" s="1"/>
  <c r="W38" i="4" s="1"/>
  <c r="X38" i="4" s="1"/>
  <c r="Y38" i="4" s="1"/>
  <c r="Z38" i="4" s="1"/>
  <c r="AA38" i="4" s="1"/>
  <c r="AB38" i="4" s="1"/>
  <c r="AC38" i="4" s="1"/>
  <c r="AD38" i="4" s="1"/>
  <c r="AE38" i="4" s="1"/>
  <c r="AF38" i="4" s="1"/>
  <c r="F73" i="10"/>
  <c r="E73" i="10"/>
  <c r="E70" i="10"/>
  <c r="B82" i="17"/>
  <c r="C31" i="30"/>
  <c r="C30" i="30"/>
  <c r="C14" i="30"/>
  <c r="C34" i="30"/>
  <c r="C35" i="30"/>
  <c r="C24" i="30"/>
  <c r="C21" i="30"/>
  <c r="C25" i="30"/>
  <c r="C20" i="30"/>
  <c r="C17" i="30"/>
  <c r="C15" i="30"/>
  <c r="C36" i="30"/>
  <c r="C16" i="30"/>
  <c r="C40" i="30"/>
  <c r="C19" i="30"/>
  <c r="C33" i="30"/>
  <c r="C39" i="30"/>
  <c r="C26" i="30"/>
  <c r="C38" i="30"/>
  <c r="C32" i="30"/>
  <c r="C27" i="30"/>
  <c r="C23" i="30"/>
  <c r="C22" i="30"/>
  <c r="C29" i="30"/>
  <c r="C28" i="30"/>
  <c r="C37" i="30"/>
  <c r="C18" i="30"/>
  <c r="G7" i="4" l="1"/>
  <c r="C28" i="22"/>
  <c r="N28" i="22" s="1"/>
  <c r="M20" i="22"/>
  <c r="M21" i="22"/>
  <c r="C40" i="22"/>
  <c r="E40" i="22"/>
  <c r="L47" i="22" s="1"/>
  <c r="F40" i="22"/>
  <c r="K47" i="22" s="1"/>
  <c r="G40" i="22"/>
  <c r="J47" i="22" s="1"/>
  <c r="H40" i="22"/>
  <c r="I47" i="22" s="1"/>
  <c r="I40" i="22"/>
  <c r="H47" i="22" s="1"/>
  <c r="J40" i="22"/>
  <c r="G47" i="22" s="1"/>
  <c r="K40" i="22"/>
  <c r="F47" i="22" s="1"/>
  <c r="L40" i="22"/>
  <c r="E47" i="22" s="1"/>
  <c r="M40" i="22"/>
  <c r="D47" i="22" s="1"/>
  <c r="N40" i="22"/>
  <c r="C47" i="22" s="1"/>
  <c r="D40" i="22"/>
  <c r="M47" i="22" s="1"/>
  <c r="D24" i="22"/>
  <c r="E24" i="22"/>
  <c r="F24" i="22"/>
  <c r="G24" i="22"/>
  <c r="H24" i="22"/>
  <c r="C24" i="22"/>
  <c r="F9" i="4"/>
  <c r="G9" i="4" s="1"/>
  <c r="D9" i="4"/>
  <c r="E14" i="27"/>
  <c r="C14" i="27"/>
  <c r="D14" i="27" s="1"/>
  <c r="AF5" i="4"/>
  <c r="AE5" i="4"/>
  <c r="AD5" i="4"/>
  <c r="AC5" i="4"/>
  <c r="AB5" i="4"/>
  <c r="AA5" i="4"/>
  <c r="Z5" i="4"/>
  <c r="Y5" i="4"/>
  <c r="X5" i="4"/>
  <c r="W5" i="4"/>
  <c r="V5" i="4"/>
  <c r="U5" i="4"/>
  <c r="T5" i="4"/>
  <c r="E9" i="4"/>
  <c r="E48" i="22"/>
  <c r="C49" i="22"/>
  <c r="D49" i="22"/>
  <c r="E49" i="22"/>
  <c r="F49" i="22"/>
  <c r="G49" i="22"/>
  <c r="H49" i="22"/>
  <c r="I49" i="22"/>
  <c r="J49" i="22"/>
  <c r="K49" i="22"/>
  <c r="L49" i="22"/>
  <c r="M49" i="22"/>
  <c r="N49" i="22"/>
  <c r="H64" i="17"/>
  <c r="H9" i="17"/>
  <c r="G9" i="17"/>
  <c r="F9" i="17"/>
  <c r="E9" i="17"/>
  <c r="D9" i="17"/>
  <c r="C9" i="17"/>
  <c r="B9" i="17"/>
  <c r="M9" i="17"/>
  <c r="L9" i="17"/>
  <c r="K9" i="17"/>
  <c r="J9" i="17"/>
  <c r="I9" i="17"/>
  <c r="C10" i="17"/>
  <c r="B10" i="17"/>
  <c r="B62" i="3"/>
  <c r="B61" i="3"/>
  <c r="B15" i="3"/>
  <c r="B2" i="3"/>
  <c r="D37" i="22"/>
  <c r="E37" i="22" s="1"/>
  <c r="F37" i="22" s="1"/>
  <c r="G37" i="22" s="1"/>
  <c r="H37" i="22" s="1"/>
  <c r="I37" i="22" s="1"/>
  <c r="J37" i="22" s="1"/>
  <c r="K37" i="22" s="1"/>
  <c r="L37" i="22" s="1"/>
  <c r="M37" i="22" s="1"/>
  <c r="N37" i="22" s="1"/>
  <c r="C48" i="22" s="1"/>
  <c r="C22" i="29"/>
  <c r="D27" i="30"/>
  <c r="D33" i="30"/>
  <c r="D37" i="30"/>
  <c r="D20" i="30"/>
  <c r="C16" i="27"/>
  <c r="D28" i="30"/>
  <c r="D25" i="30"/>
  <c r="E15" i="30"/>
  <c r="D40" i="30"/>
  <c r="C23" i="29"/>
  <c r="E29" i="30"/>
  <c r="C30" i="27"/>
  <c r="D34" i="30"/>
  <c r="C21" i="29"/>
  <c r="E18" i="30"/>
  <c r="C28" i="29"/>
  <c r="D24" i="30"/>
  <c r="C28" i="27"/>
  <c r="C26" i="27"/>
  <c r="D26" i="30"/>
  <c r="C18" i="29"/>
  <c r="D31" i="30"/>
  <c r="C35" i="27"/>
  <c r="D38" i="30"/>
  <c r="D14" i="30"/>
  <c r="C24" i="29"/>
  <c r="C22" i="27"/>
  <c r="D17" i="30"/>
  <c r="C19" i="27"/>
  <c r="C17" i="29"/>
  <c r="C31" i="27"/>
  <c r="D32" i="30"/>
  <c r="C21" i="27"/>
  <c r="C25" i="27"/>
  <c r="E19" i="30"/>
  <c r="E36" i="30"/>
  <c r="C20" i="29"/>
  <c r="C25" i="29"/>
  <c r="C39" i="29"/>
  <c r="C37" i="27"/>
  <c r="D35" i="30"/>
  <c r="E26" i="30"/>
  <c r="E21" i="30"/>
  <c r="C35" i="29"/>
  <c r="E38" i="30"/>
  <c r="C15" i="27"/>
  <c r="C23" i="27"/>
  <c r="C20" i="27"/>
  <c r="C30" i="29"/>
  <c r="C40" i="27"/>
  <c r="E35" i="30"/>
  <c r="D18" i="30"/>
  <c r="C31" i="29"/>
  <c r="C24" i="27"/>
  <c r="C36" i="27"/>
  <c r="C39" i="27"/>
  <c r="D39" i="30"/>
  <c r="E34" i="30"/>
  <c r="D29" i="30"/>
  <c r="C19" i="29"/>
  <c r="C36" i="29"/>
  <c r="D19" i="30"/>
  <c r="D30" i="30"/>
  <c r="E27" i="30"/>
  <c r="C32" i="27"/>
  <c r="E20" i="30"/>
  <c r="C16" i="29"/>
  <c r="C18" i="27"/>
  <c r="E39" i="30"/>
  <c r="E25" i="30"/>
  <c r="C38" i="27"/>
  <c r="C33" i="29"/>
  <c r="E14" i="30"/>
  <c r="E32" i="30"/>
  <c r="E37" i="30"/>
  <c r="C33" i="27"/>
  <c r="D16" i="30"/>
  <c r="C40" i="29"/>
  <c r="C37" i="29"/>
  <c r="C29" i="29"/>
  <c r="E24" i="30"/>
  <c r="D23" i="30"/>
  <c r="C26" i="29"/>
  <c r="D21" i="30"/>
  <c r="D15" i="30"/>
  <c r="C27" i="27"/>
  <c r="E16" i="30"/>
  <c r="C38" i="29"/>
  <c r="E31" i="30"/>
  <c r="C34" i="27"/>
  <c r="C34" i="29"/>
  <c r="C27" i="29"/>
  <c r="E22" i="30"/>
  <c r="C15" i="29"/>
  <c r="E17" i="30"/>
  <c r="E23" i="30"/>
  <c r="E33" i="30"/>
  <c r="D22" i="30"/>
  <c r="C29" i="27"/>
  <c r="D36" i="30"/>
  <c r="E40" i="30"/>
  <c r="C32" i="29"/>
  <c r="E30" i="30"/>
  <c r="C17" i="27"/>
  <c r="E28" i="30"/>
  <c r="K50" i="22" l="1"/>
  <c r="D50" i="22"/>
  <c r="E50" i="22"/>
  <c r="J50" i="22"/>
  <c r="F48" i="22"/>
  <c r="F76" i="22"/>
  <c r="F78" i="22"/>
  <c r="H9" i="4"/>
  <c r="I9" i="4" s="1"/>
  <c r="J9" i="4" s="1"/>
  <c r="K9" i="4" s="1"/>
  <c r="L9" i="4" s="1"/>
  <c r="M9" i="4" s="1"/>
  <c r="N9" i="4" s="1"/>
  <c r="O9" i="4" s="1"/>
  <c r="P9" i="4" s="1"/>
  <c r="Q9" i="4" s="1"/>
  <c r="R9" i="4" s="1"/>
  <c r="S9" i="4" s="1"/>
  <c r="T9" i="4" s="1"/>
  <c r="U9" i="4" s="1"/>
  <c r="V9" i="4" s="1"/>
  <c r="W9" i="4" s="1"/>
  <c r="X9" i="4" s="1"/>
  <c r="Y9" i="4" s="1"/>
  <c r="Z9" i="4" s="1"/>
  <c r="AA9" i="4" s="1"/>
  <c r="AB9" i="4" s="1"/>
  <c r="AC9" i="4" s="1"/>
  <c r="AD9" i="4" s="1"/>
  <c r="AE9" i="4" s="1"/>
  <c r="AF9" i="4" s="1"/>
  <c r="G41" i="4"/>
  <c r="I50" i="22"/>
  <c r="G50" i="22"/>
  <c r="L50" i="22"/>
  <c r="H50" i="22"/>
  <c r="M52" i="22"/>
  <c r="M50" i="22"/>
  <c r="F50" i="22"/>
  <c r="N50" i="22"/>
  <c r="O50" i="22"/>
  <c r="N52" i="22"/>
  <c r="K52" i="22"/>
  <c r="J52" i="22"/>
  <c r="D52" i="22"/>
  <c r="H52" i="22"/>
  <c r="G52" i="22"/>
  <c r="E52" i="22"/>
  <c r="L52" i="22"/>
  <c r="I52" i="22"/>
  <c r="F52" i="22"/>
  <c r="O52" i="22"/>
  <c r="B13" i="17"/>
  <c r="F25" i="1"/>
  <c r="E27" i="27"/>
  <c r="D27" i="29"/>
  <c r="E31" i="29"/>
  <c r="E30" i="27"/>
  <c r="E39" i="27"/>
  <c r="D36" i="27"/>
  <c r="D17" i="29"/>
  <c r="D29" i="29"/>
  <c r="E38" i="27"/>
  <c r="E34" i="29"/>
  <c r="E15" i="29"/>
  <c r="E35" i="27"/>
  <c r="E26" i="27"/>
  <c r="D19" i="27"/>
  <c r="D17" i="27"/>
  <c r="D33" i="27"/>
  <c r="E15" i="27"/>
  <c r="E17" i="27"/>
  <c r="D33" i="29"/>
  <c r="E36" i="27"/>
  <c r="E16" i="27"/>
  <c r="E37" i="29"/>
  <c r="D34" i="29"/>
  <c r="E22" i="27"/>
  <c r="D18" i="29"/>
  <c r="D21" i="27"/>
  <c r="D16" i="29"/>
  <c r="E23" i="27"/>
  <c r="D35" i="27"/>
  <c r="E35" i="29"/>
  <c r="E28" i="29"/>
  <c r="D32" i="29"/>
  <c r="D18" i="27"/>
  <c r="D31" i="29"/>
  <c r="E33" i="27"/>
  <c r="D15" i="27"/>
  <c r="D23" i="27"/>
  <c r="D15" i="29"/>
  <c r="E18" i="27"/>
  <c r="D30" i="29"/>
  <c r="D28" i="29"/>
  <c r="D26" i="27"/>
  <c r="D30" i="27"/>
  <c r="E21" i="29"/>
  <c r="D37" i="27"/>
  <c r="D22" i="29"/>
  <c r="E34" i="27"/>
  <c r="E40" i="27"/>
  <c r="E19" i="27"/>
  <c r="E20" i="27"/>
  <c r="D20" i="27"/>
  <c r="D19" i="29"/>
  <c r="D40" i="27"/>
  <c r="E19" i="29"/>
  <c r="D38" i="29"/>
  <c r="D27" i="27"/>
  <c r="E26" i="29"/>
  <c r="E25" i="29"/>
  <c r="D25" i="27"/>
  <c r="D36" i="29"/>
  <c r="E27" i="29"/>
  <c r="D28" i="27"/>
  <c r="D22" i="27"/>
  <c r="E22" i="29"/>
  <c r="D34" i="27"/>
  <c r="D25" i="29"/>
  <c r="D31" i="27"/>
  <c r="E32" i="27"/>
  <c r="E40" i="29"/>
  <c r="E37" i="27"/>
  <c r="E28" i="27"/>
  <c r="D24" i="27"/>
  <c r="D32" i="27"/>
  <c r="E25" i="27"/>
  <c r="D21" i="29"/>
  <c r="D29" i="27"/>
  <c r="E33" i="29"/>
  <c r="E23" i="29"/>
  <c r="D20" i="29"/>
  <c r="E32" i="29"/>
  <c r="D39" i="29"/>
  <c r="D40" i="29"/>
  <c r="E18" i="29"/>
  <c r="E39" i="29"/>
  <c r="E29" i="27"/>
  <c r="E36" i="29"/>
  <c r="E30" i="29"/>
  <c r="E31" i="27"/>
  <c r="D24" i="29"/>
  <c r="E24" i="29"/>
  <c r="E21" i="27"/>
  <c r="E38" i="29"/>
  <c r="D23" i="29"/>
  <c r="E29" i="29"/>
  <c r="E16" i="29"/>
  <c r="D39" i="27"/>
  <c r="D38" i="27"/>
  <c r="E17" i="29"/>
  <c r="D35" i="29"/>
  <c r="D16" i="27"/>
  <c r="D26" i="29"/>
  <c r="D37" i="29"/>
  <c r="E20" i="29"/>
  <c r="E24" i="27"/>
  <c r="N9" i="22" l="1"/>
  <c r="G48" i="22"/>
  <c r="G76" i="22"/>
  <c r="G78" i="22"/>
  <c r="P52" i="22"/>
  <c r="J19" i="22"/>
  <c r="J21" i="22"/>
  <c r="J24" i="22"/>
  <c r="J25" i="22"/>
  <c r="J30" i="22"/>
  <c r="D56" i="3"/>
  <c r="B55" i="3" s="1"/>
  <c r="E56" i="3"/>
  <c r="F56" i="3"/>
  <c r="G56" i="3"/>
  <c r="K55" i="3"/>
  <c r="J55" i="3"/>
  <c r="I55" i="3"/>
  <c r="K54" i="3"/>
  <c r="J54" i="3"/>
  <c r="I54" i="3"/>
  <c r="J53" i="3"/>
  <c r="K53" i="3" s="1"/>
  <c r="L53" i="3" s="1"/>
  <c r="E53" i="3"/>
  <c r="F53" i="3" s="1"/>
  <c r="G53" i="3" s="1"/>
  <c r="I49" i="3"/>
  <c r="F49" i="3"/>
  <c r="G49" i="3"/>
  <c r="H49" i="3"/>
  <c r="E49" i="3"/>
  <c r="D49" i="3"/>
  <c r="O48" i="3"/>
  <c r="N48" i="3"/>
  <c r="M48" i="3"/>
  <c r="L48" i="3"/>
  <c r="K48" i="3"/>
  <c r="O47" i="3"/>
  <c r="N47" i="3"/>
  <c r="M47" i="3"/>
  <c r="L47" i="3"/>
  <c r="K47" i="3"/>
  <c r="O46" i="3"/>
  <c r="N46" i="3"/>
  <c r="M46" i="3"/>
  <c r="L46" i="3"/>
  <c r="K46" i="3"/>
  <c r="O45" i="3"/>
  <c r="N45" i="3"/>
  <c r="M45" i="3"/>
  <c r="L45" i="3"/>
  <c r="K45" i="3"/>
  <c r="O44" i="3"/>
  <c r="N44" i="3"/>
  <c r="M44" i="3"/>
  <c r="L44" i="3"/>
  <c r="K44" i="3"/>
  <c r="O43" i="3"/>
  <c r="N43" i="3"/>
  <c r="M43" i="3"/>
  <c r="L43" i="3"/>
  <c r="K43" i="3"/>
  <c r="O42" i="3"/>
  <c r="N42" i="3"/>
  <c r="M42" i="3"/>
  <c r="L42" i="3"/>
  <c r="K42" i="3"/>
  <c r="O41" i="3"/>
  <c r="N41" i="3"/>
  <c r="M41" i="3"/>
  <c r="L41" i="3"/>
  <c r="K41" i="3"/>
  <c r="O40" i="3"/>
  <c r="N40" i="3"/>
  <c r="M40" i="3"/>
  <c r="L40" i="3"/>
  <c r="K40" i="3"/>
  <c r="L39" i="3"/>
  <c r="M39" i="3" s="1"/>
  <c r="N39" i="3" s="1"/>
  <c r="O39" i="3" s="1"/>
  <c r="P39" i="3" s="1"/>
  <c r="E39" i="3"/>
  <c r="F39" i="3" s="1"/>
  <c r="G39" i="3" s="1"/>
  <c r="H39" i="3" s="1"/>
  <c r="I39" i="3" s="1"/>
  <c r="E28" i="3"/>
  <c r="F28" i="3" s="1"/>
  <c r="G28" i="3" s="1"/>
  <c r="H28" i="3" s="1"/>
  <c r="I28" i="3" s="1"/>
  <c r="L28" i="3"/>
  <c r="M28" i="3" s="1"/>
  <c r="N28" i="3" s="1"/>
  <c r="O28" i="3" s="1"/>
  <c r="P28" i="3" s="1"/>
  <c r="K29" i="3"/>
  <c r="L29" i="3"/>
  <c r="M29" i="3"/>
  <c r="N29" i="3"/>
  <c r="O29" i="3"/>
  <c r="K30" i="3"/>
  <c r="L30" i="3"/>
  <c r="M30" i="3"/>
  <c r="N30" i="3"/>
  <c r="O30" i="3"/>
  <c r="K31" i="3"/>
  <c r="L31" i="3"/>
  <c r="M31" i="3"/>
  <c r="N31" i="3"/>
  <c r="O31" i="3"/>
  <c r="K32" i="3"/>
  <c r="L32" i="3"/>
  <c r="M32" i="3"/>
  <c r="N32" i="3"/>
  <c r="O32" i="3"/>
  <c r="K33" i="3"/>
  <c r="L33" i="3"/>
  <c r="M33" i="3"/>
  <c r="N33" i="3"/>
  <c r="O33" i="3"/>
  <c r="K34" i="3"/>
  <c r="L34" i="3"/>
  <c r="M34" i="3"/>
  <c r="N34" i="3"/>
  <c r="O34" i="3"/>
  <c r="D35" i="3"/>
  <c r="E35" i="3"/>
  <c r="F35" i="3"/>
  <c r="G35" i="3"/>
  <c r="H35" i="3"/>
  <c r="I35" i="3"/>
  <c r="I14" i="1"/>
  <c r="M102" i="1"/>
  <c r="L102" i="1"/>
  <c r="K102" i="1"/>
  <c r="J102" i="1"/>
  <c r="I102" i="1"/>
  <c r="H48" i="22" l="1"/>
  <c r="H78" i="22"/>
  <c r="H76" i="22"/>
  <c r="J56" i="3"/>
  <c r="K56" i="3"/>
  <c r="I56" i="3"/>
  <c r="B54" i="3"/>
  <c r="B56" i="3" s="1"/>
  <c r="O49" i="3"/>
  <c r="N49" i="3"/>
  <c r="K49" i="3"/>
  <c r="B46" i="3"/>
  <c r="B40" i="3"/>
  <c r="L49" i="3"/>
  <c r="B43" i="3"/>
  <c r="M49" i="3"/>
  <c r="K35" i="3"/>
  <c r="M35" i="3"/>
  <c r="N35" i="3"/>
  <c r="L35" i="3"/>
  <c r="B29" i="3"/>
  <c r="B30" i="3"/>
  <c r="O35" i="3"/>
  <c r="M16" i="1"/>
  <c r="M15" i="1"/>
  <c r="M18" i="1"/>
  <c r="I48" i="22" l="1"/>
  <c r="I76" i="22"/>
  <c r="I78" i="22"/>
  <c r="B49" i="3"/>
  <c r="M76" i="1"/>
  <c r="J48" i="22" l="1"/>
  <c r="J76" i="22"/>
  <c r="J78" i="22"/>
  <c r="K19" i="22"/>
  <c r="K21" i="22"/>
  <c r="K24" i="22"/>
  <c r="K25" i="22"/>
  <c r="K30" i="22"/>
  <c r="J16" i="22"/>
  <c r="K16" i="22"/>
  <c r="H23" i="22"/>
  <c r="H26" i="22"/>
  <c r="H27" i="22"/>
  <c r="H28" i="22"/>
  <c r="H9" i="22"/>
  <c r="H10" i="22"/>
  <c r="D75" i="3"/>
  <c r="D23" i="22"/>
  <c r="E23" i="22"/>
  <c r="F23" i="22"/>
  <c r="G23" i="22"/>
  <c r="C23" i="22"/>
  <c r="D28" i="22"/>
  <c r="M28" i="22" s="1"/>
  <c r="E28" i="22"/>
  <c r="F28" i="22"/>
  <c r="G28" i="22"/>
  <c r="D26" i="22"/>
  <c r="E26" i="22"/>
  <c r="F26" i="22"/>
  <c r="G26" i="22"/>
  <c r="C26" i="22"/>
  <c r="M26" i="22" s="1"/>
  <c r="D27" i="22"/>
  <c r="E27" i="22"/>
  <c r="F27" i="22"/>
  <c r="C27" i="22"/>
  <c r="I27" i="4"/>
  <c r="D18" i="10"/>
  <c r="E18" i="10"/>
  <c r="F18" i="10"/>
  <c r="G18" i="10"/>
  <c r="H18" i="10"/>
  <c r="B87" i="17"/>
  <c r="K48" i="22" l="1"/>
  <c r="K76" i="22"/>
  <c r="K78" i="22"/>
  <c r="J23" i="22"/>
  <c r="J28" i="22"/>
  <c r="J26" i="22"/>
  <c r="N26" i="22" s="1"/>
  <c r="G27" i="4"/>
  <c r="K27" i="22"/>
  <c r="M27" i="22" s="1"/>
  <c r="K23" i="22"/>
  <c r="K26" i="22"/>
  <c r="K28" i="22"/>
  <c r="H27" i="4"/>
  <c r="I48" i="10"/>
  <c r="O6" i="3"/>
  <c r="O7" i="3"/>
  <c r="O8" i="3"/>
  <c r="O9" i="3"/>
  <c r="N6" i="3"/>
  <c r="N7" i="3"/>
  <c r="N8" i="3"/>
  <c r="N9" i="3"/>
  <c r="M6" i="3"/>
  <c r="M7" i="3"/>
  <c r="M8" i="3"/>
  <c r="M9" i="3"/>
  <c r="L6" i="3"/>
  <c r="L7" i="3"/>
  <c r="L8" i="3"/>
  <c r="L9" i="3"/>
  <c r="K6" i="3"/>
  <c r="K7" i="3"/>
  <c r="K8" i="3"/>
  <c r="K9" i="3"/>
  <c r="L48" i="22" l="1"/>
  <c r="L76" i="22"/>
  <c r="L78" i="22"/>
  <c r="D6" i="4"/>
  <c r="E6" i="4"/>
  <c r="F6" i="4"/>
  <c r="G24" i="4"/>
  <c r="C16" i="22"/>
  <c r="H8" i="10"/>
  <c r="G8" i="10"/>
  <c r="F8" i="10"/>
  <c r="E8" i="10"/>
  <c r="D8" i="10"/>
  <c r="C60" i="17"/>
  <c r="D29" i="22" s="1"/>
  <c r="D60" i="17"/>
  <c r="E29" i="22" s="1"/>
  <c r="E60" i="17"/>
  <c r="F29" i="22" s="1"/>
  <c r="F60" i="17"/>
  <c r="G29" i="22" s="1"/>
  <c r="G60" i="17"/>
  <c r="H29" i="22" s="1"/>
  <c r="H60" i="17"/>
  <c r="I60" i="17"/>
  <c r="J60" i="17"/>
  <c r="K60" i="17"/>
  <c r="L60" i="17"/>
  <c r="M60" i="17"/>
  <c r="B60" i="17"/>
  <c r="C29" i="22" s="1"/>
  <c r="G67" i="17"/>
  <c r="H67" i="17"/>
  <c r="I67" i="17"/>
  <c r="J67" i="17"/>
  <c r="K67" i="17"/>
  <c r="L67" i="17"/>
  <c r="M67" i="17"/>
  <c r="H47" i="17"/>
  <c r="I47" i="17"/>
  <c r="J47" i="17"/>
  <c r="K47" i="17"/>
  <c r="L47" i="17"/>
  <c r="M47" i="17"/>
  <c r="E32" i="17"/>
  <c r="F32" i="17"/>
  <c r="G32" i="17"/>
  <c r="H32" i="17"/>
  <c r="I32" i="17"/>
  <c r="J32" i="17"/>
  <c r="K32" i="17"/>
  <c r="L32" i="17"/>
  <c r="M32" i="17"/>
  <c r="D32" i="17"/>
  <c r="F17" i="1"/>
  <c r="F18" i="1"/>
  <c r="F19" i="1"/>
  <c r="F20" i="1"/>
  <c r="D10" i="10" a="1"/>
  <c r="G52" i="10" l="1"/>
  <c r="D10" i="10"/>
  <c r="M48" i="22"/>
  <c r="M76" i="22"/>
  <c r="M78" i="22"/>
  <c r="J29" i="22"/>
  <c r="N29" i="22" s="1"/>
  <c r="K29" i="22"/>
  <c r="M29" i="22" s="1"/>
  <c r="I30" i="4"/>
  <c r="G30" i="4"/>
  <c r="H30" i="4"/>
  <c r="B14" i="17"/>
  <c r="B77" i="17"/>
  <c r="B75" i="17"/>
  <c r="B67" i="17"/>
  <c r="B63" i="17"/>
  <c r="B32" i="17"/>
  <c r="B36" i="17" s="1"/>
  <c r="B31" i="17"/>
  <c r="B23" i="17"/>
  <c r="E10" i="10" a="1"/>
  <c r="E45" i="10" a="1"/>
  <c r="G45" i="10" a="1"/>
  <c r="G10" i="10" a="1"/>
  <c r="D45" i="10" a="1"/>
  <c r="H45" i="10" a="1"/>
  <c r="F10" i="10" a="1"/>
  <c r="F45" i="10" a="1"/>
  <c r="H10" i="10" a="1"/>
  <c r="G10" i="10" l="1"/>
  <c r="G36" i="10" s="1"/>
  <c r="E45" i="10"/>
  <c r="D45" i="10"/>
  <c r="G45" i="10"/>
  <c r="F10" i="10"/>
  <c r="F37" i="10" s="1"/>
  <c r="E10" i="10"/>
  <c r="E37" i="10" s="1"/>
  <c r="H45" i="10"/>
  <c r="F45" i="10"/>
  <c r="H10" i="10"/>
  <c r="H36" i="10" s="1"/>
  <c r="N48" i="22"/>
  <c r="N76" i="22"/>
  <c r="N78" i="22"/>
  <c r="B37" i="17"/>
  <c r="D36" i="10"/>
  <c r="D37" i="10"/>
  <c r="F36" i="10"/>
  <c r="E36" i="10" l="1"/>
  <c r="G37" i="10"/>
  <c r="H37" i="10"/>
  <c r="H52" i="10"/>
  <c r="F52" i="10"/>
  <c r="E52" i="10"/>
  <c r="D52" i="10"/>
  <c r="E10" i="22"/>
  <c r="F10" i="22"/>
  <c r="G10" i="22"/>
  <c r="G9" i="22"/>
  <c r="F9" i="22"/>
  <c r="E9" i="22"/>
  <c r="D10" i="22"/>
  <c r="D9" i="22"/>
  <c r="C10" i="22"/>
  <c r="C9" i="22"/>
  <c r="J9" i="22" l="1"/>
  <c r="J10" i="22"/>
  <c r="N10" i="22" s="1"/>
  <c r="K7" i="4" s="1"/>
  <c r="L7" i="4" s="1"/>
  <c r="M7" i="4" s="1"/>
  <c r="N7" i="4" s="1"/>
  <c r="O7" i="4" s="1"/>
  <c r="P7" i="4" s="1"/>
  <c r="Q7" i="4" s="1"/>
  <c r="R7" i="4" s="1"/>
  <c r="S7" i="4" s="1"/>
  <c r="T7" i="4" s="1"/>
  <c r="K10" i="22"/>
  <c r="K9" i="22"/>
  <c r="D8" i="22"/>
  <c r="C49" i="10"/>
  <c r="K5" i="4" l="1"/>
  <c r="L5" i="4"/>
  <c r="M5" i="4"/>
  <c r="J5" i="4"/>
  <c r="J6" i="4" s="1"/>
  <c r="I49" i="10"/>
  <c r="J49" i="10" s="1"/>
  <c r="E8" i="22"/>
  <c r="D16" i="22"/>
  <c r="F50" i="4"/>
  <c r="L35" i="1" s="1"/>
  <c r="O19" i="3"/>
  <c r="N19" i="3"/>
  <c r="M19" i="3"/>
  <c r="L19" i="3"/>
  <c r="K19" i="3"/>
  <c r="J30" i="4" l="1"/>
  <c r="K6" i="4"/>
  <c r="K27" i="4" s="1"/>
  <c r="J27" i="4"/>
  <c r="F8" i="22"/>
  <c r="E16" i="22"/>
  <c r="I44" i="10"/>
  <c r="J44" i="10" s="1"/>
  <c r="I46" i="10"/>
  <c r="J46" i="10" s="1"/>
  <c r="E2" i="1"/>
  <c r="H22" i="10"/>
  <c r="G22" i="10"/>
  <c r="F22" i="10"/>
  <c r="E22" i="10"/>
  <c r="D22" i="10"/>
  <c r="C77" i="17"/>
  <c r="F48" i="1" s="1"/>
  <c r="D77" i="17"/>
  <c r="F47" i="1" s="1"/>
  <c r="E77" i="17"/>
  <c r="F46" i="1" s="1"/>
  <c r="F77" i="17"/>
  <c r="F45" i="1" s="1"/>
  <c r="G77" i="17"/>
  <c r="F44" i="1" s="1"/>
  <c r="H77" i="17"/>
  <c r="F43" i="1" s="1"/>
  <c r="I77" i="17"/>
  <c r="F42" i="1" s="1"/>
  <c r="J77" i="17"/>
  <c r="F41" i="1" s="1"/>
  <c r="K77" i="17"/>
  <c r="L77" i="17"/>
  <c r="M77" i="17"/>
  <c r="F49" i="1"/>
  <c r="K30" i="4" l="1"/>
  <c r="L6" i="4"/>
  <c r="M6" i="4" s="1"/>
  <c r="G102" i="1"/>
  <c r="G8" i="22"/>
  <c r="F16" i="22"/>
  <c r="C8" i="10"/>
  <c r="B12" i="1" a="1"/>
  <c r="L2" i="1" a="1"/>
  <c r="M17" i="1" a="1"/>
  <c r="C16" i="1" a="1"/>
  <c r="C15" i="1" a="1"/>
  <c r="C15" i="1" l="1"/>
  <c r="C16" i="1"/>
  <c r="B12" i="1"/>
  <c r="L2" i="1"/>
  <c r="M17" i="1"/>
  <c r="L30" i="4"/>
  <c r="N6" i="4"/>
  <c r="M30" i="4"/>
  <c r="G16" i="22"/>
  <c r="H8" i="22"/>
  <c r="E28" i="10"/>
  <c r="C23" i="17"/>
  <c r="B22" i="17" s="1"/>
  <c r="D23" i="17"/>
  <c r="E23" i="17"/>
  <c r="F23" i="17"/>
  <c r="G23" i="17"/>
  <c r="H23" i="17"/>
  <c r="I23" i="17"/>
  <c r="J23" i="17"/>
  <c r="K23" i="17"/>
  <c r="L23" i="17"/>
  <c r="M23" i="17"/>
  <c r="D21" i="4"/>
  <c r="E21" i="4"/>
  <c r="F21" i="4"/>
  <c r="D24" i="4"/>
  <c r="C45" i="10" a="1"/>
  <c r="C10" i="10" a="1"/>
  <c r="D4" i="1" a="1"/>
  <c r="D4" i="1" l="1"/>
  <c r="C10" i="10"/>
  <c r="C45" i="10"/>
  <c r="N30" i="4"/>
  <c r="O6" i="4"/>
  <c r="N27" i="4"/>
  <c r="H16" i="22"/>
  <c r="D27" i="4"/>
  <c r="E27" i="4"/>
  <c r="F27" i="4"/>
  <c r="O30" i="4" l="1"/>
  <c r="O5" i="4"/>
  <c r="P6" i="4"/>
  <c r="O27" i="4"/>
  <c r="K75" i="17"/>
  <c r="L75" i="17"/>
  <c r="M75" i="17"/>
  <c r="J75" i="17"/>
  <c r="F31" i="4"/>
  <c r="E67" i="17"/>
  <c r="M63" i="17"/>
  <c r="E63" i="17"/>
  <c r="F63" i="17"/>
  <c r="G63" i="17"/>
  <c r="H63" i="17"/>
  <c r="I63" i="17"/>
  <c r="J63" i="17"/>
  <c r="F22" i="1"/>
  <c r="F16" i="1"/>
  <c r="D28" i="4"/>
  <c r="E28" i="4"/>
  <c r="F28" i="4"/>
  <c r="F25" i="4"/>
  <c r="P30" i="4" l="1"/>
  <c r="Q6" i="4"/>
  <c r="P27" i="4"/>
  <c r="D73" i="4"/>
  <c r="Q30" i="4" l="1"/>
  <c r="R6" i="4"/>
  <c r="Q27" i="4"/>
  <c r="E75" i="17"/>
  <c r="F75" i="17"/>
  <c r="G75" i="17"/>
  <c r="H75" i="17"/>
  <c r="I75" i="17"/>
  <c r="E36" i="17"/>
  <c r="F46" i="17"/>
  <c r="C32" i="17"/>
  <c r="K50" i="17"/>
  <c r="D75" i="17"/>
  <c r="D31" i="4" s="1"/>
  <c r="C75" i="17"/>
  <c r="E31" i="4" s="1"/>
  <c r="D63" i="17"/>
  <c r="I22" i="17"/>
  <c r="K22" i="17"/>
  <c r="L18" i="3"/>
  <c r="M18" i="3"/>
  <c r="N18" i="3"/>
  <c r="O18" i="3"/>
  <c r="L20" i="3"/>
  <c r="M20" i="3"/>
  <c r="N20" i="3"/>
  <c r="O20" i="3"/>
  <c r="L21" i="3"/>
  <c r="M21" i="3"/>
  <c r="N21" i="3"/>
  <c r="O21" i="3"/>
  <c r="L22" i="3"/>
  <c r="M22" i="3"/>
  <c r="N22" i="3"/>
  <c r="O22" i="3"/>
  <c r="L23" i="3"/>
  <c r="M23" i="3"/>
  <c r="N23" i="3"/>
  <c r="O23" i="3"/>
  <c r="K20" i="3"/>
  <c r="K21" i="3"/>
  <c r="K22" i="3"/>
  <c r="K23" i="3"/>
  <c r="K18" i="3"/>
  <c r="O10" i="3"/>
  <c r="O5" i="3"/>
  <c r="N10" i="3"/>
  <c r="N5" i="3"/>
  <c r="M5" i="3"/>
  <c r="L5" i="3"/>
  <c r="K5" i="3"/>
  <c r="E11" i="4"/>
  <c r="F11" i="4"/>
  <c r="D11" i="4"/>
  <c r="C63" i="17"/>
  <c r="D67" i="17"/>
  <c r="D25" i="4" s="1"/>
  <c r="R30" i="4" l="1"/>
  <c r="S6" i="4"/>
  <c r="R27" i="4"/>
  <c r="G39" i="4"/>
  <c r="D24" i="3"/>
  <c r="I4" i="4"/>
  <c r="J4" i="4" s="1"/>
  <c r="K4" i="4" s="1"/>
  <c r="L4" i="4" s="1"/>
  <c r="M4" i="4" s="1"/>
  <c r="N4" i="4" s="1"/>
  <c r="O4" i="4" s="1"/>
  <c r="P4" i="4" s="1"/>
  <c r="Q4" i="4" s="1"/>
  <c r="R4" i="4" s="1"/>
  <c r="S4" i="4" s="1"/>
  <c r="T4" i="4" s="1"/>
  <c r="U4" i="4" s="1"/>
  <c r="V4" i="4" s="1"/>
  <c r="W4" i="4" s="1"/>
  <c r="X4" i="4" s="1"/>
  <c r="Y4" i="4" s="1"/>
  <c r="Z4" i="4" s="1"/>
  <c r="AA4" i="4" s="1"/>
  <c r="AB4" i="4" s="1"/>
  <c r="AC4" i="4" s="1"/>
  <c r="AD4" i="4" s="1"/>
  <c r="AE4" i="4" s="1"/>
  <c r="AF4" i="4" s="1"/>
  <c r="D47" i="10"/>
  <c r="E47" i="10"/>
  <c r="F47" i="10"/>
  <c r="G47" i="10"/>
  <c r="H47" i="10"/>
  <c r="G28" i="10"/>
  <c r="D11" i="10"/>
  <c r="D50" i="10" s="1"/>
  <c r="E11" i="10"/>
  <c r="E50" i="10" s="1"/>
  <c r="F11" i="10"/>
  <c r="F50" i="10" s="1"/>
  <c r="G11" i="10"/>
  <c r="G50" i="10" s="1"/>
  <c r="H11" i="10"/>
  <c r="H50" i="10" s="1"/>
  <c r="D13" i="10"/>
  <c r="E13" i="10"/>
  <c r="F13" i="10"/>
  <c r="G13" i="10"/>
  <c r="H13" i="10"/>
  <c r="D14" i="10"/>
  <c r="E14" i="10"/>
  <c r="F14" i="10"/>
  <c r="H14" i="10"/>
  <c r="D15" i="10"/>
  <c r="E15" i="10"/>
  <c r="F15" i="10"/>
  <c r="G15" i="10"/>
  <c r="H15" i="10"/>
  <c r="D16" i="10"/>
  <c r="E16" i="10"/>
  <c r="F16" i="10"/>
  <c r="G16" i="10"/>
  <c r="H16" i="10"/>
  <c r="D17" i="10"/>
  <c r="E17" i="10"/>
  <c r="F17" i="10"/>
  <c r="G17" i="10"/>
  <c r="H17" i="10"/>
  <c r="D20" i="10"/>
  <c r="E20" i="10"/>
  <c r="F20" i="10"/>
  <c r="G20" i="10"/>
  <c r="H20" i="10"/>
  <c r="D21" i="10"/>
  <c r="E21" i="10"/>
  <c r="F21" i="10"/>
  <c r="G21" i="10"/>
  <c r="H21" i="10"/>
  <c r="D24" i="10"/>
  <c r="E24" i="10"/>
  <c r="F24" i="10"/>
  <c r="G24" i="10"/>
  <c r="H24" i="10"/>
  <c r="D25" i="10"/>
  <c r="E25" i="10"/>
  <c r="F25" i="10"/>
  <c r="G25" i="10"/>
  <c r="H25" i="10"/>
  <c r="D27" i="10"/>
  <c r="E27" i="10"/>
  <c r="F27" i="10"/>
  <c r="G27" i="10"/>
  <c r="H27" i="10"/>
  <c r="D28" i="10"/>
  <c r="F28" i="10"/>
  <c r="H28" i="10"/>
  <c r="D29" i="10"/>
  <c r="E29" i="10"/>
  <c r="F29" i="10"/>
  <c r="G29" i="10"/>
  <c r="H29" i="10"/>
  <c r="D30" i="10"/>
  <c r="E30" i="10"/>
  <c r="F30" i="10"/>
  <c r="G30" i="10"/>
  <c r="H30" i="10"/>
  <c r="D31" i="10"/>
  <c r="E31" i="10"/>
  <c r="F31" i="10"/>
  <c r="G31" i="10"/>
  <c r="H31" i="10"/>
  <c r="D33" i="10"/>
  <c r="E33" i="10"/>
  <c r="F33" i="10"/>
  <c r="G33" i="10"/>
  <c r="H33" i="10"/>
  <c r="D34" i="10"/>
  <c r="E34" i="10"/>
  <c r="F34" i="10"/>
  <c r="G34" i="10"/>
  <c r="H34" i="10"/>
  <c r="D35" i="10"/>
  <c r="E35" i="10"/>
  <c r="F35" i="10"/>
  <c r="G35" i="10"/>
  <c r="H35" i="10"/>
  <c r="C40" i="10"/>
  <c r="C39" i="10"/>
  <c r="C52" i="10"/>
  <c r="I9" i="10"/>
  <c r="I38" i="10"/>
  <c r="C72" i="10"/>
  <c r="C71" i="10"/>
  <c r="C68" i="10"/>
  <c r="E24" i="3"/>
  <c r="F24" i="3"/>
  <c r="G24" i="3"/>
  <c r="H24" i="3"/>
  <c r="I24" i="3"/>
  <c r="E13" i="3"/>
  <c r="F13" i="3"/>
  <c r="G13" i="3"/>
  <c r="H13" i="3"/>
  <c r="I13" i="3"/>
  <c r="K17" i="3"/>
  <c r="L17" i="3" s="1"/>
  <c r="M17" i="3" s="1"/>
  <c r="N17" i="3" s="1"/>
  <c r="O17" i="3" s="1"/>
  <c r="P17" i="3" s="1"/>
  <c r="K4" i="3"/>
  <c r="L4" i="3" s="1"/>
  <c r="M4" i="3" s="1"/>
  <c r="N4" i="3" s="1"/>
  <c r="O4" i="3" s="1"/>
  <c r="P4" i="3" s="1"/>
  <c r="D17" i="3"/>
  <c r="E17" i="3" s="1"/>
  <c r="F17" i="3" s="1"/>
  <c r="G17" i="3" s="1"/>
  <c r="H17" i="3" s="1"/>
  <c r="I17" i="3" s="1"/>
  <c r="D4" i="3"/>
  <c r="E4" i="3" s="1"/>
  <c r="F4" i="3" s="1"/>
  <c r="G4" i="3" s="1"/>
  <c r="H4" i="3" s="1"/>
  <c r="I4" i="3" s="1"/>
  <c r="M13" i="17"/>
  <c r="L13" i="17"/>
  <c r="K13" i="17"/>
  <c r="J13" i="17"/>
  <c r="I13" i="17"/>
  <c r="H13" i="17"/>
  <c r="G13" i="17"/>
  <c r="F13" i="17"/>
  <c r="E13" i="17"/>
  <c r="C36" i="17"/>
  <c r="C31" i="17"/>
  <c r="D31" i="17"/>
  <c r="E31" i="17"/>
  <c r="F31" i="17"/>
  <c r="G31" i="17"/>
  <c r="H31" i="17"/>
  <c r="I31" i="17"/>
  <c r="J31" i="17"/>
  <c r="K31" i="17"/>
  <c r="L31" i="17"/>
  <c r="M31" i="17"/>
  <c r="H50" i="17"/>
  <c r="I50" i="17"/>
  <c r="J50" i="17"/>
  <c r="L50" i="17"/>
  <c r="M50" i="17"/>
  <c r="C46" i="17"/>
  <c r="D46" i="17"/>
  <c r="E46" i="17"/>
  <c r="G46" i="17"/>
  <c r="H46" i="17"/>
  <c r="I46" i="17"/>
  <c r="J46" i="17"/>
  <c r="K46" i="17"/>
  <c r="L46" i="17"/>
  <c r="M46" i="17"/>
  <c r="AB38" i="17"/>
  <c r="C17" i="16"/>
  <c r="L7" i="16"/>
  <c r="H14" i="16"/>
  <c r="E79" i="16"/>
  <c r="C7" i="16"/>
  <c r="M84" i="16"/>
  <c r="K73" i="16"/>
  <c r="L83" i="16"/>
  <c r="D15" i="16"/>
  <c r="M72" i="16"/>
  <c r="L5" i="16"/>
  <c r="D62" i="16"/>
  <c r="F17" i="16"/>
  <c r="C44" i="16"/>
  <c r="M40" i="16"/>
  <c r="L41" i="16"/>
  <c r="C84" i="16"/>
  <c r="E80" i="16"/>
  <c r="C32" i="16"/>
  <c r="L11" i="16"/>
  <c r="J15" i="16"/>
  <c r="G32" i="16"/>
  <c r="E21" i="16"/>
  <c r="K71" i="16"/>
  <c r="D49" i="16"/>
  <c r="G68" i="16"/>
  <c r="K79" i="16"/>
  <c r="J48" i="16"/>
  <c r="F81" i="16"/>
  <c r="C82" i="16"/>
  <c r="M41" i="16"/>
  <c r="F84" i="16"/>
  <c r="B78" i="16"/>
  <c r="B54" i="16"/>
  <c r="L71" i="16"/>
  <c r="M27" i="16"/>
  <c r="M81" i="16"/>
  <c r="K39" i="16"/>
  <c r="E27" i="16"/>
  <c r="I50" i="16"/>
  <c r="H49" i="16"/>
  <c r="L84" i="16"/>
  <c r="J5" i="16"/>
  <c r="J67" i="16"/>
  <c r="B32" i="16"/>
  <c r="D70" i="16"/>
  <c r="B44" i="16"/>
  <c r="M53" i="16"/>
  <c r="K41" i="16"/>
  <c r="G39" i="16"/>
  <c r="D80" i="16"/>
  <c r="M52" i="16"/>
  <c r="B83" i="16"/>
  <c r="E48" i="16"/>
  <c r="D73" i="16"/>
  <c r="D69" i="16"/>
  <c r="H23" i="16"/>
  <c r="B17" i="16"/>
  <c r="K5" i="16"/>
  <c r="G67" i="16"/>
  <c r="C70" i="16"/>
  <c r="C69" i="16"/>
  <c r="M42" i="16"/>
  <c r="I27" i="16"/>
  <c r="L14" i="16"/>
  <c r="E39" i="16"/>
  <c r="H79" i="16"/>
  <c r="H62" i="16"/>
  <c r="L70" i="16"/>
  <c r="G71" i="16"/>
  <c r="G70" i="16"/>
  <c r="E40" i="16"/>
  <c r="I32" i="16"/>
  <c r="B40" i="16"/>
  <c r="L79" i="16"/>
  <c r="D71" i="16"/>
  <c r="M69" i="16"/>
  <c r="F23" i="16"/>
  <c r="G79" i="16"/>
  <c r="K54" i="16"/>
  <c r="L23" i="16"/>
  <c r="G50" i="16"/>
  <c r="K48" i="16"/>
  <c r="H27" i="16"/>
  <c r="I82" i="16"/>
  <c r="D48" i="16"/>
  <c r="K23" i="16"/>
  <c r="F78" i="16"/>
  <c r="E78" i="16"/>
  <c r="L52" i="16"/>
  <c r="G42" i="16"/>
  <c r="J11" i="16"/>
  <c r="F62" i="16"/>
  <c r="H21" i="16"/>
  <c r="L72" i="16"/>
  <c r="J49" i="16"/>
  <c r="F27" i="16"/>
  <c r="H83" i="16"/>
  <c r="J27" i="16"/>
  <c r="I41" i="16"/>
  <c r="F73" i="16"/>
  <c r="F69" i="16"/>
  <c r="D51" i="16"/>
  <c r="C81" i="16"/>
  <c r="G69" i="16"/>
  <c r="E33" i="16"/>
  <c r="F32" i="16"/>
  <c r="H75" i="16"/>
  <c r="D83" i="16"/>
  <c r="E11" i="16"/>
  <c r="E49" i="16"/>
  <c r="D78" i="16"/>
  <c r="L15" i="16"/>
  <c r="J80" i="16"/>
  <c r="I84" i="16"/>
  <c r="J82" i="16"/>
  <c r="E14" i="16"/>
  <c r="I42" i="16"/>
  <c r="H73" i="16"/>
  <c r="K42" i="16"/>
  <c r="G7" i="16"/>
  <c r="D17" i="16"/>
  <c r="B51" i="16"/>
  <c r="C71" i="16"/>
  <c r="D7" i="16"/>
  <c r="M83" i="16"/>
  <c r="F79" i="16"/>
  <c r="D75" i="16"/>
  <c r="F83" i="16"/>
  <c r="C83" i="16"/>
  <c r="I40" i="16"/>
  <c r="L50" i="16"/>
  <c r="E7" i="16"/>
  <c r="B41" i="16"/>
  <c r="G84" i="16"/>
  <c r="C14" i="16"/>
  <c r="F39" i="16"/>
  <c r="G82" i="16"/>
  <c r="K15" i="16"/>
  <c r="E75" i="16"/>
  <c r="L39" i="16"/>
  <c r="G11" i="16"/>
  <c r="K32" i="16"/>
  <c r="G54" i="16"/>
  <c r="H15" i="16"/>
  <c r="B7" i="16"/>
  <c r="H32" i="16"/>
  <c r="K14" i="16"/>
  <c r="L81" i="16"/>
  <c r="M28" i="16"/>
  <c r="B53" i="16"/>
  <c r="M32" i="16"/>
  <c r="K69" i="16"/>
  <c r="K72" i="16"/>
  <c r="C23" i="16"/>
  <c r="H81" i="16"/>
  <c r="C54" i="16"/>
  <c r="H72" i="16"/>
  <c r="F50" i="16"/>
  <c r="D84" i="16"/>
  <c r="E70" i="16"/>
  <c r="B48" i="16"/>
  <c r="B14" i="16"/>
  <c r="G28" i="16"/>
  <c r="G74" i="16"/>
  <c r="G75" i="16"/>
  <c r="L69" i="16"/>
  <c r="H78" i="16"/>
  <c r="F7" i="16"/>
  <c r="I73" i="16"/>
  <c r="B33" i="16"/>
  <c r="M67" i="16"/>
  <c r="I33" i="16"/>
  <c r="E5" i="16"/>
  <c r="J71" i="16"/>
  <c r="J42" i="16"/>
  <c r="B72" i="16"/>
  <c r="E62" i="16"/>
  <c r="E83" i="16"/>
  <c r="D23" i="16"/>
  <c r="K80" i="16"/>
  <c r="D50" i="16"/>
  <c r="I68" i="16"/>
  <c r="B62" i="16"/>
  <c r="E74" i="16"/>
  <c r="C67" i="16"/>
  <c r="D68" i="16"/>
  <c r="H69" i="16"/>
  <c r="J72" i="16"/>
  <c r="D54" i="16"/>
  <c r="D79" i="16"/>
  <c r="B42" i="16"/>
  <c r="I83" i="16"/>
  <c r="E73" i="16"/>
  <c r="M50" i="16"/>
  <c r="D28" i="16"/>
  <c r="C78" i="16"/>
  <c r="B28" i="16"/>
  <c r="B73" i="16"/>
  <c r="B21" i="16"/>
  <c r="E50" i="16"/>
  <c r="G49" i="16"/>
  <c r="C39" i="16"/>
  <c r="J50" i="16"/>
  <c r="F82" i="16"/>
  <c r="G15" i="16"/>
  <c r="H5" i="16"/>
  <c r="F71" i="16"/>
  <c r="G62" i="16"/>
  <c r="F68" i="16"/>
  <c r="K53" i="16"/>
  <c r="J84" i="16"/>
  <c r="J73" i="16"/>
  <c r="F53" i="16"/>
  <c r="I70" i="16"/>
  <c r="J69" i="16"/>
  <c r="K84" i="16"/>
  <c r="C51" i="16"/>
  <c r="H28" i="16"/>
  <c r="M33" i="16"/>
  <c r="I15" i="16"/>
  <c r="K83" i="16"/>
  <c r="B79" i="16"/>
  <c r="E68" i="16"/>
  <c r="C21" i="16"/>
  <c r="F14" i="16"/>
  <c r="G14" i="16"/>
  <c r="F11" i="16"/>
  <c r="E32" i="16"/>
  <c r="J74" i="16"/>
  <c r="F15" i="16"/>
  <c r="E17" i="16"/>
  <c r="M11" i="16"/>
  <c r="J75" i="16"/>
  <c r="J41" i="16"/>
  <c r="C48" i="16"/>
  <c r="G83" i="16"/>
  <c r="H53" i="16"/>
  <c r="L28" i="16"/>
  <c r="D41" i="16"/>
  <c r="F54" i="16"/>
  <c r="L54" i="16"/>
  <c r="L62" i="16"/>
  <c r="K78" i="16"/>
  <c r="M70" i="16"/>
  <c r="E23" i="16"/>
  <c r="K82" i="16"/>
  <c r="B5" i="16"/>
  <c r="J23" i="16"/>
  <c r="D67" i="16"/>
  <c r="I69" i="16"/>
  <c r="I14" i="16"/>
  <c r="G53" i="16"/>
  <c r="K28" i="16"/>
  <c r="C40" i="16"/>
  <c r="M73" i="16"/>
  <c r="I72" i="16"/>
  <c r="D53" i="16"/>
  <c r="I48" i="16"/>
  <c r="I81" i="16"/>
  <c r="M54" i="16"/>
  <c r="C27" i="16"/>
  <c r="M75" i="16"/>
  <c r="H82" i="16"/>
  <c r="E67" i="16"/>
  <c r="B49" i="16"/>
  <c r="I62" i="16"/>
  <c r="H84" i="16"/>
  <c r="B74" i="16"/>
  <c r="J51" i="16"/>
  <c r="H80" i="16"/>
  <c r="C41" i="16"/>
  <c r="G40" i="16"/>
  <c r="E42" i="16"/>
  <c r="E28" i="16"/>
  <c r="G81" i="16"/>
  <c r="L49" i="16"/>
  <c r="I78" i="16"/>
  <c r="L48" i="16"/>
  <c r="G41" i="16"/>
  <c r="H17" i="16"/>
  <c r="F5" i="16"/>
  <c r="G73" i="16"/>
  <c r="J33" i="16"/>
  <c r="I49" i="16"/>
  <c r="I79" i="16"/>
  <c r="H74" i="16"/>
  <c r="J79" i="16"/>
  <c r="L78" i="16"/>
  <c r="D81" i="16"/>
  <c r="L21" i="16"/>
  <c r="L42" i="16"/>
  <c r="E81" i="16"/>
  <c r="L82" i="16"/>
  <c r="H71" i="16"/>
  <c r="H11" i="16"/>
  <c r="M71" i="16"/>
  <c r="G21" i="16"/>
  <c r="F40" i="16"/>
  <c r="L33" i="16"/>
  <c r="H70" i="16"/>
  <c r="C62" i="16"/>
  <c r="L40" i="16"/>
  <c r="H41" i="16"/>
  <c r="L80" i="16"/>
  <c r="J14" i="16"/>
  <c r="L73" i="16"/>
  <c r="E69" i="16"/>
  <c r="C75" i="16"/>
  <c r="H42" i="16"/>
  <c r="C53" i="16"/>
  <c r="D72" i="16"/>
  <c r="E71" i="16"/>
  <c r="K49" i="16"/>
  <c r="M21" i="16"/>
  <c r="J7" i="16"/>
  <c r="K70" i="16"/>
  <c r="H48" i="16"/>
  <c r="K40" i="16"/>
  <c r="B70" i="16"/>
  <c r="J28" i="16"/>
  <c r="M39" i="16"/>
  <c r="I5" i="16"/>
  <c r="F49" i="16"/>
  <c r="I54" i="16"/>
  <c r="L32" i="16"/>
  <c r="D27" i="16"/>
  <c r="G48" i="16"/>
  <c r="E82" i="16"/>
  <c r="I28" i="16"/>
  <c r="J83" i="16"/>
  <c r="B27" i="16"/>
  <c r="H67" i="16"/>
  <c r="K17" i="16"/>
  <c r="L53" i="16"/>
  <c r="G78" i="16"/>
  <c r="I39" i="16"/>
  <c r="C28" i="16"/>
  <c r="K7" i="16"/>
  <c r="B11" i="16"/>
  <c r="D11" i="16"/>
  <c r="M80" i="16"/>
  <c r="L27" i="16"/>
  <c r="G72" i="16"/>
  <c r="J70" i="16"/>
  <c r="K75" i="16"/>
  <c r="D40" i="16"/>
  <c r="D42" i="16"/>
  <c r="F21" i="16"/>
  <c r="L75" i="16"/>
  <c r="J54" i="16"/>
  <c r="K33" i="16"/>
  <c r="C74" i="16"/>
  <c r="B69" i="16"/>
  <c r="H50" i="16"/>
  <c r="C49" i="16"/>
  <c r="G27" i="16"/>
  <c r="J39" i="16"/>
  <c r="J81" i="16"/>
  <c r="J21" i="16"/>
  <c r="C72" i="16"/>
  <c r="D82" i="16"/>
  <c r="J53" i="16"/>
  <c r="D5" i="16"/>
  <c r="D33" i="16"/>
  <c r="M78" i="16"/>
  <c r="G33" i="16"/>
  <c r="I52" i="16"/>
  <c r="K62" i="16"/>
  <c r="D14" i="16"/>
  <c r="M82" i="16"/>
  <c r="M17" i="16"/>
  <c r="G5" i="16"/>
  <c r="F74" i="16"/>
  <c r="E53" i="16"/>
  <c r="M15" i="16"/>
  <c r="F67" i="16"/>
  <c r="I75" i="16"/>
  <c r="G23" i="16"/>
  <c r="B23" i="16"/>
  <c r="H52" i="16"/>
  <c r="I17" i="16"/>
  <c r="M14" i="16"/>
  <c r="F28" i="16"/>
  <c r="H33" i="16"/>
  <c r="K27" i="16"/>
  <c r="I71" i="16"/>
  <c r="E15" i="16"/>
  <c r="F72" i="16"/>
  <c r="E72" i="16"/>
  <c r="B84" i="16"/>
  <c r="M74" i="16"/>
  <c r="C80" i="16"/>
  <c r="H54" i="16"/>
  <c r="F75" i="16"/>
  <c r="J40" i="16"/>
  <c r="C15" i="16"/>
  <c r="K81" i="16"/>
  <c r="J62" i="16"/>
  <c r="H7" i="16"/>
  <c r="K50" i="16"/>
  <c r="L17" i="16"/>
  <c r="M23" i="16"/>
  <c r="C50" i="16"/>
  <c r="F48" i="16"/>
  <c r="I23" i="16"/>
  <c r="K11" i="16"/>
  <c r="K21" i="16"/>
  <c r="M62" i="16"/>
  <c r="I74" i="16"/>
  <c r="E84" i="16"/>
  <c r="E41" i="16"/>
  <c r="I21" i="16"/>
  <c r="B67" i="16"/>
  <c r="C5" i="16"/>
  <c r="E54" i="16"/>
  <c r="B15" i="16"/>
  <c r="H39" i="16"/>
  <c r="I11" i="16"/>
  <c r="C73" i="16"/>
  <c r="C42" i="16"/>
  <c r="M79" i="16"/>
  <c r="J17" i="16"/>
  <c r="F80" i="16"/>
  <c r="M48" i="16"/>
  <c r="B71" i="16"/>
  <c r="M55" i="16"/>
  <c r="D74" i="16"/>
  <c r="I53" i="16"/>
  <c r="F41" i="16"/>
  <c r="I67" i="16"/>
  <c r="I7" i="16"/>
  <c r="K68" i="16"/>
  <c r="C79" i="16"/>
  <c r="M49" i="16"/>
  <c r="H40" i="16"/>
  <c r="B39" i="16"/>
  <c r="D21" i="16"/>
  <c r="M7" i="16"/>
  <c r="D39" i="16"/>
  <c r="L74" i="16"/>
  <c r="G80" i="16"/>
  <c r="M5" i="16"/>
  <c r="J52" i="16"/>
  <c r="D32" i="16"/>
  <c r="B50" i="16"/>
  <c r="K74" i="16"/>
  <c r="J32" i="16"/>
  <c r="F42" i="16"/>
  <c r="J78" i="16"/>
  <c r="C11" i="16"/>
  <c r="C33" i="16"/>
  <c r="I80" i="16"/>
  <c r="H68" i="16"/>
  <c r="G17" i="16"/>
  <c r="C69" i="10" l="1"/>
  <c r="E17" i="4"/>
  <c r="E19" i="4" s="1"/>
  <c r="E22" i="4" s="1"/>
  <c r="F14" i="4"/>
  <c r="E14" i="4"/>
  <c r="C70" i="10"/>
  <c r="F23" i="4"/>
  <c r="G23" i="4" s="1"/>
  <c r="H23" i="4" s="1"/>
  <c r="I23" i="4" s="1"/>
  <c r="J23" i="4" s="1"/>
  <c r="K23" i="4" s="1"/>
  <c r="L23" i="4" s="1"/>
  <c r="M23" i="4" s="1"/>
  <c r="N23" i="4" s="1"/>
  <c r="O23" i="4" s="1"/>
  <c r="P23" i="4" s="1"/>
  <c r="Q23" i="4" s="1"/>
  <c r="R23" i="4" s="1"/>
  <c r="S23" i="4" s="1"/>
  <c r="T23" i="4" s="1"/>
  <c r="U23" i="4" s="1"/>
  <c r="V23" i="4" s="1"/>
  <c r="W23" i="4" s="1"/>
  <c r="X23" i="4" s="1"/>
  <c r="Y23" i="4" s="1"/>
  <c r="Z23" i="4" s="1"/>
  <c r="AA23" i="4" s="1"/>
  <c r="AB23" i="4" s="1"/>
  <c r="AC23" i="4" s="1"/>
  <c r="AD23" i="4" s="1"/>
  <c r="AE23" i="4" s="1"/>
  <c r="AF23" i="4" s="1"/>
  <c r="C65" i="10"/>
  <c r="G29" i="4"/>
  <c r="T11" i="16"/>
  <c r="D20" i="22"/>
  <c r="F22" i="22"/>
  <c r="G22" i="22"/>
  <c r="T40" i="16"/>
  <c r="E13" i="4"/>
  <c r="D22" i="22"/>
  <c r="H22" i="22"/>
  <c r="S30" i="4"/>
  <c r="T6" i="4"/>
  <c r="S27" i="4"/>
  <c r="R49" i="16"/>
  <c r="Q49" i="16"/>
  <c r="P49" i="16"/>
  <c r="O49" i="16"/>
  <c r="N49" i="16"/>
  <c r="R50" i="16"/>
  <c r="Q50" i="16"/>
  <c r="O50" i="16"/>
  <c r="P50" i="16"/>
  <c r="N50" i="16"/>
  <c r="N53" i="16"/>
  <c r="Q53" i="16"/>
  <c r="O53" i="16"/>
  <c r="R53" i="16"/>
  <c r="P53" i="16"/>
  <c r="N54" i="16"/>
  <c r="O54" i="16"/>
  <c r="P54" i="16"/>
  <c r="R54" i="16"/>
  <c r="Q54" i="16"/>
  <c r="P48" i="16"/>
  <c r="Q48" i="16"/>
  <c r="R48" i="16"/>
  <c r="O48" i="16"/>
  <c r="N48" i="16"/>
  <c r="Q62" i="16"/>
  <c r="P62" i="16"/>
  <c r="O62" i="16"/>
  <c r="N62" i="16"/>
  <c r="R62" i="16"/>
  <c r="O51" i="16"/>
  <c r="D43" i="4"/>
  <c r="Q39" i="16"/>
  <c r="R39" i="16"/>
  <c r="O39" i="16"/>
  <c r="N39" i="16"/>
  <c r="M26" i="16" s="1"/>
  <c r="P39" i="16"/>
  <c r="P42" i="16"/>
  <c r="R42" i="16"/>
  <c r="N42" i="16"/>
  <c r="O42" i="16"/>
  <c r="Q42" i="16"/>
  <c r="R40" i="16"/>
  <c r="N40" i="16"/>
  <c r="O40" i="16"/>
  <c r="P40" i="16"/>
  <c r="Q40" i="16"/>
  <c r="R41" i="16"/>
  <c r="N41" i="16"/>
  <c r="O41" i="16"/>
  <c r="Q41" i="16"/>
  <c r="P41" i="16"/>
  <c r="E22" i="22"/>
  <c r="N7" i="16"/>
  <c r="R7" i="16"/>
  <c r="P7" i="16"/>
  <c r="O7" i="16"/>
  <c r="Q7" i="16"/>
  <c r="Q11" i="16"/>
  <c r="O11" i="16"/>
  <c r="P11" i="16"/>
  <c r="R11" i="16"/>
  <c r="Q23" i="16"/>
  <c r="R23" i="16"/>
  <c r="O23" i="16"/>
  <c r="P23" i="16"/>
  <c r="N27" i="16"/>
  <c r="Q27" i="16"/>
  <c r="O27" i="16"/>
  <c r="R27" i="16"/>
  <c r="P27" i="16"/>
  <c r="N28" i="16"/>
  <c r="P28" i="16"/>
  <c r="Q28" i="16"/>
  <c r="R28" i="16"/>
  <c r="O28" i="16"/>
  <c r="N32" i="16"/>
  <c r="R32" i="16"/>
  <c r="P32" i="16"/>
  <c r="O32" i="16"/>
  <c r="Q32" i="16"/>
  <c r="O33" i="16"/>
  <c r="Q5" i="16"/>
  <c r="R5" i="16"/>
  <c r="R14" i="16"/>
  <c r="Q14" i="16"/>
  <c r="O14" i="16"/>
  <c r="P14" i="16"/>
  <c r="Q15" i="16"/>
  <c r="O15" i="16"/>
  <c r="P15" i="16"/>
  <c r="R15" i="16"/>
  <c r="N17" i="16"/>
  <c r="Q17" i="16"/>
  <c r="P17" i="16"/>
  <c r="O17" i="16"/>
  <c r="R17" i="16"/>
  <c r="N21" i="16"/>
  <c r="O21" i="16"/>
  <c r="R21" i="16"/>
  <c r="P21" i="16"/>
  <c r="Q21" i="16"/>
  <c r="D8" i="4"/>
  <c r="D7" i="4" s="1"/>
  <c r="N11" i="16"/>
  <c r="D17" i="4"/>
  <c r="D19" i="4" s="1"/>
  <c r="N23" i="16"/>
  <c r="P5" i="16"/>
  <c r="O5" i="16"/>
  <c r="N5" i="16"/>
  <c r="D13" i="4"/>
  <c r="N14" i="16"/>
  <c r="D14" i="4"/>
  <c r="N15" i="16"/>
  <c r="H17" i="22"/>
  <c r="H18" i="22"/>
  <c r="C17" i="22"/>
  <c r="C18" i="22"/>
  <c r="D18" i="22"/>
  <c r="D17" i="22"/>
  <c r="F18" i="22"/>
  <c r="F17" i="22"/>
  <c r="G17" i="22"/>
  <c r="G18" i="22"/>
  <c r="E17" i="22"/>
  <c r="E18" i="22"/>
  <c r="B32" i="3"/>
  <c r="B33" i="3"/>
  <c r="B31" i="3"/>
  <c r="B34" i="3"/>
  <c r="C20" i="22"/>
  <c r="B58" i="16"/>
  <c r="B21" i="3"/>
  <c r="B19" i="3"/>
  <c r="H25" i="1" s="1"/>
  <c r="B22" i="3"/>
  <c r="B20" i="3"/>
  <c r="B23" i="3"/>
  <c r="H20" i="22"/>
  <c r="E16" i="4"/>
  <c r="D16" i="4"/>
  <c r="E20" i="22"/>
  <c r="F20" i="22"/>
  <c r="G20" i="22"/>
  <c r="E8" i="4"/>
  <c r="E7" i="4" s="1"/>
  <c r="C62" i="10"/>
  <c r="B18" i="3"/>
  <c r="H22" i="1" s="1"/>
  <c r="C37" i="17"/>
  <c r="I43" i="10"/>
  <c r="J43" i="10" s="1"/>
  <c r="D29" i="4"/>
  <c r="D30" i="4"/>
  <c r="E30" i="4"/>
  <c r="E29" i="4"/>
  <c r="F30" i="4"/>
  <c r="C61" i="10"/>
  <c r="F16" i="4"/>
  <c r="F29" i="4"/>
  <c r="G46" i="4"/>
  <c r="F45" i="4"/>
  <c r="F46" i="4"/>
  <c r="F47" i="4"/>
  <c r="H16" i="16"/>
  <c r="L58" i="16"/>
  <c r="M58" i="16"/>
  <c r="I58" i="16"/>
  <c r="J58" i="16"/>
  <c r="K58" i="16"/>
  <c r="E23" i="4"/>
  <c r="E24" i="4"/>
  <c r="F24" i="4"/>
  <c r="C66" i="10"/>
  <c r="C25" i="10" s="1"/>
  <c r="C67" i="10"/>
  <c r="K47" i="4"/>
  <c r="O47" i="4"/>
  <c r="S47" i="4"/>
  <c r="W47" i="4"/>
  <c r="AA47" i="4"/>
  <c r="AE47" i="4"/>
  <c r="J46" i="4"/>
  <c r="N46" i="4"/>
  <c r="R46" i="4"/>
  <c r="V46" i="4"/>
  <c r="Z46" i="4"/>
  <c r="AD46" i="4"/>
  <c r="G47" i="4"/>
  <c r="K45" i="4"/>
  <c r="O45" i="4"/>
  <c r="S45" i="4"/>
  <c r="W45" i="4"/>
  <c r="AA45" i="4"/>
  <c r="AE45" i="4"/>
  <c r="M47" i="4"/>
  <c r="Y47" i="4"/>
  <c r="H46" i="4"/>
  <c r="P46" i="4"/>
  <c r="X46" i="4"/>
  <c r="AF46" i="4"/>
  <c r="M45" i="4"/>
  <c r="U45" i="4"/>
  <c r="AC45" i="4"/>
  <c r="J47" i="4"/>
  <c r="R47" i="4"/>
  <c r="Z47" i="4"/>
  <c r="AD47" i="4"/>
  <c r="M46" i="4"/>
  <c r="U46" i="4"/>
  <c r="AC46" i="4"/>
  <c r="J45" i="4"/>
  <c r="R45" i="4"/>
  <c r="Z45" i="4"/>
  <c r="H47" i="4"/>
  <c r="L47" i="4"/>
  <c r="P47" i="4"/>
  <c r="T47" i="4"/>
  <c r="X47" i="4"/>
  <c r="AB47" i="4"/>
  <c r="AF47" i="4"/>
  <c r="K46" i="4"/>
  <c r="O46" i="4"/>
  <c r="S46" i="4"/>
  <c r="W46" i="4"/>
  <c r="AA46" i="4"/>
  <c r="AE46" i="4"/>
  <c r="H45" i="4"/>
  <c r="L45" i="4"/>
  <c r="P45" i="4"/>
  <c r="T45" i="4"/>
  <c r="X45" i="4"/>
  <c r="AB45" i="4"/>
  <c r="AF45" i="4"/>
  <c r="I47" i="4"/>
  <c r="Q47" i="4"/>
  <c r="U47" i="4"/>
  <c r="AC47" i="4"/>
  <c r="L46" i="4"/>
  <c r="T46" i="4"/>
  <c r="AB46" i="4"/>
  <c r="I45" i="4"/>
  <c r="Q45" i="4"/>
  <c r="Y45" i="4"/>
  <c r="G45" i="4"/>
  <c r="N47" i="4"/>
  <c r="V47" i="4"/>
  <c r="I46" i="4"/>
  <c r="Q46" i="4"/>
  <c r="Y46" i="4"/>
  <c r="N45" i="4"/>
  <c r="V45" i="4"/>
  <c r="AD45" i="4"/>
  <c r="H12" i="16"/>
  <c r="C56" i="10"/>
  <c r="D23" i="4"/>
  <c r="C54" i="10"/>
  <c r="C55" i="10"/>
  <c r="D58" i="16"/>
  <c r="C58" i="16"/>
  <c r="G58" i="16"/>
  <c r="F58" i="16"/>
  <c r="E58" i="16"/>
  <c r="C60" i="10"/>
  <c r="F13" i="4"/>
  <c r="C59" i="10"/>
  <c r="F8" i="4"/>
  <c r="F7" i="4" s="1"/>
  <c r="M13" i="3"/>
  <c r="L13" i="3"/>
  <c r="O24" i="3"/>
  <c r="N24" i="3"/>
  <c r="M24" i="3"/>
  <c r="L24" i="3"/>
  <c r="K24" i="3"/>
  <c r="N13" i="3"/>
  <c r="O13" i="3"/>
  <c r="C24" i="10"/>
  <c r="D13" i="17"/>
  <c r="D14" i="17" s="1"/>
  <c r="C13" i="17"/>
  <c r="C14" i="17" s="1"/>
  <c r="F17" i="4"/>
  <c r="F19" i="4" s="1"/>
  <c r="F22" i="4" s="1"/>
  <c r="E5" i="4"/>
  <c r="C19" i="1"/>
  <c r="H58" i="16"/>
  <c r="C57" i="10"/>
  <c r="E8" i="16"/>
  <c r="G8" i="16"/>
  <c r="M24" i="16"/>
  <c r="M25" i="16" s="1"/>
  <c r="I16" i="16"/>
  <c r="L22" i="16"/>
  <c r="K16" i="16"/>
  <c r="C16" i="16"/>
  <c r="E16" i="16"/>
  <c r="M16" i="16"/>
  <c r="F24" i="16"/>
  <c r="B8" i="16"/>
  <c r="J24" i="16"/>
  <c r="G24" i="16"/>
  <c r="M8" i="16"/>
  <c r="G22" i="16"/>
  <c r="C24" i="16"/>
  <c r="K24" i="16"/>
  <c r="L8" i="16"/>
  <c r="D8" i="16"/>
  <c r="I8" i="16"/>
  <c r="K8" i="16"/>
  <c r="C8" i="16"/>
  <c r="F8" i="16"/>
  <c r="G16" i="16"/>
  <c r="E22" i="16"/>
  <c r="E24" i="16"/>
  <c r="B16" i="16"/>
  <c r="J16" i="16"/>
  <c r="I12" i="16"/>
  <c r="B24" i="16"/>
  <c r="J8" i="16"/>
  <c r="F12" i="16"/>
  <c r="B19" i="16"/>
  <c r="F12" i="4" s="1"/>
  <c r="C22" i="16"/>
  <c r="K22" i="16"/>
  <c r="D22" i="16"/>
  <c r="L24" i="16"/>
  <c r="L16" i="16"/>
  <c r="D12" i="16"/>
  <c r="H8" i="16"/>
  <c r="G12" i="16"/>
  <c r="D16" i="16"/>
  <c r="F22" i="16"/>
  <c r="D24" i="16"/>
  <c r="J12" i="16"/>
  <c r="F16" i="16"/>
  <c r="I22" i="16"/>
  <c r="H22" i="16"/>
  <c r="K12" i="16"/>
  <c r="C12" i="16"/>
  <c r="L12" i="16"/>
  <c r="B22" i="16"/>
  <c r="J22" i="16"/>
  <c r="M12" i="16"/>
  <c r="M13" i="16" s="1"/>
  <c r="M22" i="16"/>
  <c r="E12" i="16"/>
  <c r="H24" i="16"/>
  <c r="I24" i="16"/>
  <c r="B12" i="16"/>
  <c r="C5" i="17"/>
  <c r="B4" i="16"/>
  <c r="L41" i="1"/>
  <c r="M41" i="1" s="1"/>
  <c r="B49" i="1"/>
  <c r="B48" i="1" s="1"/>
  <c r="B47" i="1" s="1"/>
  <c r="B46" i="1" s="1"/>
  <c r="B45" i="1" s="1"/>
  <c r="I26" i="10"/>
  <c r="I12" i="10"/>
  <c r="I40" i="10"/>
  <c r="J40" i="10" s="1"/>
  <c r="M22" i="17"/>
  <c r="AD53" i="17"/>
  <c r="AC53" i="17"/>
  <c r="AD52" i="17"/>
  <c r="AC52" i="17"/>
  <c r="AG49" i="17"/>
  <c r="AG52" i="17" s="1"/>
  <c r="AF49" i="17"/>
  <c r="AE49" i="17"/>
  <c r="AB49" i="17"/>
  <c r="AB52" i="17" s="1"/>
  <c r="AA49" i="17"/>
  <c r="AA52" i="17" s="1"/>
  <c r="Z49" i="17"/>
  <c r="Z52" i="17" s="1"/>
  <c r="AD48" i="17"/>
  <c r="AC48" i="17"/>
  <c r="AB48" i="17"/>
  <c r="AA48" i="17"/>
  <c r="Z48" i="17"/>
  <c r="AG44" i="17"/>
  <c r="AG48" i="17" s="1"/>
  <c r="AF44" i="17"/>
  <c r="AF48" i="17" s="1"/>
  <c r="AE44" i="17"/>
  <c r="AE48" i="17" s="1"/>
  <c r="AG39" i="17"/>
  <c r="AF39" i="17"/>
  <c r="AE39" i="17"/>
  <c r="AD39" i="17"/>
  <c r="AC39" i="17"/>
  <c r="AB31" i="17"/>
  <c r="AB39" i="17" s="1"/>
  <c r="AA31" i="17"/>
  <c r="AA39" i="17" s="1"/>
  <c r="Z31" i="17"/>
  <c r="Z39" i="17" s="1"/>
  <c r="M14" i="17"/>
  <c r="L14" i="17"/>
  <c r="K14" i="17"/>
  <c r="J14" i="17"/>
  <c r="I14" i="17"/>
  <c r="H14" i="17"/>
  <c r="G14" i="17"/>
  <c r="F14" i="17"/>
  <c r="E14" i="17"/>
  <c r="AA25" i="17"/>
  <c r="O74" i="17"/>
  <c r="AE12" i="17"/>
  <c r="AG11" i="17"/>
  <c r="AF11" i="17"/>
  <c r="AE11" i="17"/>
  <c r="AD11" i="17"/>
  <c r="L22" i="17"/>
  <c r="H22" i="17"/>
  <c r="D22" i="17"/>
  <c r="J22" i="17"/>
  <c r="G22" i="17"/>
  <c r="F22" i="17"/>
  <c r="E22" i="17"/>
  <c r="C22" i="17"/>
  <c r="AG9" i="17"/>
  <c r="AF9" i="17"/>
  <c r="AD9" i="17"/>
  <c r="AC9" i="17"/>
  <c r="AB9" i="17"/>
  <c r="AA9" i="17"/>
  <c r="Z9" i="17"/>
  <c r="AG10" i="17"/>
  <c r="AF10" i="17"/>
  <c r="AE10" i="17"/>
  <c r="AD10" i="17"/>
  <c r="AC10" i="17"/>
  <c r="AB10" i="17"/>
  <c r="AA10" i="17"/>
  <c r="Z10" i="17"/>
  <c r="AG7" i="17"/>
  <c r="AG8" i="17" s="1"/>
  <c r="AF7" i="17"/>
  <c r="AF8" i="17" s="1"/>
  <c r="AE7" i="17"/>
  <c r="AE8" i="17" s="1"/>
  <c r="AD7" i="17"/>
  <c r="AD8" i="17" s="1"/>
  <c r="AC7" i="17"/>
  <c r="AC8" i="17" s="1"/>
  <c r="AB7" i="17"/>
  <c r="AB8" i="17" s="1"/>
  <c r="AA7" i="17"/>
  <c r="AA8" i="17" s="1"/>
  <c r="Z7" i="17"/>
  <c r="Z8" i="17" s="1"/>
  <c r="O7" i="17"/>
  <c r="A2" i="16"/>
  <c r="A1" i="16"/>
  <c r="C17" i="1"/>
  <c r="D13" i="3"/>
  <c r="J55" i="16"/>
  <c r="H55" i="16"/>
  <c r="E51" i="16"/>
  <c r="K51" i="16"/>
  <c r="G51" i="16"/>
  <c r="F51" i="16"/>
  <c r="L55" i="16"/>
  <c r="I51" i="16"/>
  <c r="H51" i="16"/>
  <c r="M51" i="16"/>
  <c r="I55" i="16"/>
  <c r="L51" i="16"/>
  <c r="T16" i="16" l="1"/>
  <c r="F35" i="4"/>
  <c r="J22" i="22"/>
  <c r="T8" i="16"/>
  <c r="N51" i="16"/>
  <c r="T12" i="16"/>
  <c r="T24" i="16"/>
  <c r="P51" i="16"/>
  <c r="T30" i="4"/>
  <c r="U6" i="4"/>
  <c r="U30" i="4" s="1"/>
  <c r="T27" i="4"/>
  <c r="R51" i="16"/>
  <c r="Q51" i="16"/>
  <c r="O58" i="16"/>
  <c r="Q58" i="16"/>
  <c r="P58" i="16"/>
  <c r="R58" i="16"/>
  <c r="N58" i="16"/>
  <c r="K22" i="22"/>
  <c r="D15" i="4"/>
  <c r="N16" i="16"/>
  <c r="P16" i="16"/>
  <c r="R16" i="16"/>
  <c r="Q16" i="16"/>
  <c r="O16" i="16"/>
  <c r="N22" i="16"/>
  <c r="R22" i="16"/>
  <c r="Q22" i="16"/>
  <c r="O22" i="16"/>
  <c r="P22" i="16"/>
  <c r="N12" i="16"/>
  <c r="O12" i="16"/>
  <c r="P12" i="16"/>
  <c r="Q12" i="16"/>
  <c r="R12" i="16"/>
  <c r="N8" i="16"/>
  <c r="R8" i="16"/>
  <c r="P8" i="16"/>
  <c r="Q8" i="16"/>
  <c r="O8" i="16"/>
  <c r="N24" i="16"/>
  <c r="Q24" i="16"/>
  <c r="O24" i="16"/>
  <c r="P24" i="16"/>
  <c r="R24" i="16"/>
  <c r="J17" i="22"/>
  <c r="K17" i="22"/>
  <c r="J18" i="22"/>
  <c r="K18" i="22"/>
  <c r="J20" i="22"/>
  <c r="B35" i="3"/>
  <c r="K20" i="22"/>
  <c r="C31" i="22"/>
  <c r="Z13" i="17"/>
  <c r="Z14" i="17" s="1"/>
  <c r="B6" i="3"/>
  <c r="H17" i="1" s="1"/>
  <c r="B10" i="3"/>
  <c r="B7" i="3"/>
  <c r="H18" i="1" s="1"/>
  <c r="B8" i="3"/>
  <c r="H19" i="1" s="1"/>
  <c r="B9" i="3"/>
  <c r="H20" i="1" s="1"/>
  <c r="D5" i="17"/>
  <c r="D87" i="17" s="1"/>
  <c r="C87" i="17"/>
  <c r="E15" i="4"/>
  <c r="C18" i="1"/>
  <c r="C20" i="1" s="1"/>
  <c r="C58" i="10"/>
  <c r="C22" i="10" s="1"/>
  <c r="C33" i="10"/>
  <c r="I25" i="10"/>
  <c r="J25" i="10" s="1"/>
  <c r="C47" i="10"/>
  <c r="I45" i="10"/>
  <c r="J45" i="10" s="1"/>
  <c r="E32" i="4"/>
  <c r="C31" i="10"/>
  <c r="C11" i="10"/>
  <c r="C50" i="10" s="1"/>
  <c r="B24" i="3"/>
  <c r="D32" i="4"/>
  <c r="D22" i="4"/>
  <c r="D35" i="4"/>
  <c r="F32" i="4"/>
  <c r="C15" i="10"/>
  <c r="C13" i="10"/>
  <c r="E35" i="4"/>
  <c r="C30" i="10"/>
  <c r="B59" i="16"/>
  <c r="C28" i="10"/>
  <c r="C34" i="10"/>
  <c r="C16" i="10"/>
  <c r="D44" i="4"/>
  <c r="E44" i="4"/>
  <c r="F44" i="4"/>
  <c r="G44" i="4" s="1"/>
  <c r="H44" i="4" s="1"/>
  <c r="I44" i="4" s="1"/>
  <c r="J44" i="4" s="1"/>
  <c r="K44" i="4" s="1"/>
  <c r="L44" i="4" s="1"/>
  <c r="F26" i="4"/>
  <c r="F34" i="4" s="1"/>
  <c r="H13" i="16"/>
  <c r="G13" i="16"/>
  <c r="B60" i="16"/>
  <c r="D26" i="4"/>
  <c r="F15" i="4"/>
  <c r="B5" i="3"/>
  <c r="K13" i="3"/>
  <c r="F5" i="4"/>
  <c r="C29" i="10"/>
  <c r="C27" i="10"/>
  <c r="B11" i="3"/>
  <c r="B12" i="3"/>
  <c r="B20" i="16"/>
  <c r="L25" i="16"/>
  <c r="E25" i="16"/>
  <c r="I25" i="16"/>
  <c r="G25" i="16"/>
  <c r="D25" i="16"/>
  <c r="C13" i="16"/>
  <c r="B25" i="16"/>
  <c r="F25" i="16"/>
  <c r="E13" i="16"/>
  <c r="J25" i="16"/>
  <c r="K25" i="16"/>
  <c r="K13" i="16"/>
  <c r="F13" i="16"/>
  <c r="B13" i="16"/>
  <c r="J13" i="16"/>
  <c r="C25" i="16"/>
  <c r="H25" i="16"/>
  <c r="I13" i="16"/>
  <c r="L13" i="16"/>
  <c r="D13" i="16"/>
  <c r="AD13" i="17"/>
  <c r="AD14" i="17" s="1"/>
  <c r="AB53" i="17"/>
  <c r="AG53" i="17"/>
  <c r="Z53" i="17"/>
  <c r="AA13" i="17"/>
  <c r="AA14" i="17" s="1"/>
  <c r="AC13" i="17"/>
  <c r="AC14" i="17" s="1"/>
  <c r="AG13" i="17"/>
  <c r="AG14" i="17" s="1"/>
  <c r="AA53" i="17"/>
  <c r="AB13" i="17"/>
  <c r="AB14" i="17" s="1"/>
  <c r="AE13" i="17"/>
  <c r="AE14" i="17" s="1"/>
  <c r="AE53" i="17"/>
  <c r="AF13" i="17"/>
  <c r="AF14" i="17" s="1"/>
  <c r="AF53" i="17"/>
  <c r="AF52" i="17"/>
  <c r="AE52" i="17"/>
  <c r="C4" i="16"/>
  <c r="D4" i="16" s="1"/>
  <c r="E4" i="16" s="1"/>
  <c r="F4" i="16" s="1"/>
  <c r="I39" i="10"/>
  <c r="J39" i="10" s="1"/>
  <c r="B44" i="1"/>
  <c r="L43" i="1"/>
  <c r="K18" i="1"/>
  <c r="B43" i="16"/>
  <c r="B81" i="16"/>
  <c r="E17" i="1"/>
  <c r="J56" i="16"/>
  <c r="M56" i="16"/>
  <c r="H18" i="16"/>
  <c r="L49" i="1"/>
  <c r="C43" i="16"/>
  <c r="E23" i="1"/>
  <c r="L42" i="1"/>
  <c r="E18" i="1"/>
  <c r="L18" i="16"/>
  <c r="M49" i="1"/>
  <c r="F18" i="16"/>
  <c r="L47" i="1"/>
  <c r="J18" i="16"/>
  <c r="M42" i="1"/>
  <c r="L56" i="16"/>
  <c r="M50" i="1"/>
  <c r="M43" i="1"/>
  <c r="E24" i="1"/>
  <c r="M46" i="1"/>
  <c r="L50" i="1"/>
  <c r="M47" i="1"/>
  <c r="K25" i="1"/>
  <c r="M18" i="16"/>
  <c r="E21" i="1"/>
  <c r="I18" i="16"/>
  <c r="H56" i="16"/>
  <c r="L46" i="1"/>
  <c r="M48" i="1"/>
  <c r="M45" i="1"/>
  <c r="C18" i="16"/>
  <c r="K17" i="1"/>
  <c r="B18" i="16"/>
  <c r="L45" i="1"/>
  <c r="L48" i="1"/>
  <c r="B82" i="16"/>
  <c r="K20" i="1"/>
  <c r="E15" i="1"/>
  <c r="K18" i="16"/>
  <c r="E18" i="16"/>
  <c r="G18" i="16"/>
  <c r="K26" i="1"/>
  <c r="K19" i="1"/>
  <c r="I56" i="16"/>
  <c r="E19" i="1"/>
  <c r="D18" i="16"/>
  <c r="B80" i="16"/>
  <c r="M17" i="22" l="1"/>
  <c r="N17" i="22"/>
  <c r="O13" i="16"/>
  <c r="Q13" i="16"/>
  <c r="R13" i="16"/>
  <c r="P13" i="16"/>
  <c r="Q25" i="16"/>
  <c r="R25" i="16"/>
  <c r="P25" i="16"/>
  <c r="O25" i="16"/>
  <c r="N18" i="16"/>
  <c r="R18" i="16"/>
  <c r="P18" i="16"/>
  <c r="Q18" i="16"/>
  <c r="O18" i="16"/>
  <c r="N13" i="16"/>
  <c r="N25" i="16"/>
  <c r="K22" i="1"/>
  <c r="E5" i="17"/>
  <c r="F5" i="17" s="1"/>
  <c r="I50" i="10"/>
  <c r="J50" i="10" s="1"/>
  <c r="F36" i="4"/>
  <c r="I27" i="10"/>
  <c r="J27" i="10" s="1"/>
  <c r="I30" i="10"/>
  <c r="J30" i="10" s="1"/>
  <c r="I15" i="10"/>
  <c r="J15" i="10" s="1"/>
  <c r="I11" i="10"/>
  <c r="J11" i="10" s="1"/>
  <c r="I29" i="10"/>
  <c r="J29" i="10" s="1"/>
  <c r="I31" i="10"/>
  <c r="J31" i="10" s="1"/>
  <c r="I47" i="10"/>
  <c r="J47" i="10" s="1"/>
  <c r="H16" i="1"/>
  <c r="D34" i="4"/>
  <c r="D36" i="4" s="1"/>
  <c r="M27" i="1"/>
  <c r="C41" i="10" s="1"/>
  <c r="B13" i="3"/>
  <c r="K21" i="1"/>
  <c r="I33" i="10"/>
  <c r="J33" i="10" s="1"/>
  <c r="C73" i="10"/>
  <c r="B34" i="16"/>
  <c r="M22" i="1"/>
  <c r="I24" i="10"/>
  <c r="J24" i="10" s="1"/>
  <c r="I16" i="10"/>
  <c r="J16" i="10" s="1"/>
  <c r="B35" i="16"/>
  <c r="I14" i="10"/>
  <c r="J14" i="10" s="1"/>
  <c r="G4" i="16"/>
  <c r="B43" i="1"/>
  <c r="E20" i="1"/>
  <c r="C37" i="10" l="1"/>
  <c r="C36" i="10"/>
  <c r="I41" i="10"/>
  <c r="J41" i="10" s="1"/>
  <c r="C21" i="10"/>
  <c r="C20" i="10"/>
  <c r="I19" i="10"/>
  <c r="B36" i="16"/>
  <c r="I10" i="10"/>
  <c r="J10" i="10" s="1"/>
  <c r="I22" i="10"/>
  <c r="J22" i="10" s="1"/>
  <c r="G5" i="17"/>
  <c r="H4" i="16"/>
  <c r="B42" i="1"/>
  <c r="I36" i="10" l="1"/>
  <c r="J36" i="10" s="1"/>
  <c r="I37" i="10"/>
  <c r="J37" i="10" s="1"/>
  <c r="I20" i="10"/>
  <c r="J20" i="10" s="1"/>
  <c r="I21" i="10"/>
  <c r="J21" i="10" s="1"/>
  <c r="H5" i="17"/>
  <c r="I4" i="16"/>
  <c r="J4" i="16" s="1"/>
  <c r="B41" i="1"/>
  <c r="D41" i="1" a="1"/>
  <c r="D41" i="1" l="1"/>
  <c r="I5" i="17"/>
  <c r="C41" i="1" a="1"/>
  <c r="H41" i="1" a="1"/>
  <c r="H41" i="1" l="1"/>
  <c r="H41" i="4"/>
  <c r="C41" i="1"/>
  <c r="J5" i="17"/>
  <c r="K4" i="16"/>
  <c r="K5" i="17" l="1"/>
  <c r="L4" i="16"/>
  <c r="L5" i="17" l="1"/>
  <c r="M4" i="16"/>
  <c r="M5" i="17" l="1"/>
  <c r="B91" i="16" s="1"/>
  <c r="D91" i="16"/>
  <c r="E91" i="16"/>
  <c r="M6" i="16" l="1"/>
  <c r="D34" i="16"/>
  <c r="K35" i="16"/>
  <c r="K36" i="16" s="1"/>
  <c r="I34" i="16"/>
  <c r="G9" i="16"/>
  <c r="G10" i="16" s="1"/>
  <c r="K19" i="16"/>
  <c r="I19" i="16"/>
  <c r="K9" i="16"/>
  <c r="K10" i="16" s="1"/>
  <c r="I9" i="16"/>
  <c r="I10" i="16" s="1"/>
  <c r="M21" i="1"/>
  <c r="I28" i="10"/>
  <c r="J28" i="10" s="1"/>
  <c r="C34" i="16"/>
  <c r="E34" i="16"/>
  <c r="C91" i="16"/>
  <c r="F26" i="16"/>
  <c r="I6" i="16"/>
  <c r="K26" i="16"/>
  <c r="K29" i="16" s="1"/>
  <c r="J26" i="16"/>
  <c r="I35" i="16"/>
  <c r="I36" i="16" s="1"/>
  <c r="K34" i="16"/>
  <c r="O34" i="16" l="1"/>
  <c r="K20" i="16"/>
  <c r="I20" i="16"/>
  <c r="D60" i="16"/>
  <c r="K60" i="16"/>
  <c r="I60" i="16"/>
  <c r="L34" i="16"/>
  <c r="M34" i="16"/>
  <c r="M19" i="16"/>
  <c r="M20" i="16" s="1"/>
  <c r="L6" i="16"/>
  <c r="M9" i="16"/>
  <c r="M10" i="16" s="1"/>
  <c r="M29" i="16"/>
  <c r="E26" i="16"/>
  <c r="E29" i="16" s="1"/>
  <c r="M35" i="16"/>
  <c r="M36" i="16" s="1"/>
  <c r="L26" i="16"/>
  <c r="L29" i="16" s="1"/>
  <c r="C35" i="16"/>
  <c r="C36" i="16" s="1"/>
  <c r="L35" i="16"/>
  <c r="L36" i="16" s="1"/>
  <c r="D26" i="16"/>
  <c r="D29" i="16" s="1"/>
  <c r="J35" i="16"/>
  <c r="J36" i="16" s="1"/>
  <c r="H34" i="16"/>
  <c r="C60" i="16"/>
  <c r="J34" i="16"/>
  <c r="G19" i="16"/>
  <c r="H31" i="22" s="1"/>
  <c r="F35" i="16"/>
  <c r="F36" i="16" s="1"/>
  <c r="F29" i="16"/>
  <c r="G35" i="16"/>
  <c r="G36" i="16" s="1"/>
  <c r="J29" i="16"/>
  <c r="I26" i="16"/>
  <c r="I29" i="16" s="1"/>
  <c r="E9" i="16"/>
  <c r="E10" i="16" s="1"/>
  <c r="D6" i="16"/>
  <c r="D5" i="4" s="1"/>
  <c r="B6" i="16"/>
  <c r="C6" i="16"/>
  <c r="J19" i="16"/>
  <c r="E35" i="16"/>
  <c r="E36" i="16" s="1"/>
  <c r="C26" i="16"/>
  <c r="B26" i="16"/>
  <c r="B29" i="16" s="1"/>
  <c r="F19" i="16"/>
  <c r="G31" i="22" s="1"/>
  <c r="H19" i="16"/>
  <c r="C9" i="16"/>
  <c r="C10" i="16" s="1"/>
  <c r="C19" i="16"/>
  <c r="E19" i="16"/>
  <c r="F31" i="22" s="1"/>
  <c r="D35" i="16"/>
  <c r="G6" i="16"/>
  <c r="H9" i="16"/>
  <c r="H10" i="16" s="1"/>
  <c r="H6" i="16"/>
  <c r="J9" i="16"/>
  <c r="J10" i="16" s="1"/>
  <c r="J6" i="16"/>
  <c r="D19" i="16"/>
  <c r="D12" i="4" s="1"/>
  <c r="K6" i="16"/>
  <c r="L9" i="16"/>
  <c r="L10" i="16" s="1"/>
  <c r="G34" i="16"/>
  <c r="L19" i="16"/>
  <c r="D9" i="16"/>
  <c r="G26" i="16"/>
  <c r="G29" i="16" s="1"/>
  <c r="H26" i="16"/>
  <c r="H29" i="16" s="1"/>
  <c r="E6" i="16"/>
  <c r="F9" i="16"/>
  <c r="F10" i="16" s="1"/>
  <c r="F6" i="16"/>
  <c r="H35" i="16"/>
  <c r="D31" i="22" l="1"/>
  <c r="E12" i="4"/>
  <c r="O60" i="16"/>
  <c r="P19" i="16"/>
  <c r="R19" i="16"/>
  <c r="Q19" i="16"/>
  <c r="O19" i="16"/>
  <c r="N6" i="16"/>
  <c r="R6" i="16"/>
  <c r="P6" i="16"/>
  <c r="Q6" i="16"/>
  <c r="O6" i="16"/>
  <c r="Q26" i="16"/>
  <c r="P26" i="16"/>
  <c r="R26" i="16"/>
  <c r="O26" i="16"/>
  <c r="Q35" i="16"/>
  <c r="O35" i="16"/>
  <c r="R35" i="16"/>
  <c r="P35" i="16"/>
  <c r="D36" i="16"/>
  <c r="N35" i="16"/>
  <c r="D10" i="16"/>
  <c r="E31" i="22"/>
  <c r="K31" i="22" s="1"/>
  <c r="N19" i="16"/>
  <c r="C29" i="16"/>
  <c r="B30" i="16" s="1"/>
  <c r="N26" i="16"/>
  <c r="J20" i="16"/>
  <c r="L20" i="16"/>
  <c r="T20" i="16" s="1"/>
  <c r="H20" i="16"/>
  <c r="G20" i="16"/>
  <c r="F20" i="16"/>
  <c r="E20" i="16"/>
  <c r="D20" i="16"/>
  <c r="H36" i="16"/>
  <c r="C20" i="16"/>
  <c r="J60" i="16"/>
  <c r="M60" i="16"/>
  <c r="G60" i="16"/>
  <c r="F60" i="16"/>
  <c r="E60" i="16"/>
  <c r="P60" i="16" s="1"/>
  <c r="L60" i="16"/>
  <c r="H60" i="16"/>
  <c r="C59" i="16"/>
  <c r="K30" i="16"/>
  <c r="K31" i="16" s="1"/>
  <c r="L30" i="16"/>
  <c r="L31" i="16" s="1"/>
  <c r="J30" i="16"/>
  <c r="J31" i="16" s="1"/>
  <c r="D30" i="16"/>
  <c r="D31" i="16" s="1"/>
  <c r="E30" i="16"/>
  <c r="E31" i="16" s="1"/>
  <c r="I30" i="16"/>
  <c r="I31" i="16" s="1"/>
  <c r="H30" i="16"/>
  <c r="H31" i="16" s="1"/>
  <c r="G30" i="16"/>
  <c r="G31" i="16" s="1"/>
  <c r="F30" i="16"/>
  <c r="E26" i="1"/>
  <c r="K24" i="1"/>
  <c r="E41" i="1" a="1"/>
  <c r="E41" i="1" l="1"/>
  <c r="N60" i="16"/>
  <c r="R60" i="16"/>
  <c r="Q60" i="16"/>
  <c r="J31" i="22"/>
  <c r="N36" i="16"/>
  <c r="O36" i="16"/>
  <c r="Q36" i="16"/>
  <c r="P36" i="16"/>
  <c r="R36" i="16"/>
  <c r="N20" i="16"/>
  <c r="P20" i="16"/>
  <c r="R20" i="16"/>
  <c r="Q20" i="16"/>
  <c r="O20" i="16"/>
  <c r="N29" i="16"/>
  <c r="M30" i="16" s="1"/>
  <c r="M31" i="16" s="1"/>
  <c r="P29" i="16"/>
  <c r="O29" i="16"/>
  <c r="Q29" i="16"/>
  <c r="R29" i="16"/>
  <c r="B31" i="16"/>
  <c r="C30" i="16"/>
  <c r="C31" i="16" s="1"/>
  <c r="Q45" i="1"/>
  <c r="Q46" i="1"/>
  <c r="Q47" i="1"/>
  <c r="Q43" i="1"/>
  <c r="M24" i="1"/>
  <c r="F52" i="1"/>
  <c r="F50" i="1"/>
  <c r="F53" i="1"/>
  <c r="Q48" i="1"/>
  <c r="Q44" i="1"/>
  <c r="Q49" i="1"/>
  <c r="E22" i="1"/>
  <c r="P30" i="16" l="1"/>
  <c r="Q30" i="16"/>
  <c r="R30" i="16"/>
  <c r="I32" i="10"/>
  <c r="O31" i="16"/>
  <c r="O30" i="16"/>
  <c r="N30" i="16"/>
  <c r="F51" i="1"/>
  <c r="M20" i="1"/>
  <c r="B9" i="16" l="1"/>
  <c r="B10" i="16" l="1"/>
  <c r="N9" i="16"/>
  <c r="O9" i="16"/>
  <c r="R9" i="16"/>
  <c r="P9" i="16"/>
  <c r="Q9" i="16"/>
  <c r="I34" i="10"/>
  <c r="J34" i="10" s="1"/>
  <c r="M23" i="1"/>
  <c r="N10" i="16" l="1"/>
  <c r="O10" i="16"/>
  <c r="Q10" i="16"/>
  <c r="R10" i="16"/>
  <c r="P10" i="16"/>
  <c r="I13" i="10"/>
  <c r="J13" i="10" s="1"/>
  <c r="F36" i="17" l="1"/>
  <c r="F37" i="17" s="1"/>
  <c r="J56" i="17"/>
  <c r="J36" i="17"/>
  <c r="J37" i="17" s="1"/>
  <c r="M36" i="17"/>
  <c r="M37" i="17" s="1"/>
  <c r="I36" i="17"/>
  <c r="I37" i="17" s="1"/>
  <c r="E37" i="17"/>
  <c r="G36" i="17"/>
  <c r="G37" i="17" s="1"/>
  <c r="K36" i="17"/>
  <c r="K37" i="17" s="1"/>
  <c r="H56" i="17"/>
  <c r="H36" i="17"/>
  <c r="H37" i="17" s="1"/>
  <c r="L36" i="17"/>
  <c r="L37" i="17" s="1"/>
  <c r="E44" i="16"/>
  <c r="I44" i="16"/>
  <c r="I43" i="16"/>
  <c r="M44" i="16"/>
  <c r="L44" i="16"/>
  <c r="L43" i="16"/>
  <c r="E59" i="16" l="1"/>
  <c r="M59" i="16"/>
  <c r="L59" i="16"/>
  <c r="I59" i="16"/>
  <c r="M56" i="17"/>
  <c r="L56" i="17"/>
  <c r="I56" i="17"/>
  <c r="J44" i="16"/>
  <c r="F43" i="16"/>
  <c r="G44" i="16"/>
  <c r="H44" i="16"/>
  <c r="K43" i="16"/>
  <c r="H64" i="16"/>
  <c r="K44" i="16"/>
  <c r="F44" i="16"/>
  <c r="J43" i="16"/>
  <c r="G43" i="16"/>
  <c r="F59" i="16" l="1"/>
  <c r="G59" i="16"/>
  <c r="K59" i="16"/>
  <c r="H59" i="16"/>
  <c r="J59" i="16"/>
  <c r="D36" i="17"/>
  <c r="D37" i="17" s="1"/>
  <c r="E43" i="16"/>
  <c r="L64" i="16"/>
  <c r="I64" i="16"/>
  <c r="J64" i="16"/>
  <c r="M64" i="16"/>
  <c r="M43" i="16"/>
  <c r="H43" i="16"/>
  <c r="C67" i="17" l="1"/>
  <c r="D44" i="16"/>
  <c r="B68" i="16"/>
  <c r="D43" i="16"/>
  <c r="B75" i="16"/>
  <c r="C68" i="16"/>
  <c r="E25" i="4" l="1"/>
  <c r="E26" i="4" s="1"/>
  <c r="E34" i="4" s="1"/>
  <c r="E36" i="4" s="1"/>
  <c r="E43" i="4" s="1"/>
  <c r="F43" i="4" s="1"/>
  <c r="G13" i="4" s="1"/>
  <c r="H13" i="4" s="1"/>
  <c r="I13" i="4" s="1"/>
  <c r="J13" i="4" s="1"/>
  <c r="K13" i="4" s="1"/>
  <c r="L13" i="4" s="1"/>
  <c r="M13" i="4" s="1"/>
  <c r="N13" i="4" s="1"/>
  <c r="O13" i="4" s="1"/>
  <c r="P13" i="4" s="1"/>
  <c r="Q13" i="4" s="1"/>
  <c r="R13" i="4" s="1"/>
  <c r="S13" i="4" s="1"/>
  <c r="T13" i="4" s="1"/>
  <c r="D59" i="16"/>
  <c r="O44" i="16"/>
  <c r="P44" i="16"/>
  <c r="R44" i="16"/>
  <c r="N44" i="16"/>
  <c r="Q44" i="16"/>
  <c r="P43" i="16"/>
  <c r="R43" i="16"/>
  <c r="N43" i="16"/>
  <c r="Q43" i="16"/>
  <c r="O43" i="16"/>
  <c r="K56" i="17"/>
  <c r="K56" i="16"/>
  <c r="K52" i="16"/>
  <c r="K55" i="16"/>
  <c r="M44" i="1"/>
  <c r="L44" i="1"/>
  <c r="L51" i="1" l="1"/>
  <c r="M51" i="1"/>
  <c r="N59" i="16"/>
  <c r="R59" i="16"/>
  <c r="O59" i="16"/>
  <c r="Q59" i="16"/>
  <c r="P59" i="16"/>
  <c r="U13" i="4"/>
  <c r="G41" i="1" a="1"/>
  <c r="K64" i="16"/>
  <c r="G41" i="1" l="1"/>
  <c r="V13" i="4"/>
  <c r="W13" i="4" s="1"/>
  <c r="X13" i="4" s="1"/>
  <c r="Y13" i="4" s="1"/>
  <c r="Z13" i="4" s="1"/>
  <c r="AA13" i="4" s="1"/>
  <c r="H39" i="4"/>
  <c r="AB13" i="4" l="1"/>
  <c r="AC13" i="4" s="1"/>
  <c r="AD13" i="4" s="1"/>
  <c r="AE13" i="4" s="1"/>
  <c r="AF13" i="4" s="1"/>
  <c r="I39" i="4"/>
  <c r="J39" i="4" l="1"/>
  <c r="K39" i="4" l="1"/>
  <c r="L39" i="4" l="1"/>
  <c r="M39" i="4" l="1"/>
  <c r="N39" i="4" l="1"/>
  <c r="O39" i="4" l="1"/>
  <c r="P39" i="4" l="1"/>
  <c r="Q39" i="4" l="1"/>
  <c r="R39" i="4" l="1"/>
  <c r="S39" i="4" l="1"/>
  <c r="T39" i="4" l="1"/>
  <c r="U39" i="4" l="1"/>
  <c r="V39" i="4" l="1"/>
  <c r="W39" i="4" l="1"/>
  <c r="X39" i="4" l="1"/>
  <c r="Y39" i="4" l="1"/>
  <c r="Z39" i="4" l="1"/>
  <c r="AA39" i="4" l="1"/>
  <c r="AB39" i="4" l="1"/>
  <c r="AC39" i="4" l="1"/>
  <c r="AD39" i="4" l="1"/>
  <c r="AE39" i="4" l="1"/>
  <c r="AF39" i="4" l="1"/>
  <c r="AG39" i="4" s="1"/>
  <c r="AG38" i="4"/>
  <c r="K63" i="17" l="1"/>
  <c r="L63" i="17"/>
  <c r="M68" i="16"/>
  <c r="J68" i="16"/>
  <c r="K67" i="16"/>
  <c r="L68" i="16"/>
  <c r="L67" i="16"/>
  <c r="G5" i="4" l="1"/>
  <c r="G14" i="4" s="1"/>
  <c r="G11" i="4" l="1"/>
  <c r="G20" i="4" s="1"/>
  <c r="G21" i="4"/>
  <c r="G25" i="4"/>
  <c r="G26" i="4" s="1"/>
  <c r="G31" i="4"/>
  <c r="H5" i="4" l="1"/>
  <c r="H29" i="4" s="1"/>
  <c r="H11" i="4" l="1"/>
  <c r="H20" i="4" s="1"/>
  <c r="H24" i="4"/>
  <c r="H21" i="4"/>
  <c r="I5" i="4"/>
  <c r="I29" i="4" s="1"/>
  <c r="J29" i="4" s="1"/>
  <c r="K29" i="4" s="1"/>
  <c r="L29" i="4" s="1"/>
  <c r="M29" i="4" s="1"/>
  <c r="I11" i="4" l="1"/>
  <c r="I20" i="4" s="1"/>
  <c r="I24" i="4"/>
  <c r="I21" i="4"/>
  <c r="H14" i="4"/>
  <c r="H25" i="4"/>
  <c r="H26" i="4" s="1"/>
  <c r="H31" i="4"/>
  <c r="I31" i="4" s="1"/>
  <c r="I25" i="4" l="1"/>
  <c r="I26" i="4" s="1"/>
  <c r="J11" i="4"/>
  <c r="J20" i="4" s="1"/>
  <c r="J24" i="4"/>
  <c r="J21" i="4"/>
  <c r="K21" i="4"/>
  <c r="I14" i="4"/>
  <c r="J14" i="4" l="1"/>
  <c r="K11" i="4"/>
  <c r="K20" i="4" s="1"/>
  <c r="J31" i="4"/>
  <c r="J25" i="4"/>
  <c r="J26" i="4" s="1"/>
  <c r="I41" i="4"/>
  <c r="K14" i="4" l="1"/>
  <c r="K31" i="4"/>
  <c r="K25" i="4"/>
  <c r="J41" i="4"/>
  <c r="K41" i="4" s="1"/>
  <c r="L41" i="4" l="1"/>
  <c r="O21" i="4" l="1"/>
  <c r="N11" i="4"/>
  <c r="N20" i="4" s="1"/>
  <c r="O11" i="4" l="1"/>
  <c r="O20" i="4" s="1"/>
  <c r="P21" i="4"/>
  <c r="Q21" i="4" l="1"/>
  <c r="P11" i="4"/>
  <c r="P20" i="4" s="1"/>
  <c r="P5" i="4"/>
  <c r="Q5" i="4" l="1"/>
  <c r="Q11" i="4"/>
  <c r="Q20" i="4" s="1"/>
  <c r="R21" i="4"/>
  <c r="R5" i="4" l="1"/>
  <c r="R11" i="4"/>
  <c r="R20" i="4" s="1"/>
  <c r="S21" i="4"/>
  <c r="T21" i="4" l="1"/>
  <c r="S11" i="4"/>
  <c r="S20" i="4" s="1"/>
  <c r="S5" i="4"/>
  <c r="T11" i="4" l="1"/>
  <c r="T20" i="4" s="1"/>
  <c r="E56" i="17" l="1"/>
  <c r="F56" i="17"/>
  <c r="C56" i="17"/>
  <c r="B56" i="17"/>
  <c r="D56" i="17"/>
  <c r="G56" i="17"/>
  <c r="B47" i="17"/>
  <c r="C47" i="17"/>
  <c r="D47" i="17"/>
  <c r="E47" i="17"/>
  <c r="F47" i="17"/>
  <c r="G47" i="17"/>
  <c r="G50" i="17" s="1"/>
  <c r="F52" i="16"/>
  <c r="C56" i="16"/>
  <c r="D56" i="16"/>
  <c r="E56" i="16"/>
  <c r="E52" i="16"/>
  <c r="B64" i="16"/>
  <c r="C64" i="16"/>
  <c r="B52" i="16"/>
  <c r="F56" i="16"/>
  <c r="G64" i="16"/>
  <c r="D52" i="16"/>
  <c r="E64" i="16"/>
  <c r="C52" i="16"/>
  <c r="G56" i="16"/>
  <c r="F64" i="16"/>
  <c r="D64" i="16"/>
  <c r="G55" i="16"/>
  <c r="B56" i="16"/>
  <c r="Q56" i="16" l="1"/>
  <c r="O56" i="16"/>
  <c r="N56" i="16"/>
  <c r="R56" i="16"/>
  <c r="P56" i="16"/>
  <c r="R64" i="16"/>
  <c r="N64" i="16"/>
  <c r="Q64" i="16"/>
  <c r="P64" i="16"/>
  <c r="O64" i="16"/>
  <c r="O52" i="16"/>
  <c r="P52" i="16"/>
  <c r="C50" i="17"/>
  <c r="F50" i="17"/>
  <c r="E50" i="17"/>
  <c r="D50" i="17"/>
  <c r="B50" i="17"/>
  <c r="C74" i="10"/>
  <c r="F55" i="16"/>
  <c r="E55" i="16"/>
  <c r="E16" i="1"/>
  <c r="B55" i="16"/>
  <c r="G52" i="16"/>
  <c r="C55" i="16"/>
  <c r="D55" i="16"/>
  <c r="Q52" i="16" l="1"/>
  <c r="M19" i="1"/>
  <c r="R52" i="16"/>
  <c r="N52" i="16"/>
  <c r="N55" i="16"/>
  <c r="R55" i="16"/>
  <c r="O55" i="16"/>
  <c r="Q55" i="16"/>
  <c r="P55" i="16"/>
  <c r="C18" i="10"/>
  <c r="C35" i="10"/>
  <c r="I35" i="10" s="1"/>
  <c r="J35" i="10" s="1"/>
  <c r="C17" i="10"/>
  <c r="I17" i="10" l="1"/>
  <c r="J17" i="10" s="1"/>
  <c r="K23" i="1"/>
  <c r="I18" i="10"/>
  <c r="J18" i="10" s="1"/>
  <c r="G27" i="22"/>
  <c r="J27" i="22" s="1"/>
  <c r="F67" i="17"/>
  <c r="N67" i="17" s="1"/>
  <c r="F70" i="16"/>
  <c r="F33" i="16"/>
  <c r="N27" i="22" l="1"/>
  <c r="F34" i="16"/>
  <c r="N33" i="16"/>
  <c r="P33" i="16"/>
  <c r="R33" i="16"/>
  <c r="Q33" i="16"/>
  <c r="F31" i="16"/>
  <c r="S24" i="4" l="1"/>
  <c r="T24" i="4"/>
  <c r="K24" i="4"/>
  <c r="K26" i="4" s="1"/>
  <c r="P31" i="16"/>
  <c r="Q31" i="16"/>
  <c r="N31" i="16"/>
  <c r="R31" i="16"/>
  <c r="N34" i="16"/>
  <c r="P34" i="16"/>
  <c r="R34" i="16"/>
  <c r="Q34" i="16"/>
  <c r="L27" i="4"/>
  <c r="L21" i="4"/>
  <c r="L24" i="4"/>
  <c r="L11" i="4"/>
  <c r="L20" i="4" s="1"/>
  <c r="I41" i="1" a="1"/>
  <c r="I41" i="1" l="1"/>
  <c r="L31" i="4"/>
  <c r="L25" i="4"/>
  <c r="L26" i="4" s="1"/>
  <c r="L14" i="4"/>
  <c r="M41" i="4" l="1"/>
  <c r="M11" i="4" l="1"/>
  <c r="M20" i="4" s="1"/>
  <c r="M21" i="4"/>
  <c r="N21" i="4"/>
  <c r="M27" i="4"/>
  <c r="N5" i="4"/>
  <c r="N29" i="4" s="1"/>
  <c r="O29" i="4" s="1"/>
  <c r="P29" i="4" s="1"/>
  <c r="Q29" i="4" s="1"/>
  <c r="R29" i="4" s="1"/>
  <c r="S29" i="4" s="1"/>
  <c r="T29" i="4" s="1"/>
  <c r="U29" i="4" s="1"/>
  <c r="V29" i="4" s="1"/>
  <c r="W29" i="4" s="1"/>
  <c r="X29" i="4" s="1"/>
  <c r="Y29" i="4" s="1"/>
  <c r="Z29" i="4" s="1"/>
  <c r="AA29" i="4" s="1"/>
  <c r="AB29" i="4" s="1"/>
  <c r="AC29" i="4" s="1"/>
  <c r="AD29" i="4" s="1"/>
  <c r="AE29" i="4" s="1"/>
  <c r="AF29" i="4" s="1"/>
  <c r="M31" i="4" l="1"/>
  <c r="M25" i="4"/>
  <c r="M26" i="4" s="1"/>
  <c r="M14" i="4"/>
  <c r="N25" i="4" l="1"/>
  <c r="N26" i="4" s="1"/>
  <c r="N41" i="4"/>
  <c r="N14" i="4"/>
  <c r="N31" i="4"/>
  <c r="O25" i="4" l="1"/>
  <c r="P25" i="4" s="1"/>
  <c r="P26" i="4" s="1"/>
  <c r="O31" i="4"/>
  <c r="P31" i="4" s="1"/>
  <c r="O26" i="4"/>
  <c r="Q25" i="4"/>
  <c r="O14" i="4"/>
  <c r="P14" i="4" s="1"/>
  <c r="O41" i="4"/>
  <c r="P41" i="4" l="1"/>
  <c r="Q41" i="4" s="1"/>
  <c r="R41" i="4" s="1"/>
  <c r="Q14" i="4"/>
  <c r="Q26" i="4"/>
  <c r="R25" i="4"/>
  <c r="Q31" i="4"/>
  <c r="S41" i="4" l="1"/>
  <c r="R31" i="4"/>
  <c r="R26" i="4"/>
  <c r="S25" i="4"/>
  <c r="R14" i="4"/>
  <c r="S14" i="4" l="1"/>
  <c r="S26" i="4"/>
  <c r="T25" i="4"/>
  <c r="S31" i="4"/>
  <c r="T41" i="4" l="1"/>
  <c r="U41" i="4" s="1"/>
  <c r="T31" i="4"/>
  <c r="T26" i="4"/>
  <c r="T14" i="4"/>
  <c r="U31" i="4" l="1"/>
  <c r="U25" i="4"/>
  <c r="U14" i="4"/>
  <c r="U21" i="4"/>
  <c r="U27" i="4" l="1"/>
  <c r="U11" i="4"/>
  <c r="U20" i="4" s="1"/>
  <c r="U26" i="4" l="1"/>
  <c r="V41" i="4" l="1"/>
  <c r="V14" i="4" l="1"/>
  <c r="V31" i="4"/>
  <c r="V6" i="4"/>
  <c r="V30" i="4" s="1"/>
  <c r="V25" i="4"/>
  <c r="V27" i="4" l="1"/>
  <c r="V21" i="4"/>
  <c r="V11" i="4"/>
  <c r="V20" i="4" s="1"/>
  <c r="V26" i="4" l="1"/>
  <c r="W41" i="4" l="1"/>
  <c r="W31" i="4" l="1"/>
  <c r="W25" i="4"/>
  <c r="W14" i="4"/>
  <c r="W6" i="4"/>
  <c r="W30" i="4" s="1"/>
  <c r="W11" i="4" l="1"/>
  <c r="W20" i="4" s="1"/>
  <c r="W21" i="4"/>
  <c r="W27" i="4"/>
  <c r="W26" i="4" l="1"/>
  <c r="X41" i="4" l="1"/>
  <c r="X14" i="4"/>
  <c r="X31" i="4"/>
  <c r="X25" i="4"/>
  <c r="X6" i="4"/>
  <c r="X30" i="4" s="1"/>
  <c r="X11" i="4" l="1"/>
  <c r="X20" i="4" s="1"/>
  <c r="X27" i="4"/>
  <c r="X21" i="4"/>
  <c r="X26" i="4" l="1"/>
  <c r="Y41" i="4" l="1"/>
  <c r="Y25" i="4"/>
  <c r="Y31" i="4"/>
  <c r="Y14" i="4"/>
  <c r="Y6" i="4"/>
  <c r="Y30" i="4" s="1"/>
  <c r="Y27" i="4" l="1"/>
  <c r="Y21" i="4"/>
  <c r="Y11" i="4"/>
  <c r="Y20" i="4" s="1"/>
  <c r="Y26" i="4" l="1"/>
  <c r="Z41" i="4" l="1"/>
  <c r="Z14" i="4"/>
  <c r="Z31" i="4"/>
  <c r="Z25" i="4"/>
  <c r="Z6" i="4"/>
  <c r="Z30" i="4" s="1"/>
  <c r="Z27" i="4" l="1"/>
  <c r="Z11" i="4"/>
  <c r="Z20" i="4" s="1"/>
  <c r="Z21" i="4"/>
  <c r="Z26" i="4" l="1"/>
  <c r="AA41" i="4" l="1"/>
  <c r="AA31" i="4" l="1"/>
  <c r="AA25" i="4"/>
  <c r="AA14" i="4"/>
  <c r="AA6" i="4"/>
  <c r="AA30" i="4" s="1"/>
  <c r="AA27" i="4" l="1"/>
  <c r="AA21" i="4"/>
  <c r="AA11" i="4"/>
  <c r="AA20" i="4" s="1"/>
  <c r="AA26" i="4" l="1"/>
  <c r="AB41" i="4" l="1"/>
  <c r="AB14" i="4"/>
  <c r="AB25" i="4"/>
  <c r="AB31" i="4"/>
  <c r="AB6" i="4"/>
  <c r="AB30" i="4" s="1"/>
  <c r="AB11" i="4" l="1"/>
  <c r="AB20" i="4" s="1"/>
  <c r="AB24" i="4"/>
  <c r="AB21" i="4"/>
  <c r="AB27" i="4"/>
  <c r="AB26" i="4" l="1"/>
  <c r="AC41" i="4" l="1"/>
  <c r="AC14" i="4"/>
  <c r="AC31" i="4"/>
  <c r="AC25" i="4"/>
  <c r="AC6" i="4"/>
  <c r="AC30" i="4" s="1"/>
  <c r="AC27" i="4" l="1"/>
  <c r="AC21" i="4"/>
  <c r="AC11" i="4"/>
  <c r="AC20" i="4" s="1"/>
  <c r="AC26" i="4" l="1"/>
  <c r="AD41" i="4" l="1"/>
  <c r="AD14" i="4"/>
  <c r="AD31" i="4"/>
  <c r="AD25" i="4"/>
  <c r="AD6" i="4"/>
  <c r="AD30" i="4" l="1"/>
  <c r="AE41" i="4"/>
  <c r="AD11" i="4"/>
  <c r="AD20" i="4" s="1"/>
  <c r="AD26" i="4"/>
  <c r="AD21" i="4"/>
  <c r="AD27" i="4"/>
  <c r="AE25" i="4" l="1"/>
  <c r="AE31" i="4"/>
  <c r="AE14" i="4"/>
  <c r="AE6" i="4"/>
  <c r="AE30" i="4" s="1"/>
  <c r="AE11" i="4" l="1"/>
  <c r="AE20" i="4" s="1"/>
  <c r="AE27" i="4"/>
  <c r="AE21" i="4"/>
  <c r="AE26" i="4" l="1"/>
  <c r="AF41" i="4" l="1"/>
  <c r="AG41" i="4" s="1"/>
  <c r="AG9" i="4"/>
  <c r="AF14" i="4" l="1"/>
  <c r="AF25" i="4"/>
  <c r="AF6" i="4"/>
  <c r="AF30" i="4" s="1"/>
  <c r="AF31" i="4"/>
  <c r="AF11" i="4" l="1"/>
  <c r="AF20" i="4" s="1"/>
  <c r="AF27" i="4"/>
  <c r="AF21" i="4"/>
  <c r="AG23" i="4" l="1"/>
  <c r="AH24" i="4" s="1"/>
  <c r="AG40" i="4"/>
  <c r="AF26" i="4"/>
  <c r="G8" i="4"/>
  <c r="H7" i="4"/>
  <c r="G15" i="4" l="1"/>
  <c r="G16" i="4" s="1"/>
  <c r="G17" i="4" s="1"/>
  <c r="G19" i="4" s="1"/>
  <c r="G12" i="4"/>
  <c r="H8" i="4"/>
  <c r="H12" i="4" s="1"/>
  <c r="I7" i="4"/>
  <c r="J7" i="4" s="1"/>
  <c r="G28" i="4"/>
  <c r="I8" i="4" l="1"/>
  <c r="I12" i="4" s="1"/>
  <c r="G22" i="4"/>
  <c r="G34" i="4" s="1"/>
  <c r="G35" i="4"/>
  <c r="G36" i="4" l="1"/>
  <c r="G43" i="4" s="1"/>
  <c r="J8" i="4"/>
  <c r="J12" i="4" s="1"/>
  <c r="G32" i="4"/>
  <c r="H15" i="4" l="1"/>
  <c r="K8" i="4"/>
  <c r="K12" i="4" s="1"/>
  <c r="H16" i="4" l="1"/>
  <c r="H17" i="4" s="1"/>
  <c r="H19" i="4" s="1"/>
  <c r="H28" i="4"/>
  <c r="L8" i="4"/>
  <c r="L12" i="4" s="1"/>
  <c r="I28" i="4" l="1"/>
  <c r="H22" i="4"/>
  <c r="H34" i="4" s="1"/>
  <c r="M8" i="4"/>
  <c r="M12" i="4" s="1"/>
  <c r="M44" i="4" s="1"/>
  <c r="H35" i="4" l="1"/>
  <c r="H32" i="4"/>
  <c r="N8" i="4"/>
  <c r="N12" i="4" s="1"/>
  <c r="N44" i="4" s="1"/>
  <c r="H36" i="4" l="1"/>
  <c r="H43" i="4" s="1"/>
  <c r="I15" i="4"/>
  <c r="I16" i="4" s="1"/>
  <c r="I17" i="4" s="1"/>
  <c r="I19" i="4" s="1"/>
  <c r="O8" i="4"/>
  <c r="O12" i="4" s="1"/>
  <c r="O44" i="4" s="1"/>
  <c r="I22" i="4" l="1"/>
  <c r="I34" i="4" s="1"/>
  <c r="P8" i="4"/>
  <c r="P12" i="4" s="1"/>
  <c r="P44" i="4" s="1"/>
  <c r="I35" i="4" l="1"/>
  <c r="I32" i="4"/>
  <c r="Q8" i="4"/>
  <c r="Q12" i="4" s="1"/>
  <c r="Q44" i="4" s="1"/>
  <c r="I36" i="4" l="1"/>
  <c r="I43" i="4" s="1"/>
  <c r="J15" i="4"/>
  <c r="R8" i="4"/>
  <c r="R12" i="4" s="1"/>
  <c r="R44" i="4" s="1"/>
  <c r="J28" i="4" l="1"/>
  <c r="J16" i="4"/>
  <c r="J17" i="4" s="1"/>
  <c r="J19" i="4" s="1"/>
  <c r="S8" i="4"/>
  <c r="S12" i="4" s="1"/>
  <c r="S44" i="4" s="1"/>
  <c r="J22" i="4" l="1"/>
  <c r="J34" i="4" s="1"/>
  <c r="J35" i="4"/>
  <c r="U7" i="4"/>
  <c r="T8" i="4"/>
  <c r="T12" i="4" s="1"/>
  <c r="T44" i="4" s="1"/>
  <c r="U8" i="4" l="1"/>
  <c r="U12" i="4" s="1"/>
  <c r="U44" i="4" s="1"/>
  <c r="V7" i="4"/>
  <c r="J32" i="4"/>
  <c r="J36" i="4"/>
  <c r="J43" i="4" s="1"/>
  <c r="W7" i="4" l="1"/>
  <c r="V8" i="4"/>
  <c r="V12" i="4" s="1"/>
  <c r="V44" i="4" s="1"/>
  <c r="K15" i="4"/>
  <c r="X7" i="4" l="1"/>
  <c r="W8" i="4"/>
  <c r="W12" i="4" s="1"/>
  <c r="W44" i="4" s="1"/>
  <c r="K16" i="4"/>
  <c r="K17" i="4" s="1"/>
  <c r="K19" i="4" s="1"/>
  <c r="K28" i="4"/>
  <c r="Y7" i="4" l="1"/>
  <c r="X8" i="4"/>
  <c r="X12" i="4" s="1"/>
  <c r="X44" i="4" s="1"/>
  <c r="K35" i="4"/>
  <c r="K22" i="4"/>
  <c r="K34" i="4" s="1"/>
  <c r="Z7" i="4" l="1"/>
  <c r="Y8" i="4"/>
  <c r="Y12" i="4" s="1"/>
  <c r="Y44" i="4" s="1"/>
  <c r="K36" i="4"/>
  <c r="K43" i="4" s="1"/>
  <c r="L15" i="4"/>
  <c r="K32" i="4"/>
  <c r="AA7" i="4" l="1"/>
  <c r="Z8" i="4"/>
  <c r="Z12" i="4" s="1"/>
  <c r="Z44" i="4" s="1"/>
  <c r="L16" i="4"/>
  <c r="L17" i="4" s="1"/>
  <c r="L19" i="4" s="1"/>
  <c r="L28" i="4"/>
  <c r="AB7" i="4" l="1"/>
  <c r="AA8" i="4"/>
  <c r="AA12" i="4" s="1"/>
  <c r="AA44" i="4" s="1"/>
  <c r="L22" i="4"/>
  <c r="L34" i="4" s="1"/>
  <c r="L35" i="4"/>
  <c r="AC7" i="4" l="1"/>
  <c r="AB8" i="4"/>
  <c r="AB12" i="4" s="1"/>
  <c r="AB44" i="4" s="1"/>
  <c r="L36" i="4"/>
  <c r="L43" i="4" s="1"/>
  <c r="L32" i="4"/>
  <c r="AD7" i="4" l="1"/>
  <c r="AC8" i="4"/>
  <c r="AC12" i="4" s="1"/>
  <c r="AC44" i="4" s="1"/>
  <c r="M15" i="4"/>
  <c r="AE7" i="4" l="1"/>
  <c r="AD8" i="4"/>
  <c r="AD12" i="4" s="1"/>
  <c r="AD44" i="4" s="1"/>
  <c r="M16" i="4"/>
  <c r="M17" i="4" s="1"/>
  <c r="M19" i="4" s="1"/>
  <c r="M28" i="4"/>
  <c r="AF7" i="4" l="1"/>
  <c r="AF8" i="4" s="1"/>
  <c r="AF12" i="4" s="1"/>
  <c r="AF44" i="4" s="1"/>
  <c r="AE8" i="4"/>
  <c r="AE12" i="4" s="1"/>
  <c r="AE44" i="4" s="1"/>
  <c r="M22" i="4"/>
  <c r="M34" i="4" s="1"/>
  <c r="M35" i="4"/>
  <c r="M36" i="4" l="1"/>
  <c r="M43" i="4" s="1"/>
  <c r="M32" i="4"/>
  <c r="N15" i="4" l="1"/>
  <c r="N28" i="4" l="1"/>
  <c r="N16" i="4"/>
  <c r="N17" i="4" s="1"/>
  <c r="N19" i="4" s="1"/>
  <c r="N22" i="4" l="1"/>
  <c r="N34" i="4" s="1"/>
  <c r="N35" i="4"/>
  <c r="N32" i="4" l="1"/>
  <c r="N36" i="4"/>
  <c r="N43" i="4" s="1"/>
  <c r="O15" i="4"/>
  <c r="O16" i="4" l="1"/>
  <c r="O17" i="4" s="1"/>
  <c r="O19" i="4" s="1"/>
  <c r="O28" i="4"/>
  <c r="O35" i="4" l="1"/>
  <c r="O22" i="4"/>
  <c r="O34" i="4" s="1"/>
  <c r="O36" i="4" l="1"/>
  <c r="O43" i="4" s="1"/>
  <c r="P15" i="4"/>
  <c r="O32" i="4"/>
  <c r="P28" i="4" l="1"/>
  <c r="P16" i="4"/>
  <c r="P17" i="4" s="1"/>
  <c r="P19" i="4" s="1"/>
  <c r="P22" i="4" l="1"/>
  <c r="P34" i="4" s="1"/>
  <c r="P35" i="4"/>
  <c r="P32" i="4" l="1"/>
  <c r="P36" i="4"/>
  <c r="P43" i="4" s="1"/>
  <c r="Q15" i="4" l="1"/>
  <c r="Q16" i="4" l="1"/>
  <c r="Q17" i="4" s="1"/>
  <c r="Q19" i="4" s="1"/>
  <c r="Q28" i="4"/>
  <c r="Q22" i="4" l="1"/>
  <c r="Q34" i="4" s="1"/>
  <c r="Q35" i="4"/>
  <c r="Q36" i="4" l="1"/>
  <c r="Q43" i="4" s="1"/>
  <c r="Q32" i="4"/>
  <c r="R15" i="4" l="1"/>
  <c r="R28" i="4" l="1"/>
  <c r="R16" i="4"/>
  <c r="R17" i="4" s="1"/>
  <c r="R19" i="4" s="1"/>
  <c r="R22" i="4" l="1"/>
  <c r="R34" i="4" s="1"/>
  <c r="R35" i="4"/>
  <c r="R32" i="4" l="1"/>
  <c r="R36" i="4"/>
  <c r="R43" i="4" s="1"/>
  <c r="S15" i="4" l="1"/>
  <c r="S16" i="4" l="1"/>
  <c r="S17" i="4" s="1"/>
  <c r="S19" i="4" s="1"/>
  <c r="S28" i="4"/>
  <c r="S35" i="4" l="1"/>
  <c r="S22" i="4"/>
  <c r="S34" i="4" s="1"/>
  <c r="S36" i="4" l="1"/>
  <c r="S43" i="4" s="1"/>
  <c r="T15" i="4"/>
  <c r="S32" i="4"/>
  <c r="T28" i="4" l="1"/>
  <c r="T16" i="4"/>
  <c r="T17" i="4" s="1"/>
  <c r="T19" i="4" s="1"/>
  <c r="T22" i="4" l="1"/>
  <c r="T34" i="4" s="1"/>
  <c r="T35" i="4"/>
  <c r="T32" i="4" l="1"/>
  <c r="T36" i="4"/>
  <c r="T43" i="4" s="1"/>
  <c r="U15" i="4" l="1"/>
  <c r="U16" i="4" l="1"/>
  <c r="U17" i="4" s="1"/>
  <c r="U19" i="4" s="1"/>
  <c r="U28" i="4"/>
  <c r="U35" i="4" l="1"/>
  <c r="U22" i="4"/>
  <c r="U34" i="4" s="1"/>
  <c r="U36" i="4" l="1"/>
  <c r="U43" i="4" s="1"/>
  <c r="V15" i="4"/>
  <c r="U32" i="4"/>
  <c r="V16" i="4" l="1"/>
  <c r="V17" i="4" s="1"/>
  <c r="V19" i="4" s="1"/>
  <c r="V28" i="4"/>
  <c r="V35" i="4" l="1"/>
  <c r="V22" i="4"/>
  <c r="V34" i="4" s="1"/>
  <c r="V36" i="4" l="1"/>
  <c r="V43" i="4" s="1"/>
  <c r="W15" i="4"/>
  <c r="V32" i="4"/>
  <c r="W16" i="4" l="1"/>
  <c r="W17" i="4" s="1"/>
  <c r="W19" i="4" s="1"/>
  <c r="W28" i="4"/>
  <c r="W35" i="4" l="1"/>
  <c r="W22" i="4"/>
  <c r="W34" i="4" s="1"/>
  <c r="W36" i="4" l="1"/>
  <c r="W43" i="4" s="1"/>
  <c r="X15" i="4"/>
  <c r="W32" i="4"/>
  <c r="X28" i="4" l="1"/>
  <c r="X16" i="4"/>
  <c r="X17" i="4" s="1"/>
  <c r="X19" i="4" s="1"/>
  <c r="X35" i="4" l="1"/>
  <c r="X22" i="4"/>
  <c r="X34" i="4" s="1"/>
  <c r="X36" i="4" l="1"/>
  <c r="X43" i="4" s="1"/>
  <c r="X32" i="4"/>
  <c r="Y15" i="4"/>
  <c r="Y16" i="4" l="1"/>
  <c r="Y17" i="4" s="1"/>
  <c r="Y19" i="4" s="1"/>
  <c r="Y28" i="4"/>
  <c r="Y35" i="4" l="1"/>
  <c r="Y22" i="4"/>
  <c r="Y34" i="4" s="1"/>
  <c r="Y36" i="4" l="1"/>
  <c r="Y43" i="4" s="1"/>
  <c r="Z15" i="4"/>
  <c r="Y32" i="4"/>
  <c r="Z28" i="4" l="1"/>
  <c r="Z16" i="4"/>
  <c r="Z17" i="4" s="1"/>
  <c r="Z19" i="4" s="1"/>
  <c r="Z22" i="4" l="1"/>
  <c r="Z34" i="4" s="1"/>
  <c r="Z35" i="4"/>
  <c r="Z32" i="4" l="1"/>
  <c r="Z36" i="4"/>
  <c r="Z43" i="4" s="1"/>
  <c r="AA15" i="4" l="1"/>
  <c r="AA16" i="4" l="1"/>
  <c r="AA17" i="4" s="1"/>
  <c r="AA19" i="4" s="1"/>
  <c r="AA28" i="4"/>
  <c r="AA22" i="4" l="1"/>
  <c r="AA34" i="4" s="1"/>
  <c r="AA35" i="4"/>
  <c r="AA36" i="4" l="1"/>
  <c r="AA43" i="4" s="1"/>
  <c r="AA32" i="4"/>
  <c r="AB15" i="4" l="1"/>
  <c r="AB16" i="4" l="1"/>
  <c r="AB17" i="4" s="1"/>
  <c r="AB19" i="4" s="1"/>
  <c r="AB28" i="4"/>
  <c r="AB35" i="4" l="1"/>
  <c r="AB22" i="4"/>
  <c r="AB34" i="4" s="1"/>
  <c r="AB36" i="4" l="1"/>
  <c r="AB43" i="4" s="1"/>
  <c r="AC15" i="4"/>
  <c r="AB32" i="4"/>
  <c r="AC16" i="4" l="1"/>
  <c r="AC17" i="4" s="1"/>
  <c r="AC19" i="4" s="1"/>
  <c r="AC28" i="4"/>
  <c r="AC22" i="4" l="1"/>
  <c r="AC34" i="4" s="1"/>
  <c r="AC35" i="4"/>
  <c r="AC32" i="4" l="1"/>
  <c r="AC36" i="4"/>
  <c r="AC43" i="4" s="1"/>
  <c r="AD15" i="4" s="1"/>
  <c r="AD16" i="4" l="1"/>
  <c r="AD17" i="4" s="1"/>
  <c r="AD19" i="4" s="1"/>
  <c r="AD28" i="4"/>
  <c r="AD35" i="4" l="1"/>
  <c r="AD22" i="4"/>
  <c r="AD34" i="4" s="1"/>
  <c r="AD32" i="4" l="1"/>
  <c r="AD36" i="4"/>
  <c r="AD43" i="4" s="1"/>
  <c r="AE15" i="4" l="1"/>
  <c r="AE28" i="4" l="1"/>
  <c r="AE16" i="4"/>
  <c r="AE17" i="4" s="1"/>
  <c r="AE19" i="4" s="1"/>
  <c r="AE35" i="4" l="1"/>
  <c r="AE22" i="4"/>
  <c r="AE34" i="4" s="1"/>
  <c r="AE36" i="4" l="1"/>
  <c r="AE43" i="4" s="1"/>
  <c r="AE32" i="4"/>
  <c r="AF15" i="4"/>
  <c r="AF28" i="4" l="1"/>
  <c r="AF16" i="4"/>
  <c r="AF17" i="4" s="1"/>
  <c r="AF19" i="4" s="1"/>
  <c r="AF35" i="4" l="1"/>
  <c r="AF22" i="4"/>
  <c r="AF34" i="4" s="1"/>
  <c r="AF32" i="4" l="1"/>
  <c r="D71" i="4"/>
  <c r="AF36" i="4"/>
  <c r="AF43" i="4" s="1"/>
  <c r="D70" i="4" s="1"/>
  <c r="D78" i="4" l="1"/>
  <c r="D77" i="4"/>
  <c r="D72" i="4"/>
  <c r="D75" i="4" s="1"/>
  <c r="E78" i="4" l="1"/>
  <c r="E70" i="4"/>
  <c r="D80" i="4"/>
  <c r="D74" i="4"/>
  <c r="L37" i="1" s="1"/>
  <c r="H35" i="1"/>
  <c r="E77" i="4"/>
  <c r="E71" i="4"/>
  <c r="I49" i="1"/>
  <c r="I48" i="1"/>
  <c r="I47" i="1"/>
  <c r="I46" i="1"/>
  <c r="I45" i="1"/>
  <c r="I44" i="1"/>
  <c r="I43" i="1"/>
  <c r="I42" i="1"/>
  <c r="H49" i="1"/>
  <c r="H48" i="1"/>
  <c r="H47" i="1"/>
  <c r="H46" i="1"/>
  <c r="H45" i="1"/>
  <c r="H44" i="1"/>
  <c r="H43" i="1"/>
  <c r="H42" i="1"/>
  <c r="G49" i="1"/>
  <c r="G48" i="1"/>
  <c r="G47" i="1"/>
  <c r="G46" i="1"/>
  <c r="G45" i="1"/>
  <c r="G44" i="1"/>
  <c r="G43" i="1"/>
  <c r="G42" i="1"/>
  <c r="E49" i="1"/>
  <c r="E48" i="1"/>
  <c r="E47" i="1"/>
  <c r="E46" i="1"/>
  <c r="E45" i="1"/>
  <c r="E44" i="1"/>
  <c r="E43" i="1"/>
  <c r="E42" i="1"/>
  <c r="D49" i="1"/>
  <c r="D48" i="1"/>
  <c r="D47" i="1"/>
  <c r="D46" i="1"/>
  <c r="D45" i="1"/>
  <c r="D44" i="1"/>
  <c r="D43" i="1"/>
  <c r="D42" i="1"/>
  <c r="C49" i="1"/>
  <c r="C48" i="1"/>
  <c r="C47" i="1"/>
  <c r="C46" i="1"/>
  <c r="C45" i="1"/>
  <c r="C44" i="1"/>
  <c r="C43" i="1"/>
  <c r="C42" i="1"/>
  <c r="N48" i="1" l="1"/>
  <c r="S44" i="1"/>
  <c r="M26" i="1"/>
  <c r="H52" i="1"/>
  <c r="S48" i="1"/>
  <c r="C52" i="1"/>
  <c r="N42" i="1"/>
  <c r="C50" i="1"/>
  <c r="N50" i="1" s="1"/>
  <c r="N49" i="1"/>
  <c r="C53" i="1"/>
  <c r="M52" i="1"/>
  <c r="M53" i="1" s="1"/>
  <c r="L52" i="1"/>
  <c r="L53" i="1" s="1"/>
  <c r="S45" i="1"/>
  <c r="O42" i="1"/>
  <c r="D52" i="1"/>
  <c r="S46" i="1"/>
  <c r="O43" i="1"/>
  <c r="R43" i="1"/>
  <c r="S47" i="1"/>
  <c r="O44" i="1"/>
  <c r="R44" i="1"/>
  <c r="O45" i="1"/>
  <c r="R45" i="1"/>
  <c r="S49" i="1"/>
  <c r="O46" i="1"/>
  <c r="R46" i="1"/>
  <c r="N43" i="1"/>
  <c r="O47" i="1"/>
  <c r="R47" i="1"/>
  <c r="N44" i="1"/>
  <c r="O48" i="1"/>
  <c r="R48" i="1"/>
  <c r="N45" i="1"/>
  <c r="D53" i="1"/>
  <c r="D50" i="1"/>
  <c r="O50" i="1" s="1"/>
  <c r="O49" i="1"/>
  <c r="H53" i="1"/>
  <c r="H50" i="1"/>
  <c r="R49" i="1"/>
  <c r="N46" i="1"/>
  <c r="N47" i="1"/>
  <c r="S43" i="1"/>
  <c r="D51" i="1" l="1"/>
  <c r="C51" i="1"/>
  <c r="H5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tc={B8360AB7-5DB1-45D3-ABF9-3AFEF51621D6}</author>
    <author>tc={D17B5162-9C54-4F03-8882-3A424C1A2E60}</author>
    <author>tc={74106D0B-4568-4C95-B1A7-D780E3BD20D3}</author>
    <author>Eduardo Ferreira</author>
    <author>José Paulo Vicente De Sousa Lima</author>
  </authors>
  <commentList>
    <comment ref="B2" authorId="0" shapeId="0" xr:uid="{00000000-0006-0000-0000-000001000000}">
      <text>
        <t>[Threaded comment]
Your version of Excel allows you to read this threaded comment; however, any edits to it will get removed if the file is opened in a newer version of Excel. Learn more: https://go.microsoft.com/fwlink/?linkid=870924
Comment:
    Date of last update of the report</t>
      </text>
    </comment>
    <comment ref="D2" authorId="1" shapeId="0" xr:uid="{00000000-0006-0000-0000-000002000000}">
      <text>
        <t>[Threaded comment]
Your version of Excel allows you to read this threaded comment; however, any edits to it will get removed if the file is opened in a newer version of Excel. Learn more: https://go.microsoft.com/fwlink/?linkid=870924
Comment:
    Insert the date when the company will issue their next quarter/annual report</t>
      </text>
    </comment>
    <comment ref="L2" authorId="2" shapeId="0" xr:uid="{00000000-0006-0000-0000-000003000000}">
      <text>
        <t>[Threaded comment]
Your version of Excel allows you to read this threaded comment; however, any edits to it will get removed if the file is opened in a newer version of Excel. Learn more: https://go.microsoft.com/fwlink/?linkid=870924
Comment:
    In what exchange the company is listed in (Input the main exchange)</t>
      </text>
    </comment>
    <comment ref="D40" authorId="3" shapeId="0" xr:uid="{00000000-0006-0000-0000-000004000000}">
      <text>
        <r>
          <rPr>
            <sz val="12"/>
            <color rgb="FFFFFFFF"/>
            <rFont val="Calibri"/>
            <family val="2"/>
          </rPr>
          <t>Eduardo Ferreira:</t>
        </r>
        <r>
          <rPr>
            <sz val="10"/>
            <color rgb="FF000000"/>
            <rFont val="Arial"/>
            <family val="2"/>
          </rPr>
          <t xml:space="preserve">
</t>
        </r>
        <r>
          <rPr>
            <sz val="10"/>
            <color rgb="FF000000"/>
            <rFont val="Arial"/>
            <family val="2"/>
          </rPr>
          <t xml:space="preserve">Op. Earnings is Earnings after Cost of good solds, regular selling, general, and adminin costs of running a business, excluding interest and taxes. (EBIT)
</t>
        </r>
      </text>
    </comment>
    <comment ref="J65" authorId="4" shapeId="0" xr:uid="{00000000-0006-0000-0000-000005000000}">
      <text>
        <r>
          <rPr>
            <sz val="10"/>
            <rFont val="Arial"/>
            <family val="2"/>
          </rPr>
          <t>José Paulo Vicente De Sousa Lima:
UBS Bought 99% of its current position in 02/05/2025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Jorge</author>
  </authors>
  <commentList>
    <comment ref="C46" authorId="0" shapeId="0" xr:uid="{00000000-0006-0000-0100-000001000000}">
      <text>
        <r>
          <rPr>
            <b/>
            <sz val="9"/>
            <color indexed="81"/>
            <rFont val="Tahoma"/>
            <family val="2"/>
          </rPr>
          <t xml:space="preserve"> (Mainly New Energy Vehicles)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José Paulo Vicente De Sousa Lima</author>
    <author>José Lima</author>
  </authors>
  <commentList>
    <comment ref="G4" authorId="0" shapeId="0" xr:uid="{00000000-0006-0000-0300-000001000000}">
      <text>
        <r>
          <rPr>
            <sz val="10"/>
            <rFont val="Arial"/>
            <family val="2"/>
          </rPr>
          <t xml:space="preserve">José Paulo Vicente De Sousa Lima:
All IS/BS/CF data of 2024 are Bloomberg Est as of 12/31/2024
</t>
        </r>
      </text>
    </comment>
    <comment ref="AF6" authorId="1" shapeId="0" xr:uid="{00000000-0006-0000-0300-000002000000}">
      <text>
        <r>
          <rPr>
            <b/>
            <sz val="9"/>
            <color indexed="81"/>
            <rFont val="Tahoma"/>
            <family val="2"/>
          </rPr>
          <t>José Lima:</t>
        </r>
        <r>
          <rPr>
            <sz val="9"/>
            <color indexed="81"/>
            <rFont val="Tahoma"/>
            <family val="2"/>
          </rPr>
          <t xml:space="preserve">
Above Forecast made in asssumptions sheet (100M), could represent abnormal growth in certain years</t>
        </r>
      </text>
    </comment>
    <comment ref="M23" authorId="1" shapeId="0" xr:uid="{00000000-0006-0000-0300-000003000000}">
      <text>
        <r>
          <rPr>
            <b/>
            <sz val="9"/>
            <color indexed="81"/>
            <rFont val="Tahoma"/>
            <family val="2"/>
          </rPr>
          <t>José Lima:</t>
        </r>
        <r>
          <rPr>
            <sz val="9"/>
            <color indexed="81"/>
            <rFont val="Tahoma"/>
            <family val="2"/>
          </rPr>
          <t xml:space="preserve">
My projection has the year of 2030 as a turnover point, that represents EV's threats and a decrease in CAPEX expensures followed by growth decrease</t>
        </r>
      </text>
    </comment>
    <comment ref="AF44" authorId="1" shapeId="0" xr:uid="{00000000-0006-0000-0300-000004000000}">
      <text>
        <r>
          <rPr>
            <b/>
            <sz val="9"/>
            <color indexed="81"/>
            <rFont val="Tahoma"/>
            <family val="2"/>
          </rPr>
          <t>José Lima:</t>
        </r>
        <r>
          <rPr>
            <sz val="9"/>
            <color indexed="81"/>
            <rFont val="Tahoma"/>
            <family val="2"/>
          </rPr>
          <t xml:space="preserve">
Forecasted in assumption sheet, graph in notes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林伊婧</author>
  </authors>
  <commentList>
    <comment ref="C3" authorId="0" shapeId="0" xr:uid="{00000000-0006-0000-0600-000001000000}">
      <text>
        <r>
          <rPr>
            <b/>
            <sz val="10"/>
            <color rgb="FF000000"/>
            <rFont val="Tahoma"/>
            <family val="2"/>
          </rPr>
          <t>Impact, scale from: none,low,medium and high</t>
        </r>
      </text>
    </comment>
    <comment ref="D3" authorId="0" shapeId="0" xr:uid="{00000000-0006-0000-0600-000002000000}">
      <text>
        <r>
          <rPr>
            <b/>
            <sz val="10"/>
            <color rgb="FF000000"/>
            <rFont val="Tahoma"/>
            <family val="2"/>
          </rPr>
          <t>Does the company report? Yes/No</t>
        </r>
        <r>
          <rPr>
            <sz val="10"/>
            <color rgb="FF000000"/>
            <rFont val="Tahoma"/>
            <family val="2"/>
          </rPr>
          <t xml:space="preserve">
</t>
        </r>
      </text>
    </comment>
    <comment ref="F3" authorId="0" shapeId="0" xr:uid="{00000000-0006-0000-0600-000003000000}">
      <text>
        <r>
          <rPr>
            <b/>
            <sz val="10"/>
            <color rgb="FF000000"/>
            <rFont val="Tahoma"/>
            <family val="2"/>
          </rPr>
          <t>Mitigation plan
yes/no</t>
        </r>
      </text>
    </comment>
    <comment ref="G3" authorId="0" shapeId="0" xr:uid="{00000000-0006-0000-0600-000004000000}">
      <text>
        <r>
          <rPr>
            <b/>
            <sz val="10"/>
            <color rgb="FF000000"/>
            <rFont val="Tahoma"/>
            <family val="2"/>
          </rPr>
          <t>Traffic lights</t>
        </r>
      </text>
    </comment>
    <comment ref="H3" authorId="0" shapeId="0" xr:uid="{00000000-0006-0000-0600-000005000000}">
      <text>
        <r>
          <rPr>
            <b/>
            <sz val="10"/>
            <color rgb="FF000000"/>
            <rFont val="Tahoma"/>
            <family val="2"/>
          </rPr>
          <t>Comments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Damião Carvalho Perdigão Gonçalves Ribeiro</author>
  </authors>
  <commentList>
    <comment ref="J23" authorId="0" shapeId="0" xr:uid="{00000000-0006-0000-0700-000001000000}">
      <text>
        <r>
          <rPr>
            <sz val="10"/>
            <rFont val="Arial"/>
            <family val="2"/>
          </rPr>
          <t>Damião Carvalho Perdigão Gonçalves Ribeiro:
Average YoY Growth (Gross PPE)</t>
        </r>
      </text>
    </comment>
    <comment ref="K23" authorId="0" shapeId="0" xr:uid="{00000000-0006-0000-0700-000002000000}">
      <text>
        <r>
          <rPr>
            <sz val="10"/>
            <rFont val="Arial"/>
            <family val="2"/>
          </rPr>
          <t>Damião Carvalho Perdigão Gonçalves Ribeiro:
Average YoY Growth (Gross PPE)</t>
        </r>
      </text>
    </comment>
    <comment ref="J25" authorId="0" shapeId="0" xr:uid="{00000000-0006-0000-0700-000003000000}">
      <text>
        <r>
          <rPr>
            <sz val="10"/>
            <rFont val="Arial"/>
            <family val="2"/>
          </rPr>
          <t>Damião Carvalho Perdigão Gonçalves Ribeiro:
Average YoY Growth (Gross IA)</t>
        </r>
      </text>
    </comment>
    <comment ref="K25" authorId="0" shapeId="0" xr:uid="{00000000-0006-0000-0700-000004000000}">
      <text>
        <r>
          <rPr>
            <sz val="10"/>
            <rFont val="Arial"/>
            <family val="2"/>
          </rPr>
          <t>Damião Carvalho Perdigão Gonçalves Ribeiro:
Average YoY Growth (Gross IA)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José Lima</author>
  </authors>
  <commentList>
    <comment ref="S20" authorId="0" shapeId="0" xr:uid="{00000000-0006-0000-0800-000001000000}">
      <text>
        <r>
          <rPr>
            <b/>
            <sz val="9"/>
            <color indexed="81"/>
            <rFont val="Tahoma"/>
            <family val="2"/>
          </rPr>
          <t>José Lima:</t>
        </r>
        <r>
          <rPr>
            <sz val="9"/>
            <color indexed="81"/>
            <rFont val="Tahoma"/>
            <family val="2"/>
          </rPr>
          <t xml:space="preserve">
EBIT Margin decrease 57% considering its peak (2016)</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Top Auto Manufacturers Companies in the World as of Jul  01, 2024" description="Connection to the 'Top Auto Manufacturers Companies in the World as of Jul  01, 2024' query in the workbook." type="5" refreshedVersion="8" background="1" saveData="1">
    <dbPr connection="Provider=Microsoft.Mashup.OleDb.1;Data Source=$Workbook$;Location=&quot;Top Auto Manufacturers Companies in the World as of Jul  01, 2024&quot;;Extended Properties=&quot;&quot;" command="SELECT * FROM [Top Auto Manufacturers Companies in the World as of Jul  01, 2024]"/>
  </connection>
  <connection id="2" xr16:uid="{00000000-0015-0000-FFFF-FFFF01000000}" keepAlive="1" name="Query - Top Auto Manufacturers Companies in the World as of Jul  01, 2024 (2)" description="Connection to the 'Top Auto Manufacturers Companies in the World as of Jul  01, 2024 (2)' query in the workbook." type="5" refreshedVersion="8" background="1" saveData="1">
    <dbPr connection="Provider=Microsoft.Mashup.OleDb.1;Data Source=$Workbook$;Location=&quot;Top Auto Manufacturers Companies in the World as of Jul  01, 2024 (2)&quot;;Extended Properties=&quot;&quot;" command="SELECT * FROM [Top Auto Manufacturers Companies in the World as of Jul  01, 2024 (2)]"/>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6">
    <bk>
      <extLst>
        <ext uri="{3e2802c4-a4d2-4d8b-9148-e3be6c30e623}">
          <xlrd:rvb i="1"/>
        </ext>
      </extLst>
    </bk>
    <bk>
      <extLst>
        <ext uri="{3e2802c4-a4d2-4d8b-9148-e3be6c30e623}">
          <xlrd:rvb i="4"/>
        </ext>
      </extLst>
    </bk>
    <bk>
      <extLst>
        <ext uri="{3e2802c4-a4d2-4d8b-9148-e3be6c30e623}">
          <xlrd:rvb i="7"/>
        </ext>
      </extLst>
    </bk>
    <bk>
      <extLst>
        <ext uri="{3e2802c4-a4d2-4d8b-9148-e3be6c30e623}">
          <xlrd:rvb i="10"/>
        </ext>
      </extLst>
    </bk>
    <bk>
      <extLst>
        <ext uri="{3e2802c4-a4d2-4d8b-9148-e3be6c30e623}">
          <xlrd:rvb i="13"/>
        </ext>
      </extLst>
    </bk>
    <bk>
      <extLst>
        <ext uri="{3e2802c4-a4d2-4d8b-9148-e3be6c30e623}">
          <xlrd:rvb i="16"/>
        </ext>
      </extLst>
    </bk>
  </futureMetadata>
  <futureMetadata name="XLDAPR" count="1">
    <bk>
      <extLst>
        <ext uri="{bdbb8cdc-fa1e-496e-a857-3c3f30c029c3}">
          <xda:dynamicArrayProperties fDynamic="1" fCollapsed="0"/>
        </ext>
      </extLst>
    </bk>
  </futureMetadata>
  <cellMetadata count="1">
    <bk>
      <rc t="2" v="0"/>
    </bk>
  </cellMetadata>
  <valueMetadata count="6">
    <bk>
      <rc t="1" v="0"/>
    </bk>
    <bk>
      <rc t="1" v="1"/>
    </bk>
    <bk>
      <rc t="1" v="2"/>
    </bk>
    <bk>
      <rc t="1" v="3"/>
    </bk>
    <bk>
      <rc t="1" v="4"/>
    </bk>
    <bk>
      <rc t="1" v="5"/>
    </bk>
  </valueMetadata>
</metadata>
</file>

<file path=xl/sharedStrings.xml><?xml version="1.0" encoding="utf-8"?>
<sst xmlns="http://schemas.openxmlformats.org/spreadsheetml/2006/main" count="2063" uniqueCount="896">
  <si>
    <t>(Date of last update)</t>
  </si>
  <si>
    <t>Team 1</t>
  </si>
  <si>
    <t>(Date of next Quarter/Annual Report)</t>
  </si>
  <si>
    <t xml:space="preserve">SIC: </t>
  </si>
  <si>
    <t>Executive Directors: Mr. Wei Jian Jun (Chairman) Mr. Zhao Guo Qing (Vice-chairman and Deputy General Manager) Ms. Li Hong Shuan Non-Executive Director: Mr. He Ping Independent Non-Executive Directors: Ms. Yue Ying Mr. Li Wan Jun (not re-appointed upon expiry of his term of office on 16 June 2023) Mr. Ng Chi Kit (not re-appointed upon expiry of his term of office on 16 June 2023) Mr. Fan Hui (appointed on 16 June 2023) Mr. Tom Siulun Chau (appointed on 16 June 2023)</t>
  </si>
  <si>
    <t>COMPANY DESCRIPTION</t>
  </si>
  <si>
    <t>CEO &amp; BOARD OF DIRECTORS</t>
  </si>
  <si>
    <t>Name, Age and Tenure</t>
  </si>
  <si>
    <t>Gender</t>
  </si>
  <si>
    <t>Executive?</t>
  </si>
  <si>
    <t>Other roles</t>
  </si>
  <si>
    <t>Wei Jianjun, 61, 19.6</t>
  </si>
  <si>
    <t>Male</t>
  </si>
  <si>
    <t>Yes (Chairman/Exec Dir/Founder)</t>
  </si>
  <si>
    <t>Board member: Svolt Energy Technology Co Ltd</t>
  </si>
  <si>
    <t>Zhao Guoqin, 47, 3</t>
  </si>
  <si>
    <t>Yes (Vice Chairman/Depity General Manager)</t>
  </si>
  <si>
    <t>-</t>
  </si>
  <si>
    <t>Fan Hui, 47, 1.8</t>
  </si>
  <si>
    <t>No</t>
  </si>
  <si>
    <t>Board member: YH Entertainment Group, Aura International Management Consulting Ci Ltd, Xuzhou ZM-Besta Heavy Steel Structure Co Ltd</t>
  </si>
  <si>
    <t>Siulun Chau, 59, 1.8</t>
  </si>
  <si>
    <t>Li Hongshuan, 41, 3</t>
  </si>
  <si>
    <t>Female</t>
  </si>
  <si>
    <t>Yes (CFO/IR)</t>
  </si>
  <si>
    <t>Yue Ying, 53, 4.8</t>
  </si>
  <si>
    <t>Associate Professor at North China Electric Power University</t>
  </si>
  <si>
    <t>He Ping, 48, 22.8</t>
  </si>
  <si>
    <t>COMPANY OVERVIEW</t>
  </si>
  <si>
    <t>Stock</t>
  </si>
  <si>
    <t>Liquidity and Solvency</t>
  </si>
  <si>
    <t>Segments</t>
  </si>
  <si>
    <t>Multiples</t>
  </si>
  <si>
    <t>Last Price</t>
  </si>
  <si>
    <t>Total Assets</t>
  </si>
  <si>
    <t>Categories</t>
  </si>
  <si>
    <t>% Sales</t>
  </si>
  <si>
    <t>Reporting Year</t>
  </si>
  <si>
    <t>Float</t>
  </si>
  <si>
    <t>Outstanding Shares</t>
  </si>
  <si>
    <t>Total Liabilities</t>
  </si>
  <si>
    <t>End of Year</t>
  </si>
  <si>
    <t>Insiders Own</t>
  </si>
  <si>
    <t>Market Cap.</t>
  </si>
  <si>
    <t>Cash/Share</t>
  </si>
  <si>
    <t>EBITDA</t>
  </si>
  <si>
    <t>b (Yahoo)</t>
  </si>
  <si>
    <t>+Total Debt</t>
  </si>
  <si>
    <t>EBITDA/Net Financial Cost (NFC)</t>
  </si>
  <si>
    <t>Depreciation &amp; Amortization</t>
  </si>
  <si>
    <t>Score (S&amp;P)</t>
  </si>
  <si>
    <t>-Cash</t>
  </si>
  <si>
    <t>Debt/EBITDA</t>
  </si>
  <si>
    <t>EBIT</t>
  </si>
  <si>
    <t>Price/Book Value</t>
  </si>
  <si>
    <t>=Enterprise Value</t>
  </si>
  <si>
    <t>"Others Assets"/Asset</t>
  </si>
  <si>
    <t>Net Income</t>
  </si>
  <si>
    <t>NCF(3y avg)/Asset</t>
  </si>
  <si>
    <t>Holdings (nac/int'l)</t>
  </si>
  <si>
    <t>Debt/Assets</t>
  </si>
  <si>
    <t>Regions</t>
  </si>
  <si>
    <t>EPS</t>
  </si>
  <si>
    <t>Price/Net Inc. (3y avg)</t>
  </si>
  <si>
    <t>t liq. (Holdings/Vol.)</t>
  </si>
  <si>
    <t>EBITDA Margin (average)</t>
  </si>
  <si>
    <t>ROA</t>
  </si>
  <si>
    <t>EV/Asset</t>
  </si>
  <si>
    <t>% Short</t>
  </si>
  <si>
    <t>Operating Margin (average)</t>
  </si>
  <si>
    <t>ROIC</t>
  </si>
  <si>
    <t>EV/Ebitda (3y average)</t>
  </si>
  <si>
    <t>Traffic ESG</t>
  </si>
  <si>
    <t>Net Income Margin (average)</t>
  </si>
  <si>
    <t>EBITDA (3y average)</t>
  </si>
  <si>
    <t>Price/NCF (3y average)</t>
  </si>
  <si>
    <t>E</t>
  </si>
  <si>
    <t>Net Income (3y average)</t>
  </si>
  <si>
    <t>Bonds 1,3,5a (USD)</t>
  </si>
  <si>
    <t>S</t>
  </si>
  <si>
    <t>Net Financial Cost/Avg Net Debt</t>
  </si>
  <si>
    <t>NCF (3y average)</t>
  </si>
  <si>
    <t>Div+Rep.(3y avg)/Price</t>
  </si>
  <si>
    <t>G</t>
  </si>
  <si>
    <t>Div. Yield</t>
  </si>
  <si>
    <t>INVESTMENT THESIS</t>
  </si>
  <si>
    <t>Pillars of Recommendation</t>
  </si>
  <si>
    <t>Recommendation</t>
  </si>
  <si>
    <t>Valuation Assumptions</t>
  </si>
  <si>
    <t>Pillar</t>
  </si>
  <si>
    <t>Explanation</t>
  </si>
  <si>
    <t xml:space="preserve">Revenue                                                                  Debt                                                                                             </t>
  </si>
  <si>
    <t>Competitive Leadership</t>
  </si>
  <si>
    <t>Leverages a dominant market position and an integrated manufacturing/distribution network that consistently drives revenue growth and maintains market share across key segments.</t>
  </si>
  <si>
    <t>Global Expansion &amp; Diversification</t>
  </si>
  <si>
    <t>Pursues strategic international growth and diversification into emerging segments (such as electric vehicles), reducing reliance on domestic markets and opening new revenue streams.</t>
  </si>
  <si>
    <t xml:space="preserve">Financial Discipline </t>
  </si>
  <si>
    <t>Maintains strong cash flow and a prudent balance sheet, enabling a disciplined dividend policy and active share repurchases that enhance per-share value over time.</t>
  </si>
  <si>
    <t xml:space="preserve">
</t>
  </si>
  <si>
    <t>Price Target</t>
  </si>
  <si>
    <t>Valuation</t>
  </si>
  <si>
    <t>Risk</t>
  </si>
  <si>
    <t>Discount Rate</t>
  </si>
  <si>
    <t>Macro-Economic Uncertainty</t>
  </si>
  <si>
    <t>Vulnerability to global economic shifts such as interest rate hikes, inflation spikes, and trade tensions that can dampen consumer spending and elevate costs.</t>
  </si>
  <si>
    <t>Intensified Competitive Pressure</t>
  </si>
  <si>
    <t>Growing competition from both domestic and international players, which could erode market share and compress profit margins.</t>
  </si>
  <si>
    <t>Upside</t>
  </si>
  <si>
    <t>Operational Vulnerabilities</t>
  </si>
  <si>
    <t>Exposure to supply chain disruptions, rising input costs, and regulatory challenges that may impact production efficiency and innovation.</t>
  </si>
  <si>
    <t>FINANCIAL PERFORMANCE</t>
  </si>
  <si>
    <t>Year</t>
  </si>
  <si>
    <t>Net Sales</t>
  </si>
  <si>
    <t>Operating Margin</t>
  </si>
  <si>
    <t>Dividends + Share Buyback</t>
  </si>
  <si>
    <t>Net Cash Flow</t>
  </si>
  <si>
    <t>Capex + Investments</t>
  </si>
  <si>
    <t>Cash Flow</t>
  </si>
  <si>
    <t>Operating CF</t>
  </si>
  <si>
    <t>Investing CF</t>
  </si>
  <si>
    <t>Net Capex</t>
  </si>
  <si>
    <t>Investments &amp; Acquisitions</t>
  </si>
  <si>
    <t>Financing CF</t>
  </si>
  <si>
    <t>Dividends</t>
  </si>
  <si>
    <t>Share Buyback</t>
  </si>
  <si>
    <t>Annual Growth Rate</t>
  </si>
  <si>
    <t>FX</t>
  </si>
  <si>
    <t>Average Growth Rate</t>
  </si>
  <si>
    <t>Changes in Cash</t>
  </si>
  <si>
    <t>CVAR</t>
  </si>
  <si>
    <r>
      <t>Inventory/</t>
    </r>
    <r>
      <rPr>
        <sz val="10"/>
        <rFont val="Symbol"/>
        <family val="1"/>
        <charset val="2"/>
      </rPr>
      <t>D</t>
    </r>
    <r>
      <rPr>
        <sz val="10"/>
        <rFont val="Arial"/>
        <family val="2"/>
      </rPr>
      <t xml:space="preserve"> Revenues</t>
    </r>
  </si>
  <si>
    <t>Last Year</t>
  </si>
  <si>
    <t>t inversiones; t adq. neto dep.</t>
  </si>
  <si>
    <t>QUALITATIVE ANALYSIS</t>
  </si>
  <si>
    <t>SWOT ANALYSIS</t>
  </si>
  <si>
    <t>HOLDERS</t>
  </si>
  <si>
    <t>Strengths</t>
  </si>
  <si>
    <t>Weaknesses</t>
  </si>
  <si>
    <t>Name</t>
  </si>
  <si>
    <t>% Stake</t>
  </si>
  <si>
    <t>Great Wall Motor Company leverages a dominant market position with a diverse brand portfolio that spans SUVs, pickups, and an emerging electric vehicle segment. Its robust manufacturing infrastructure, extensive vertical integration, and strategic partnerships (such as the joint venture with BMW for electric Mini production) enable strong cost leadership and reliable growth. Additionally, its expansive distribution network and proven ability to capture favorable market trends in China and beyond provide a competitive edge in capturing consumer demand.</t>
  </si>
  <si>
    <t>The company has historically faced challenges in innovation and quality differentiation, occasionally drawing criticism for its copycat strategies. A heavy reliance on the domestic market exposes it to regional economic fluctuations, while slower R&amp;D compared to some global peers may hinder rapid technological advancement. Margin pressures from aggressive pricing, rising input costs, and potential inefficiencies in operational execution represent micro risks that could limit performance.</t>
  </si>
  <si>
    <t>Blackrock Inc</t>
  </si>
  <si>
    <t>JP Morgan Chase &amp; CO</t>
  </si>
  <si>
    <t>Bank of America Corp</t>
  </si>
  <si>
    <t>E Fund Management Corp</t>
  </si>
  <si>
    <t>Schroders PLC</t>
  </si>
  <si>
    <t>Harvest Global Invest</t>
  </si>
  <si>
    <t>Vanguard Group</t>
  </si>
  <si>
    <t>Credit Suisse Group AG</t>
  </si>
  <si>
    <t>UBS AG</t>
  </si>
  <si>
    <t>Citigroup INC</t>
  </si>
  <si>
    <t>Opportunities</t>
  </si>
  <si>
    <t>Risks</t>
  </si>
  <si>
    <t>Great Wall Motor can capitalize on the accelerating global shift toward electric vehicles and increased consumer demand for SUVs and pickups. Expanding into international markets—especially emerging economies and regions with favorable demographics—offers significant growth potential. Government incentives for clean energy and technological advancements further support opportunities for operational expansion and product innovation, potentially opening new revenue streams and strengthening market share.</t>
  </si>
  <si>
    <t>Macro risks include global trade tensions, potential interest rate hikes, and economic slowdowns that could adversely impact consumer spending and cost structures. On a micro level, intensifying competition from both domestic rivals (e.g., BYD) and established global players may erode margins and market share. Additionally, supply chain disruptions and regulatory uncertainties pose threats that could affect operational stability and the company’s ability to sustain its growth trajectory.</t>
  </si>
  <si>
    <t>TOTAL</t>
  </si>
  <si>
    <t>NOTES</t>
  </si>
  <si>
    <t>STOCK PERFORMANCE (5 years)</t>
  </si>
  <si>
    <t xml:space="preserve">Recently UBS bought 99,667,909 shares, totalizing 100,404,458 shares which represents 4,33% of the company outstading shares. This investment could mean that UBS Asset Management team is looking for an upside in the stock.         </t>
  </si>
  <si>
    <t>Products</t>
  </si>
  <si>
    <t>Nominal value</t>
  </si>
  <si>
    <t>YoY Growth</t>
  </si>
  <si>
    <t>Weight</t>
  </si>
  <si>
    <t>Region</t>
  </si>
  <si>
    <t>Automobiles</t>
  </si>
  <si>
    <t>Automotive Parts &amp; Components</t>
  </si>
  <si>
    <t>Provision Of Services</t>
  </si>
  <si>
    <t>Moulds &amp; Others</t>
  </si>
  <si>
    <t>Other Business</t>
  </si>
  <si>
    <t>Adjustments</t>
  </si>
  <si>
    <t>Category</t>
  </si>
  <si>
    <t>China</t>
  </si>
  <si>
    <t>Other countries</t>
  </si>
  <si>
    <r>
      <t xml:space="preserve">Number of vehicles </t>
    </r>
    <r>
      <rPr>
        <u/>
        <sz val="16"/>
        <color theme="0"/>
        <rFont val="Arial"/>
        <family val="2"/>
      </rPr>
      <t>produced</t>
    </r>
    <r>
      <rPr>
        <sz val="16"/>
        <color theme="0"/>
        <rFont val="Arial"/>
        <family val="2"/>
      </rPr>
      <t xml:space="preserve"> worlwide (Thousand)</t>
    </r>
  </si>
  <si>
    <r>
      <t xml:space="preserve">Number of vehicles </t>
    </r>
    <r>
      <rPr>
        <u/>
        <sz val="16"/>
        <color theme="0"/>
        <rFont val="Arial"/>
        <family val="2"/>
      </rPr>
      <t>sold</t>
    </r>
    <r>
      <rPr>
        <sz val="16"/>
        <color theme="0"/>
        <rFont val="Arial"/>
        <family val="2"/>
      </rPr>
      <t xml:space="preserve"> by type (Thousand)</t>
    </r>
  </si>
  <si>
    <t>SUV</t>
  </si>
  <si>
    <t xml:space="preserve">    Domestic</t>
  </si>
  <si>
    <t xml:space="preserve">    Export</t>
  </si>
  <si>
    <t>Pick-Up Truck</t>
  </si>
  <si>
    <t>Sedan &amp; Others</t>
  </si>
  <si>
    <r>
      <t xml:space="preserve">Number of vehicles </t>
    </r>
    <r>
      <rPr>
        <u/>
        <sz val="16"/>
        <color theme="0"/>
        <rFont val="Arial"/>
        <family val="2"/>
      </rPr>
      <t>sold</t>
    </r>
    <r>
      <rPr>
        <sz val="16"/>
        <color theme="0"/>
        <rFont val="Arial"/>
        <family val="2"/>
      </rPr>
      <t xml:space="preserve"> by energy type (Thousand)</t>
    </r>
  </si>
  <si>
    <t>Conventional Vehicle</t>
  </si>
  <si>
    <t>New Energy Vehicle</t>
  </si>
  <si>
    <t>Types of Categories</t>
  </si>
  <si>
    <t>Description</t>
  </si>
  <si>
    <t>Graphs</t>
  </si>
  <si>
    <t>This segment involves the design, research and development, manufacturing, and sales of automobiles. The company primarily produces SUVs, sedans, and pickup trucks.</t>
  </si>
  <si>
    <t>This segment focuses on the manufacturing and sale of key automotive parts and components. It supports the company's vehicle production while also serving external customers. Key components are transmission systems, electronic, electrical, rubber and plastic components, seats, chassis, etc.</t>
  </si>
  <si>
    <t>Moulds &amp; Other Services</t>
  </si>
  <si>
    <t>The company provides automobile moulds and related technical services.
This includes the development of new vehicle designs and tooling for manufacturing.
It also involves vehicle repair and maintenance services.</t>
  </si>
  <si>
    <t>Industry</t>
  </si>
  <si>
    <t>Graphs (Industry Forecasts)</t>
  </si>
  <si>
    <t>Drivers</t>
  </si>
  <si>
    <t>New Energy Vehicles (NEVs) Transition</t>
  </si>
  <si>
    <r>
      <t xml:space="preserve">Many governments, including China, offer </t>
    </r>
    <r>
      <rPr>
        <b/>
        <sz val="10"/>
        <rFont val="Arial"/>
        <family val="2"/>
      </rPr>
      <t>subsidies, tax incentives, and regulatory mandates</t>
    </r>
    <r>
      <rPr>
        <sz val="10"/>
        <rFont val="Arial"/>
        <family val="2"/>
      </rPr>
      <t xml:space="preserve"> to promote NEVs.</t>
    </r>
  </si>
  <si>
    <t>Global Expansion and Market Diversification</t>
  </si>
  <si>
    <t>Reduce dependence on domestic sales and tap into emerging markets with growing demand.</t>
  </si>
  <si>
    <t>Sales forecast</t>
  </si>
  <si>
    <t>Source</t>
  </si>
  <si>
    <t>Market Growth CAGR</t>
  </si>
  <si>
    <t>Period</t>
  </si>
  <si>
    <t>Electric SUVs</t>
  </si>
  <si>
    <t>2024-2034</t>
  </si>
  <si>
    <t>Battery EVs China</t>
  </si>
  <si>
    <t>2025-2029</t>
  </si>
  <si>
    <t>Advanced Driver-Assintance System</t>
  </si>
  <si>
    <t>2025-2035</t>
  </si>
  <si>
    <t>Average</t>
  </si>
  <si>
    <t>Company's Strategy / Extra Notes</t>
  </si>
  <si>
    <r>
      <t>Expansion into New Energy Vehicles (NEVs)</t>
    </r>
    <r>
      <rPr>
        <sz val="10"/>
        <rFont val="Arial"/>
        <family val="2"/>
      </rPr>
      <t xml:space="preserve"> – Focus on EVs, PHEVs, and hydrogen-powered vehicles, with NEV sales growing 113.88% in 2023.</t>
    </r>
  </si>
  <si>
    <r>
      <t>Development of Hi4 Hybrid Technology</t>
    </r>
    <r>
      <rPr>
        <sz val="10"/>
        <rFont val="Arial"/>
        <family val="2"/>
      </rPr>
      <t xml:space="preserve"> – Introduction of Hi4 hybrid systems for better fuel efficiency and performance in urban and off-road settings.</t>
    </r>
  </si>
  <si>
    <r>
      <t>Investment in Autonomous and Smart Vehicles</t>
    </r>
    <r>
      <rPr>
        <sz val="10"/>
        <rFont val="Arial"/>
        <family val="2"/>
      </rPr>
      <t xml:space="preserve"> – Advancing AI-driven driver assistance, smart cockpits, and autonomous driving, backed by 100M+ km of data.</t>
    </r>
  </si>
  <si>
    <r>
      <t>Global Expansion Strategy</t>
    </r>
    <r>
      <rPr>
        <sz val="10"/>
        <rFont val="Arial"/>
        <family val="2"/>
      </rPr>
      <t xml:space="preserve"> – Strengthening presence in ASEAN, Latin America, and Europe, with an 82.37% YoY increase in overseas sales.</t>
    </r>
  </si>
  <si>
    <r>
      <t>Strengthening Manufacturing Capabilities</t>
    </r>
    <r>
      <rPr>
        <sz val="10"/>
        <rFont val="Arial"/>
        <family val="2"/>
      </rPr>
      <t xml:space="preserve"> – Operating 10 production plants in China and multiple international facilities for localized production.</t>
    </r>
  </si>
  <si>
    <r>
      <t>Hydrogen Technology Development</t>
    </r>
    <r>
      <rPr>
        <sz val="10"/>
        <rFont val="Arial"/>
        <family val="2"/>
      </rPr>
      <t xml:space="preserve"> – Investing in full-cycle hydrogen solutions, including fuel cell technology and infrastructure.</t>
    </r>
  </si>
  <si>
    <r>
      <t>Focus on Digital Transformation</t>
    </r>
    <r>
      <rPr>
        <sz val="10"/>
        <rFont val="Arial"/>
        <family val="2"/>
      </rPr>
      <t xml:space="preserve"> – Enhancing AI-driven sales platforms, smart maintenance, and over-the-air (OTA) vehicle updates.</t>
    </r>
  </si>
  <si>
    <r>
      <t>R&amp;D and Innovation Investments</t>
    </r>
    <r>
      <rPr>
        <sz val="10"/>
        <rFont val="Arial"/>
        <family val="2"/>
      </rPr>
      <t xml:space="preserve"> – Increasing research in battery efficiency, electric mobility, and autonomous driving technologies.</t>
    </r>
  </si>
  <si>
    <r>
      <rPr>
        <b/>
        <sz val="10"/>
        <color rgb="FF000000"/>
        <rFont val="Arial"/>
        <family val="2"/>
      </rPr>
      <t>Brand Positioning and Market Differentiation</t>
    </r>
    <r>
      <rPr>
        <sz val="10"/>
        <color rgb="FF000000"/>
        <rFont val="Arial"/>
        <family val="2"/>
      </rPr>
      <t xml:space="preserve"> – Expanding into premium SUV segments with intelligent and luxury off-road models.</t>
    </r>
  </si>
  <si>
    <r>
      <t>Risk Management and Market Adaptation</t>
    </r>
    <r>
      <rPr>
        <sz val="10"/>
        <rFont val="Arial"/>
        <family val="2"/>
      </rPr>
      <t xml:space="preserve"> – Adapting to trade policies, supply chain risks, and regulatory changes for sustained growth.</t>
    </r>
  </si>
  <si>
    <t>Peer Logo</t>
  </si>
  <si>
    <t>Peer Name</t>
  </si>
  <si>
    <r>
      <rPr>
        <sz val="11"/>
        <color rgb="FF374151"/>
        <rFont val="Arial"/>
        <family val="2"/>
      </rPr>
      <t xml:space="preserve">BYD COMPANY LIMITED is a </t>
    </r>
    <r>
      <rPr>
        <b/>
        <sz val="11"/>
        <color rgb="FF374151"/>
        <rFont val="Arial"/>
        <family val="2"/>
      </rPr>
      <t>China</t>
    </r>
    <r>
      <rPr>
        <sz val="11"/>
        <color rgb="FF374151"/>
        <rFont val="Arial"/>
        <family val="2"/>
      </rPr>
      <t>-based company principally engaged in the</t>
    </r>
    <r>
      <rPr>
        <b/>
        <sz val="11"/>
        <color rgb="FF374151"/>
        <rFont val="Arial"/>
        <family val="2"/>
      </rPr>
      <t xml:space="preserve"> manufacture and sales</t>
    </r>
    <r>
      <rPr>
        <sz val="11"/>
        <color rgb="FF374151"/>
        <rFont val="Arial"/>
        <family val="2"/>
      </rPr>
      <t xml:space="preserve"> of </t>
    </r>
    <r>
      <rPr>
        <b/>
        <sz val="11"/>
        <color rgb="FF374151"/>
        <rFont val="Arial"/>
        <family val="2"/>
      </rPr>
      <t>transportation equipment</t>
    </r>
    <r>
      <rPr>
        <sz val="11"/>
        <color rgb="FF374151"/>
        <rFont val="Arial"/>
        <family val="2"/>
      </rPr>
      <t xml:space="preserve">. The Company is also engaged in the </t>
    </r>
    <r>
      <rPr>
        <b/>
        <sz val="11"/>
        <color rgb="FF374151"/>
        <rFont val="Arial"/>
        <family val="2"/>
      </rPr>
      <t>manufacture and sales of electronic parts and components</t>
    </r>
    <r>
      <rPr>
        <sz val="11"/>
        <color rgb="FF374151"/>
        <rFont val="Arial"/>
        <family val="2"/>
      </rPr>
      <t xml:space="preserve"> and </t>
    </r>
    <r>
      <rPr>
        <b/>
        <sz val="11"/>
        <color rgb="FF374151"/>
        <rFont val="Arial"/>
        <family val="2"/>
      </rPr>
      <t>electronic devices</t>
    </r>
    <r>
      <rPr>
        <sz val="11"/>
        <color rgb="FF374151"/>
        <rFont val="Arial"/>
        <family val="2"/>
      </rPr>
      <t xml:space="preserve"> for daily use. The Company's products include rechargeable </t>
    </r>
    <r>
      <rPr>
        <b/>
        <sz val="11"/>
        <color rgb="FF374151"/>
        <rFont val="Arial"/>
        <family val="2"/>
      </rPr>
      <t xml:space="preserve">batteries and photovoltaic products, mobile phone parts </t>
    </r>
    <r>
      <rPr>
        <sz val="11"/>
        <color rgb="FF374151"/>
        <rFont val="Arial"/>
        <family val="2"/>
      </rPr>
      <t>and</t>
    </r>
    <r>
      <rPr>
        <b/>
        <sz val="11"/>
        <color rgb="FF374151"/>
        <rFont val="Arial"/>
        <family val="2"/>
      </rPr>
      <t xml:space="preserve"> assembly, </t>
    </r>
    <r>
      <rPr>
        <sz val="11"/>
        <color rgb="FF374151"/>
        <rFont val="Arial"/>
        <family val="2"/>
      </rPr>
      <t>and</t>
    </r>
    <r>
      <rPr>
        <b/>
        <sz val="11"/>
        <color rgb="FF374151"/>
        <rFont val="Arial"/>
        <family val="2"/>
      </rPr>
      <t xml:space="preserve"> automobiles</t>
    </r>
    <r>
      <rPr>
        <sz val="11"/>
        <color rgb="FF374151"/>
        <rFont val="Arial"/>
        <family val="2"/>
      </rPr>
      <t xml:space="preserve"> and related products. The Company mainly conducts its businesses in China, the United States and Europe.</t>
    </r>
  </si>
  <si>
    <r>
      <t>Geely Automobile Holdings Ltd is an</t>
    </r>
    <r>
      <rPr>
        <b/>
        <sz val="11"/>
        <color rgb="FF374151"/>
        <rFont val="Arial"/>
        <family val="2"/>
      </rPr>
      <t xml:space="preserve"> investment holding company </t>
    </r>
    <r>
      <rPr>
        <sz val="11"/>
        <color rgb="FF374151"/>
        <rFont val="Arial"/>
        <family val="2"/>
      </rPr>
      <t xml:space="preserve">principally engaged in the </t>
    </r>
    <r>
      <rPr>
        <b/>
        <sz val="11"/>
        <color rgb="FF374151"/>
        <rFont val="Arial"/>
        <family val="2"/>
      </rPr>
      <t>production and sales of automobiles</t>
    </r>
    <r>
      <rPr>
        <sz val="11"/>
        <color rgb="FF374151"/>
        <rFont val="Arial"/>
        <family val="2"/>
      </rPr>
      <t>. The Company mainly</t>
    </r>
    <r>
      <rPr>
        <b/>
        <sz val="11"/>
        <color rgb="FF374151"/>
        <rFont val="Arial"/>
        <family val="2"/>
      </rPr>
      <t xml:space="preserve"> develops, manufactures and sells automobiles</t>
    </r>
    <r>
      <rPr>
        <sz val="11"/>
        <color rgb="FF374151"/>
        <rFont val="Arial"/>
        <family val="2"/>
      </rPr>
      <t xml:space="preserve">, including cars, sport utility vehicles (SUVs), new energy and electrified vehicles. The Company's car types include home, travel and sports. The Company's new energy and electrified vehicles include electric vehicles, battery electric vehicles, hybrid electric vehicles, mild hybrid electric vehicles and plug-in hybrid electric vehicles. In addition, the Company </t>
    </r>
    <r>
      <rPr>
        <b/>
        <sz val="11"/>
        <color rgb="FF374151"/>
        <rFont val="Arial"/>
        <family val="2"/>
      </rPr>
      <t>produces and sells automobile parts, batteries and other automobile components.</t>
    </r>
    <r>
      <rPr>
        <sz val="11"/>
        <color rgb="FF374151"/>
        <rFont val="Arial"/>
        <family val="2"/>
      </rPr>
      <t xml:space="preserve"> The Company </t>
    </r>
    <r>
      <rPr>
        <u/>
        <sz val="11"/>
        <color rgb="FF374151"/>
        <rFont val="Arial"/>
        <family val="2"/>
      </rPr>
      <t>also</t>
    </r>
    <r>
      <rPr>
        <sz val="11"/>
        <color rgb="FF374151"/>
        <rFont val="Arial"/>
        <family val="2"/>
      </rPr>
      <t xml:space="preserve"> </t>
    </r>
    <r>
      <rPr>
        <b/>
        <sz val="11"/>
        <color rgb="FF374151"/>
        <rFont val="Arial"/>
        <family val="2"/>
      </rPr>
      <t>sells licenses for its intellectual property</t>
    </r>
    <r>
      <rPr>
        <sz val="11"/>
        <color rgb="FF374151"/>
        <rFont val="Arial"/>
        <family val="2"/>
      </rPr>
      <t>.</t>
    </r>
  </si>
  <si>
    <r>
      <t xml:space="preserve">BAIC Motor Corp Ltd is a </t>
    </r>
    <r>
      <rPr>
        <b/>
        <sz val="11"/>
        <color rgb="FF374151"/>
        <rFont val="Arial"/>
        <family val="2"/>
      </rPr>
      <t>China</t>
    </r>
    <r>
      <rPr>
        <sz val="11"/>
        <color rgb="FF374151"/>
        <rFont val="Arial"/>
        <family val="2"/>
      </rPr>
      <t>-based company principally engaged in the m</t>
    </r>
    <r>
      <rPr>
        <b/>
        <sz val="11"/>
        <color rgb="FF374151"/>
        <rFont val="Arial"/>
        <family val="2"/>
      </rPr>
      <t>anufacture and sale of passenger cars, engines and auto parts</t>
    </r>
    <r>
      <rPr>
        <sz val="11"/>
        <color rgb="FF374151"/>
        <rFont val="Arial"/>
        <family val="2"/>
      </rPr>
      <t xml:space="preserve">. The Company operates through two business segments. The </t>
    </r>
    <r>
      <rPr>
        <u/>
        <sz val="11"/>
        <color rgb="FF374151"/>
        <rFont val="Arial"/>
        <family val="2"/>
      </rPr>
      <t>Fuel Vehicle segment</t>
    </r>
    <r>
      <rPr>
        <sz val="11"/>
        <color rgb="FF374151"/>
        <rFont val="Arial"/>
        <family val="2"/>
      </rPr>
      <t xml:space="preserve"> produces and sells fuel vehicles, as well as provides other businesses and related services. The </t>
    </r>
    <r>
      <rPr>
        <u/>
        <sz val="11"/>
        <color rgb="FF374151"/>
        <rFont val="Arial"/>
        <family val="2"/>
      </rPr>
      <t>New Energy Vehicles segment</t>
    </r>
    <r>
      <rPr>
        <sz val="11"/>
        <color rgb="FF374151"/>
        <rFont val="Arial"/>
        <family val="2"/>
      </rPr>
      <t xml:space="preserve"> produces and sells new energy vehicles, as well as provides other businesses and related services.</t>
    </r>
  </si>
  <si>
    <r>
      <t xml:space="preserve">Dongfeng Motor Group Co Ltd is a </t>
    </r>
    <r>
      <rPr>
        <b/>
        <sz val="11"/>
        <color rgb="FF374151"/>
        <rFont val="Arial"/>
        <family val="2"/>
      </rPr>
      <t>China</t>
    </r>
    <r>
      <rPr>
        <sz val="11"/>
        <color rgb="FF374151"/>
        <rFont val="Arial"/>
        <family val="2"/>
      </rPr>
      <t xml:space="preserve">-based company mainly engaged in </t>
    </r>
    <r>
      <rPr>
        <b/>
        <sz val="11"/>
        <color rgb="FF374151"/>
        <rFont val="Arial"/>
        <family val="2"/>
      </rPr>
      <t>automobile-related businesses</t>
    </r>
    <r>
      <rPr>
        <sz val="11"/>
        <color rgb="FF374151"/>
        <rFont val="Arial"/>
        <family val="2"/>
      </rPr>
      <t xml:space="preserve">. The company operates through four segments. The </t>
    </r>
    <r>
      <rPr>
        <u/>
        <sz val="11"/>
        <color rgb="FF374151"/>
        <rFont val="Arial"/>
        <family val="2"/>
      </rPr>
      <t xml:space="preserve">Commercial Vehicles segment </t>
    </r>
    <r>
      <rPr>
        <sz val="11"/>
        <color rgb="FF374151"/>
        <rFont val="Arial"/>
        <family val="2"/>
      </rPr>
      <t xml:space="preserve">mainly manufactures and sells of commercial vehicles, and its related engines and other automotive parts. The commercial vehicles include medium and heavy trucks, light trucks, pickup trucks and buses. The </t>
    </r>
    <r>
      <rPr>
        <u/>
        <sz val="11"/>
        <color rgb="FF374151"/>
        <rFont val="Arial"/>
        <family val="2"/>
      </rPr>
      <t>Passenger Vehicles segment</t>
    </r>
    <r>
      <rPr>
        <sz val="11"/>
        <color rgb="FF374151"/>
        <rFont val="Arial"/>
        <family val="2"/>
      </rPr>
      <t xml:space="preserve"> mainly manufactures and sells of passenger vehicles, and its related engines and other automotive parts. The passenger cars include sedans, sports utility vehicles (SUVs) and multi-purpose vehicles (MPVs). The </t>
    </r>
    <r>
      <rPr>
        <u/>
        <sz val="11"/>
        <color rgb="FF374151"/>
        <rFont val="Arial"/>
        <family val="2"/>
      </rPr>
      <t>Financing Service segment</t>
    </r>
    <r>
      <rPr>
        <sz val="11"/>
        <color rgb="FF374151"/>
        <rFont val="Arial"/>
        <family val="2"/>
      </rPr>
      <t xml:space="preserve"> mainly provides financial services. The </t>
    </r>
    <r>
      <rPr>
        <u/>
        <sz val="11"/>
        <color rgb="FF374151"/>
        <rFont val="Arial"/>
        <family val="2"/>
      </rPr>
      <t>Corporate and Others segment</t>
    </r>
    <r>
      <rPr>
        <sz val="11"/>
        <color rgb="FF374151"/>
        <rFont val="Arial"/>
        <family val="2"/>
      </rPr>
      <t xml:space="preserve"> mainly manufactures and sells of other automobile related products.</t>
    </r>
  </si>
  <si>
    <r>
      <t xml:space="preserve">Xpeng Inc is a </t>
    </r>
    <r>
      <rPr>
        <b/>
        <sz val="11"/>
        <color rgb="FF374151"/>
        <rFont val="Arial"/>
        <family val="2"/>
      </rPr>
      <t>China</t>
    </r>
    <r>
      <rPr>
        <sz val="11"/>
        <color rgb="FF374151"/>
        <rFont val="Arial"/>
        <family val="2"/>
      </rPr>
      <t xml:space="preserve">-based company engaged in </t>
    </r>
    <r>
      <rPr>
        <b/>
        <sz val="11"/>
        <color rgb="FF374151"/>
        <rFont val="Arial"/>
        <family val="2"/>
      </rPr>
      <t xml:space="preserve">design, development, production and sales of </t>
    </r>
    <r>
      <rPr>
        <b/>
        <u/>
        <sz val="11"/>
        <color rgb="FF374151"/>
        <rFont val="Arial"/>
        <family val="2"/>
      </rPr>
      <t>smart electric vehicles</t>
    </r>
    <r>
      <rPr>
        <sz val="11"/>
        <color rgb="FF374151"/>
        <rFont val="Arial"/>
        <family val="2"/>
      </rPr>
      <t xml:space="preserve"> (Smart EV). The Company's primary products are environmentally friendly vehicles, namely an SUV (the G3) and a four-door sports sedan (the P7). The Company’s Smart EVs primarily target the mid- to high-end segment in China’s passenger vehicle market. T</t>
    </r>
    <r>
      <rPr>
        <u/>
        <sz val="11"/>
        <color rgb="FF374151"/>
        <rFont val="Arial"/>
        <family val="2"/>
      </rPr>
      <t>he Company aims developing full-stack autonomous driving technology</t>
    </r>
    <r>
      <rPr>
        <sz val="11"/>
        <color rgb="FF374151"/>
        <rFont val="Arial"/>
        <family val="2"/>
      </rPr>
      <t>,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t>
    </r>
  </si>
  <si>
    <t>In Millions USD</t>
  </si>
  <si>
    <t>AVERAGE</t>
  </si>
  <si>
    <t>Deviation from Average</t>
  </si>
  <si>
    <t>Company Info</t>
  </si>
  <si>
    <t>TRAFFIC</t>
  </si>
  <si>
    <t>Market Cap</t>
  </si>
  <si>
    <t>Best Value</t>
  </si>
  <si>
    <t>Net Sales (current)</t>
  </si>
  <si>
    <t>Profitability</t>
  </si>
  <si>
    <t>Important Value</t>
  </si>
  <si>
    <t>Sales Growth (ttm)</t>
  </si>
  <si>
    <t>Sales Growth (36m)</t>
  </si>
  <si>
    <t xml:space="preserve"> </t>
  </si>
  <si>
    <t>Worst Value</t>
  </si>
  <si>
    <t>Net Income Margin</t>
  </si>
  <si>
    <t>Return on Equity (RoE)</t>
  </si>
  <si>
    <t>Return on Invested Capital (ROIC)</t>
  </si>
  <si>
    <t>Solvency</t>
  </si>
  <si>
    <t>Net Debt/EBITDA</t>
  </si>
  <si>
    <t>Interest Coverage Ratio</t>
  </si>
  <si>
    <t>Liquidity</t>
  </si>
  <si>
    <t>Current Ratio</t>
  </si>
  <si>
    <t>Quick Ratio</t>
  </si>
  <si>
    <t>Activity</t>
  </si>
  <si>
    <t>Inventory Turnover</t>
  </si>
  <si>
    <t>Acc. Receivable Turnover</t>
  </si>
  <si>
    <t>Price/Sales</t>
  </si>
  <si>
    <t>Payables Turnover</t>
  </si>
  <si>
    <t>Fixed Asset Turnover</t>
  </si>
  <si>
    <t>Total Asset Turnover</t>
  </si>
  <si>
    <t>Price/Earnings</t>
  </si>
  <si>
    <t>Price/Book</t>
  </si>
  <si>
    <t>EV/Sales</t>
  </si>
  <si>
    <t>EV/EBITDA</t>
  </si>
  <si>
    <t>Stock Info</t>
  </si>
  <si>
    <r>
      <t xml:space="preserve">b </t>
    </r>
    <r>
      <rPr>
        <b/>
        <sz val="10"/>
        <rFont val="Arial"/>
        <family val="2"/>
      </rPr>
      <t>(Yahoo)</t>
    </r>
  </si>
  <si>
    <t>Dividend Yield (yahoo finance)</t>
  </si>
  <si>
    <t>Stock Performance</t>
  </si>
  <si>
    <t>1y</t>
  </si>
  <si>
    <t>3y</t>
  </si>
  <si>
    <t>Current Price</t>
  </si>
  <si>
    <t>Average Target Price</t>
  </si>
  <si>
    <t>Upside/Downside</t>
  </si>
  <si>
    <t>Extra</t>
  </si>
  <si>
    <t>3y Operating Cash Flow</t>
  </si>
  <si>
    <t>R&amp;D/Net Sales</t>
  </si>
  <si>
    <t>Financial Data</t>
  </si>
  <si>
    <t>IS</t>
  </si>
  <si>
    <t>Net Sales (36m ago)</t>
  </si>
  <si>
    <t>Net Sales (12m ago)</t>
  </si>
  <si>
    <t>COGS</t>
  </si>
  <si>
    <t>Operating Income</t>
  </si>
  <si>
    <t>Net Financial Cost</t>
  </si>
  <si>
    <t>Taxes</t>
  </si>
  <si>
    <t>R&amp;D</t>
  </si>
  <si>
    <t>BS</t>
  </si>
  <si>
    <t>Cash &amp; Eq.</t>
  </si>
  <si>
    <t>Acc. Receivables</t>
  </si>
  <si>
    <t>Inventory</t>
  </si>
  <si>
    <t>Current Assets</t>
  </si>
  <si>
    <t>Fixed Assets</t>
  </si>
  <si>
    <t>Acc. Payable</t>
  </si>
  <si>
    <t>Current Liabilities</t>
  </si>
  <si>
    <t>Total Debt</t>
  </si>
  <si>
    <t>Total Equity</t>
  </si>
  <si>
    <t>VALUATION MODEL</t>
  </si>
  <si>
    <t>Short Term</t>
  </si>
  <si>
    <t>Long Term</t>
  </si>
  <si>
    <t>Section</t>
  </si>
  <si>
    <t>Line #</t>
  </si>
  <si>
    <t>ITEM</t>
  </si>
  <si>
    <t>2021 (Real)</t>
  </si>
  <si>
    <t>2022 (Real)</t>
  </si>
  <si>
    <t>2023 (Real)</t>
  </si>
  <si>
    <t>2024 (TTM)</t>
  </si>
  <si>
    <t>INCOME STATEMENT</t>
  </si>
  <si>
    <t>Growth</t>
  </si>
  <si>
    <t>Revenues/Sales</t>
  </si>
  <si>
    <t>EBIT/Operating Margin</t>
  </si>
  <si>
    <t>5a</t>
  </si>
  <si>
    <t>(Dep)</t>
  </si>
  <si>
    <t>5b</t>
  </si>
  <si>
    <t>(Amort)</t>
  </si>
  <si>
    <t>5c</t>
  </si>
  <si>
    <t>(Stock based compensation)</t>
  </si>
  <si>
    <t>(Net financing cost)</t>
  </si>
  <si>
    <t>Other income/(cost)</t>
  </si>
  <si>
    <t>Earnings before taxes</t>
  </si>
  <si>
    <t>(Income tax)</t>
  </si>
  <si>
    <t>Net income</t>
  </si>
  <si>
    <t> </t>
  </si>
  <si>
    <t>CASH FLOW STATEMENT</t>
  </si>
  <si>
    <t>Operating cash flows before WK</t>
  </si>
  <si>
    <t>(Stock-based compensation)</t>
  </si>
  <si>
    <t>(Working Capital Flows)</t>
  </si>
  <si>
    <t>-Total Operating Cash Flow</t>
  </si>
  <si>
    <t>(CAPEX)</t>
  </si>
  <si>
    <t>Adq</t>
  </si>
  <si>
    <t>(Other investing flows)</t>
  </si>
  <si>
    <t>-Total Investing Flows</t>
  </si>
  <si>
    <t>(Flows related to leases)</t>
  </si>
  <si>
    <t>Flows related to debt</t>
  </si>
  <si>
    <t>(Repurchases)/Issuance of stock</t>
  </si>
  <si>
    <t>(Dividends)</t>
  </si>
  <si>
    <t>Other financing flows</t>
  </si>
  <si>
    <t>-Total Financing flows</t>
  </si>
  <si>
    <t>SUMMARY</t>
  </si>
  <si>
    <t>Cash before shareholder returns</t>
  </si>
  <si>
    <t>Returns to shareholders</t>
  </si>
  <si>
    <t>Excess cash acumulation</t>
  </si>
  <si>
    <t>BALANCE SHEET</t>
  </si>
  <si>
    <t>Intangible assets</t>
  </si>
  <si>
    <t>Accumulated amortization</t>
  </si>
  <si>
    <t>PPE+Right of use Assets</t>
  </si>
  <si>
    <t>Accumulated depreciation</t>
  </si>
  <si>
    <t>CASH &amp; DEBT &amp; DISCOUNTING</t>
  </si>
  <si>
    <t>Ending cash balance</t>
  </si>
  <si>
    <t>Discount factor</t>
  </si>
  <si>
    <t>DF + 0.1%</t>
  </si>
  <si>
    <t>+0.1%</t>
  </si>
  <si>
    <t>DF+0.5%</t>
  </si>
  <si>
    <t>+0.5%</t>
  </si>
  <si>
    <t> Discount Rate</t>
  </si>
  <si>
    <t>Risk free rate</t>
  </si>
  <si>
    <t>Equity premium</t>
  </si>
  <si>
    <t>Firm premium</t>
  </si>
  <si>
    <t>Total</t>
  </si>
  <si>
    <t>Modelling factors</t>
  </si>
  <si>
    <t>Reference (line)</t>
  </si>
  <si>
    <t>Depreciation factor</t>
  </si>
  <si>
    <t>increase in %</t>
  </si>
  <si>
    <t>Amortization factor</t>
  </si>
  <si>
    <t>% IA</t>
  </si>
  <si>
    <t>Stock-based comp</t>
  </si>
  <si>
    <t>% Revenue</t>
  </si>
  <si>
    <t>Tax Rate</t>
  </si>
  <si>
    <t>% EBT</t>
  </si>
  <si>
    <t>Interest Rate on debt</t>
  </si>
  <si>
    <t>% Debt</t>
  </si>
  <si>
    <t>Interest Rate on cash</t>
  </si>
  <si>
    <t xml:space="preserve">% Cash </t>
  </si>
  <si>
    <t>PPE+ROA</t>
  </si>
  <si>
    <t>Growing with CAPEX</t>
  </si>
  <si>
    <t>Working capital flows</t>
  </si>
  <si>
    <t xml:space="preserve">% Change in Revenues </t>
  </si>
  <si>
    <t>Intangible Assets</t>
  </si>
  <si>
    <t>- -</t>
  </si>
  <si>
    <t>Growing with Amortization</t>
  </si>
  <si>
    <t>Capex</t>
  </si>
  <si>
    <t>Acquisition factor</t>
  </si>
  <si>
    <t>% Net Income</t>
  </si>
  <si>
    <t>Repurchases</t>
  </si>
  <si>
    <t>Leases</t>
  </si>
  <si>
    <t>% EBITDA</t>
  </si>
  <si>
    <t>$ millions</t>
  </si>
  <si>
    <t>Value of flows</t>
  </si>
  <si>
    <t>Value of perpetuity</t>
  </si>
  <si>
    <t>Total Value</t>
  </si>
  <si>
    <t>Actual share price</t>
  </si>
  <si>
    <t>Total value vs Mkt Cap</t>
  </si>
  <si>
    <t>Estimated NPV per share</t>
  </si>
  <si>
    <t>Sensibility</t>
  </si>
  <si>
    <t>Sensitivity +0.1%</t>
  </si>
  <si>
    <t>Sensitivity +0.5%</t>
  </si>
  <si>
    <t>Notes</t>
  </si>
  <si>
    <t>Price where it'd be a "BUY"</t>
  </si>
  <si>
    <t>Forecast(Net Sales)</t>
  </si>
  <si>
    <t>Lower Confidence Bound(Net Sales)</t>
  </si>
  <si>
    <t>Upper Confidence Bound(Net Sales)</t>
  </si>
  <si>
    <t>Debt</t>
  </si>
  <si>
    <t>Forecast(Debt)</t>
  </si>
  <si>
    <t>Lower Confidence Bound(Debt)</t>
  </si>
  <si>
    <t>Upper Confidence Bound(Debt)</t>
  </si>
  <si>
    <t>Análisis ESG</t>
  </si>
  <si>
    <t>PARÁMETROS</t>
  </si>
  <si>
    <t>Impacto</t>
  </si>
  <si>
    <t>¿Reporta?</t>
  </si>
  <si>
    <t>Ranking</t>
  </si>
  <si>
    <t>Mitigación</t>
  </si>
  <si>
    <t>Semáforo</t>
  </si>
  <si>
    <t>Comentarios</t>
  </si>
  <si>
    <t>IMPACTO</t>
  </si>
  <si>
    <t>RANKING</t>
  </si>
  <si>
    <t>MITIGACIÓN</t>
  </si>
  <si>
    <t>Ambiental</t>
  </si>
  <si>
    <t>NONE</t>
  </si>
  <si>
    <t>"Best in class"</t>
  </si>
  <si>
    <t>Is there evidence of progam/plan/etc…</t>
  </si>
  <si>
    <t>Emisiones directas CO2</t>
  </si>
  <si>
    <t>Low</t>
  </si>
  <si>
    <t>Yes</t>
  </si>
  <si>
    <t>Medium</t>
  </si>
  <si>
    <t>Direct emissions are low but scope 2 and 3 are above median.</t>
  </si>
  <si>
    <t>LOW</t>
  </si>
  <si>
    <t>Medium high</t>
  </si>
  <si>
    <t>Uso total de agua</t>
  </si>
  <si>
    <t>Water usage per unit of production increasing every year.</t>
  </si>
  <si>
    <t>MEDIUM</t>
  </si>
  <si>
    <t>Total Energy Consumption</t>
  </si>
  <si>
    <t>Villain</t>
  </si>
  <si>
    <t>HIGH</t>
  </si>
  <si>
    <t>"Villain"</t>
  </si>
  <si>
    <t>Waste Management</t>
  </si>
  <si>
    <t>Best in class</t>
  </si>
  <si>
    <t>Land Degradation/Deforestation/Biodiversity loss/Animal sufering/…</t>
  </si>
  <si>
    <t>No initiatives in that regard. No disclosure.</t>
  </si>
  <si>
    <t>TRAFFIC LIGHTS</t>
  </si>
  <si>
    <t>Social</t>
  </si>
  <si>
    <t>% Rotación de empleados</t>
  </si>
  <si>
    <t>Increasing turnover in the recent years, from 14% in 2019 to 19% in 2023</t>
  </si>
  <si>
    <t>Sueldos y compensaciones</t>
  </si>
  <si>
    <t>3.6/5 in Glassdorr</t>
  </si>
  <si>
    <t>Temas de reputación</t>
  </si>
  <si>
    <t>HIgh</t>
  </si>
  <si>
    <t>Their cars are considered to be good overall, great cost benefit.</t>
  </si>
  <si>
    <t>Temas de discriminación</t>
  </si>
  <si>
    <t>Only 7% of women in management, 4.4% of minorities in workforce</t>
  </si>
  <si>
    <t>Seguridad laboral</t>
  </si>
  <si>
    <t>Daños a la salud</t>
  </si>
  <si>
    <t>PXP?</t>
  </si>
  <si>
    <t>Highly competitive industry, very similar peers and low product differentiation.</t>
  </si>
  <si>
    <t>Supply chain</t>
  </si>
  <si>
    <t>High</t>
  </si>
  <si>
    <t>A lot of suppliers linked to commodities that are not environment friendly,</t>
  </si>
  <si>
    <t>Community involvement</t>
  </si>
  <si>
    <t>Public Sector</t>
  </si>
  <si>
    <t>Litigios</t>
  </si>
  <si>
    <t>8 fines for bribery and corruption in the last 3 years</t>
  </si>
  <si>
    <t>Gobierno</t>
  </si>
  <si>
    <t>Diversidad (Género, edad, industria, región)</t>
  </si>
  <si>
    <t>2 women of 7 on board</t>
  </si>
  <si>
    <t>% independientes</t>
  </si>
  <si>
    <t>42.9% independent</t>
  </si>
  <si>
    <t>tiempo promedio como consejeros independientes</t>
  </si>
  <si>
    <t>7.8 years, out of 4 independents, one is there for 23 years, highly increasing the average</t>
  </si>
  <si>
    <t>Salidas recientes de consejeros/C-level executives?</t>
  </si>
  <si>
    <t>Fengying Wang Vice Chairman left in 2022 after 8 years. Liu Yuxin CFO left in 2020 after only 1 year in the position</t>
  </si>
  <si>
    <t>CEO/Chairman</t>
  </si>
  <si>
    <t>CEO/Chairman is the founder</t>
  </si>
  <si>
    <t>Transparencia (segmentos, fuente de riqueza, adquisiciones, otros)</t>
  </si>
  <si>
    <t>They disclose segments and vehycle types.</t>
  </si>
  <si>
    <t>Tiempo que tardan en reportar luego del final del trimestre/año</t>
  </si>
  <si>
    <t>They take more than 2 months to report annual statement.</t>
  </si>
  <si>
    <t>Participación adicional del CEO en otros consejos o excesiva del Ch.</t>
  </si>
  <si>
    <t>CEO is only only in one other board</t>
  </si>
  <si>
    <t>Auditoría/Consultoría</t>
  </si>
  <si>
    <t xml:space="preserve"> 6,945,889.16 as auditors remuneration (Deloitte) - Very transparent</t>
  </si>
  <si>
    <t>Esquemas de compensación al management</t>
  </si>
  <si>
    <t>Clear compensation scheme</t>
  </si>
  <si>
    <t>Assumptions</t>
  </si>
  <si>
    <t>Prospects:</t>
  </si>
  <si>
    <t>Links:</t>
  </si>
  <si>
    <t xml:space="preserve">6Y Average </t>
  </si>
  <si>
    <t xml:space="preserve">3Y Average </t>
  </si>
  <si>
    <t>Short Term Forecast</t>
  </si>
  <si>
    <t>Long Term Forecast</t>
  </si>
  <si>
    <t>Revenue growth</t>
  </si>
  <si>
    <t>Modelling Factors</t>
  </si>
  <si>
    <t>Last 10 Years</t>
  </si>
  <si>
    <t>Reference</t>
  </si>
  <si>
    <t>% PPE</t>
  </si>
  <si>
    <t xml:space="preserve">CAPEX </t>
  </si>
  <si>
    <t>Forecasts</t>
  </si>
  <si>
    <t>Working Capital Flows</t>
  </si>
  <si>
    <t>Free Cash Flow</t>
  </si>
  <si>
    <t>-2459.2</t>
  </si>
  <si>
    <t>Revenue Growth</t>
  </si>
  <si>
    <t xml:space="preserve">Net Sales Forecast </t>
  </si>
  <si>
    <t>90% confidence level</t>
  </si>
  <si>
    <t>Debt Forecast</t>
  </si>
  <si>
    <t>Results</t>
  </si>
  <si>
    <t>All Time Average</t>
  </si>
  <si>
    <t>Last 3y</t>
  </si>
  <si>
    <t>Last 5y</t>
  </si>
  <si>
    <t>Last 7y</t>
  </si>
  <si>
    <t>Last 10y</t>
  </si>
  <si>
    <t>Traffic Lights</t>
  </si>
  <si>
    <t>Decrease from Peak</t>
  </si>
  <si>
    <t>Growth vs. Previous year</t>
  </si>
  <si>
    <t>Gross Profit</t>
  </si>
  <si>
    <t>% over sales</t>
  </si>
  <si>
    <t>Operating expenses</t>
  </si>
  <si>
    <t xml:space="preserve">     Growth vs. Previous year</t>
  </si>
  <si>
    <t>Other Expenses (Revenues)</t>
  </si>
  <si>
    <t>Changes Net Working Capital</t>
  </si>
  <si>
    <t>EBITDA Margin</t>
  </si>
  <si>
    <t>% Tax</t>
  </si>
  <si>
    <t>Cash Generated</t>
  </si>
  <si>
    <t>Share buyback</t>
  </si>
  <si>
    <t>FNP''</t>
  </si>
  <si>
    <t>FNP'</t>
  </si>
  <si>
    <t>Payout Ratio</t>
  </si>
  <si>
    <t>Assets</t>
  </si>
  <si>
    <t>Accounts Receivable</t>
  </si>
  <si>
    <t>Property, Plant and Equipment</t>
  </si>
  <si>
    <t>Other Assets</t>
  </si>
  <si>
    <t>Liabilities</t>
  </si>
  <si>
    <t xml:space="preserve">   Short-Term Debt</t>
  </si>
  <si>
    <t xml:space="preserve">   Short-Term Leases</t>
  </si>
  <si>
    <t>Other current liabilities</t>
  </si>
  <si>
    <t>Non-current Liabilities</t>
  </si>
  <si>
    <t xml:space="preserve">   Long-Term Debt</t>
  </si>
  <si>
    <t xml:space="preserve">   Long-Term Leases</t>
  </si>
  <si>
    <t>Other non-current liabilities</t>
  </si>
  <si>
    <t>Net Debt</t>
  </si>
  <si>
    <t>Minority Interest</t>
  </si>
  <si>
    <t xml:space="preserve">Shareholder's Equity </t>
  </si>
  <si>
    <t>Changes in cash</t>
  </si>
  <si>
    <t>Other Data</t>
  </si>
  <si>
    <t>Number of employees</t>
  </si>
  <si>
    <t xml:space="preserve">Shares Outstanding </t>
  </si>
  <si>
    <t>Fitch/ S&amp;P Rating</t>
  </si>
  <si>
    <t>Dividend Yield</t>
  </si>
  <si>
    <t>Daily Volume in Millions of USD</t>
  </si>
  <si>
    <t xml:space="preserve">Short % of Float </t>
  </si>
  <si>
    <t>Corporate Bonds 3, 5 Y 10</t>
  </si>
  <si>
    <t>Average Price</t>
  </si>
  <si>
    <t>Moody's</t>
  </si>
  <si>
    <t>YTM</t>
  </si>
  <si>
    <t>DIVISA</t>
  </si>
  <si>
    <t>Sector</t>
  </si>
  <si>
    <t>Sub-Industry</t>
  </si>
  <si>
    <t>Environment</t>
  </si>
  <si>
    <t>Communication Services</t>
  </si>
  <si>
    <t>Interactive Home Entertainment</t>
  </si>
  <si>
    <t>CO2</t>
  </si>
  <si>
    <t>Water</t>
  </si>
  <si>
    <t>Energy</t>
  </si>
  <si>
    <t>Waste</t>
  </si>
  <si>
    <t>Degradation</t>
  </si>
  <si>
    <t>Turnover</t>
  </si>
  <si>
    <t>Compensation</t>
  </si>
  <si>
    <t>Reputation</t>
  </si>
  <si>
    <t>Discrimination</t>
  </si>
  <si>
    <t>Security</t>
  </si>
  <si>
    <t>Damage</t>
  </si>
  <si>
    <t>Pension</t>
  </si>
  <si>
    <t>Supply</t>
  </si>
  <si>
    <t>Community</t>
  </si>
  <si>
    <t>Public</t>
  </si>
  <si>
    <t>Litigation</t>
  </si>
  <si>
    <t>Interactive Media &amp; Services</t>
  </si>
  <si>
    <t>Environmental</t>
  </si>
  <si>
    <t>Integrated Telecommunication Services</t>
  </si>
  <si>
    <t>Very High</t>
  </si>
  <si>
    <t>Consumer Discretionary</t>
  </si>
  <si>
    <t>Direct CO2 emissions</t>
  </si>
  <si>
    <t>Cable &amp; Satellite</t>
  </si>
  <si>
    <t>Consumer Staples</t>
  </si>
  <si>
    <t>Total Water Use</t>
  </si>
  <si>
    <t>Broadcasting</t>
  </si>
  <si>
    <t>Renewable Energy</t>
  </si>
  <si>
    <t>Movies &amp; Entertainment</t>
  </si>
  <si>
    <t>Financials</t>
  </si>
  <si>
    <t>Forestry</t>
  </si>
  <si>
    <t>Advertising</t>
  </si>
  <si>
    <t>Health Care</t>
  </si>
  <si>
    <t>Land Degradation/Deforestation/Biodiversity loss/Animal sufering/...</t>
  </si>
  <si>
    <t>Alternative Carriers</t>
  </si>
  <si>
    <t>Industrials</t>
  </si>
  <si>
    <t>Publishing</t>
  </si>
  <si>
    <t>Information Technology</t>
  </si>
  <si>
    <t>Employee turnover</t>
  </si>
  <si>
    <t>Wireless Telecommunication Services</t>
  </si>
  <si>
    <t>Materials</t>
  </si>
  <si>
    <t>Salaries and compensation</t>
  </si>
  <si>
    <t>Automotive Retail</t>
  </si>
  <si>
    <t>Real Estate</t>
  </si>
  <si>
    <t>Reputational issues</t>
  </si>
  <si>
    <t>Internet &amp; Direct Marketing Retail</t>
  </si>
  <si>
    <t>Utilities</t>
  </si>
  <si>
    <t>Discrimination issues</t>
  </si>
  <si>
    <t>Auto Parts &amp; Equipment</t>
  </si>
  <si>
    <t>Job security</t>
  </si>
  <si>
    <t>Specialty Stores</t>
  </si>
  <si>
    <t>Health injuries</t>
  </si>
  <si>
    <t>Computer &amp; Electronics Retail</t>
  </si>
  <si>
    <t>Hotels, Resorts &amp; Cruise Lines</t>
  </si>
  <si>
    <t>Tobacco</t>
  </si>
  <si>
    <t>Oil &amp; Gas Exploration &amp; Production</t>
  </si>
  <si>
    <t>Life &amp; Health Insurance</t>
  </si>
  <si>
    <t>Health Care Equipment</t>
  </si>
  <si>
    <t>Industrial Conglomerates</t>
  </si>
  <si>
    <t>IT Consulting &amp; Other Services</t>
  </si>
  <si>
    <t>Industrial Gases</t>
  </si>
  <si>
    <t>Office REITs</t>
  </si>
  <si>
    <t>Independent Power Producers &amp; Energy Traders</t>
  </si>
  <si>
    <t>Restaurants</t>
  </si>
  <si>
    <t>Agricultural Products</t>
  </si>
  <si>
    <t>Oil &amp; Gas Equipment &amp; Services</t>
  </si>
  <si>
    <t>Property &amp; Casualty Insurance</t>
  </si>
  <si>
    <t>Pharmaceuticals</t>
  </si>
  <si>
    <t>Airlines</t>
  </si>
  <si>
    <t>Application Software</t>
  </si>
  <si>
    <t>Specialty Chemicals</t>
  </si>
  <si>
    <t>Specialized REITs</t>
  </si>
  <si>
    <t>Electric Utilities</t>
  </si>
  <si>
    <t>Homebuilding</t>
  </si>
  <si>
    <t>Distillers &amp; Vintners</t>
  </si>
  <si>
    <t>Integrated Oil &amp; Gas</t>
  </si>
  <si>
    <t>Consumer Finance</t>
  </si>
  <si>
    <t>Health Care Supplies</t>
  </si>
  <si>
    <t>Building Products</t>
  </si>
  <si>
    <t>Semiconductors</t>
  </si>
  <si>
    <t>Paper Packaging</t>
  </si>
  <si>
    <t>Residential REITs</t>
  </si>
  <si>
    <t>Multi-Utilities</t>
  </si>
  <si>
    <t>General Merchandise Stores</t>
  </si>
  <si>
    <t>Packaged Foods &amp; Meats</t>
  </si>
  <si>
    <t>Oil &amp; Gas Refining &amp; Marketing</t>
  </si>
  <si>
    <t>Asset Management &amp; Custody Banks</t>
  </si>
  <si>
    <t>Health Care Distributors</t>
  </si>
  <si>
    <t>Electrical Components &amp; Equipment</t>
  </si>
  <si>
    <t>Internet Services &amp; Infrastructure</t>
  </si>
  <si>
    <t>Metal &amp; Glass Containers</t>
  </si>
  <si>
    <t>Real Estate Services</t>
  </si>
  <si>
    <t>Water Utilities</t>
  </si>
  <si>
    <t>Automobile Manufacturers</t>
  </si>
  <si>
    <t>Household Products</t>
  </si>
  <si>
    <t>Oil &amp; Gas Storage &amp; Transportation</t>
  </si>
  <si>
    <t>Insurance Brokers</t>
  </si>
  <si>
    <t>Biotechnology</t>
  </si>
  <si>
    <t>Aerospace &amp; Defense</t>
  </si>
  <si>
    <t>Electronic Components</t>
  </si>
  <si>
    <t>Fertilizers &amp; Agricultural Chemicals</t>
  </si>
  <si>
    <t>Industrial REITs</t>
  </si>
  <si>
    <t>Gas Utilities</t>
  </si>
  <si>
    <t>Apparel Retail</t>
  </si>
  <si>
    <t>Soft Drinks</t>
  </si>
  <si>
    <t>Multi-line Insurance</t>
  </si>
  <si>
    <t>Managed Health Care</t>
  </si>
  <si>
    <t>Air Freight &amp; Logistics</t>
  </si>
  <si>
    <t>Technology Hardware, Storage &amp; Peripherals</t>
  </si>
  <si>
    <t>Commodity Chemicals</t>
  </si>
  <si>
    <t>Retail REITs</t>
  </si>
  <si>
    <t>Consumer Electronics</t>
  </si>
  <si>
    <t>Hypermarkets &amp; Super Centers</t>
  </si>
  <si>
    <t>Diversified Banks</t>
  </si>
  <si>
    <t>Life Sciences Tools &amp; Services</t>
  </si>
  <si>
    <t>Construction Machinery &amp; Heavy Trucks</t>
  </si>
  <si>
    <t>Semiconductor Equipment</t>
  </si>
  <si>
    <t>Diversified Chemicals</t>
  </si>
  <si>
    <t>Health Care REITs</t>
  </si>
  <si>
    <t>Apparel, Accessories &amp; Luxury Goods</t>
  </si>
  <si>
    <t>Personal Products</t>
  </si>
  <si>
    <t>Multi-Sector Holdings</t>
  </si>
  <si>
    <t>Health Care Technology</t>
  </si>
  <si>
    <t>Diversified Support Services</t>
  </si>
  <si>
    <t>Communications Equipment</t>
  </si>
  <si>
    <t>Copper</t>
  </si>
  <si>
    <t>Hotel &amp; Resort REITs</t>
  </si>
  <si>
    <t>Leisure Products</t>
  </si>
  <si>
    <t>Food Retail</t>
  </si>
  <si>
    <t>Financial Exchanges &amp; Data</t>
  </si>
  <si>
    <t>Health Care Services</t>
  </si>
  <si>
    <t>Railroads</t>
  </si>
  <si>
    <t>Data Processing &amp; Outsourced Services</t>
  </si>
  <si>
    <t>Construction Materials</t>
  </si>
  <si>
    <t>Home Improvement Retail</t>
  </si>
  <si>
    <t>Brewers</t>
  </si>
  <si>
    <t>Investment Banking &amp; Brokerage</t>
  </si>
  <si>
    <t>Health Care Facilities</t>
  </si>
  <si>
    <t>Industrial Machinery</t>
  </si>
  <si>
    <t>Technology Distributors</t>
  </si>
  <si>
    <t>Gold</t>
  </si>
  <si>
    <t>Casinos &amp; Gaming</t>
  </si>
  <si>
    <t>Food Distributors</t>
  </si>
  <si>
    <t>Regional Banks</t>
  </si>
  <si>
    <t>Agricultural &amp; Farm Machinery</t>
  </si>
  <si>
    <t>Electronic Equipment &amp; Instruments</t>
  </si>
  <si>
    <t>Steel</t>
  </si>
  <si>
    <t>Home Furnishings</t>
  </si>
  <si>
    <t>Drug Retail</t>
  </si>
  <si>
    <t>Reinsurance</t>
  </si>
  <si>
    <t>Research &amp; Consulting Services</t>
  </si>
  <si>
    <t>Systems Software</t>
  </si>
  <si>
    <t>Distributors</t>
  </si>
  <si>
    <t>Thrifts &amp; Mortgage Finance</t>
  </si>
  <si>
    <t>Construction &amp; Engineering</t>
  </si>
  <si>
    <t>Electronic Manufacturing Services</t>
  </si>
  <si>
    <t>Housewares &amp; Specialties</t>
  </si>
  <si>
    <t>Trucking</t>
  </si>
  <si>
    <t>Household Appliances</t>
  </si>
  <si>
    <t>Environmental &amp; Facilities Services</t>
  </si>
  <si>
    <t>Human Resource &amp; Employment Services</t>
  </si>
  <si>
    <t>Trading Companies &amp; Distributors</t>
  </si>
  <si>
    <t>Figures in Millions of USD</t>
  </si>
  <si>
    <t>Company</t>
  </si>
  <si>
    <t>Report in millions of CNY</t>
  </si>
  <si>
    <t>Hoja</t>
  </si>
  <si>
    <t>Nombre campo Bloomberg</t>
  </si>
  <si>
    <t>Cambio de signo</t>
  </si>
  <si>
    <t>Income Statement</t>
  </si>
  <si>
    <t>Sales</t>
  </si>
  <si>
    <t>Ingreso</t>
  </si>
  <si>
    <t xml:space="preserve">    + Coste de bienes y servicios</t>
  </si>
  <si>
    <t xml:space="preserve">    + Ventas, generales y admin</t>
  </si>
  <si>
    <t>investment income+other income expense+income loss+minority interest+non controlling interest+share onf net profit+gain8losses) on equity investments+share of result from associates nd joint ventures+non operating profit+</t>
  </si>
  <si>
    <t xml:space="preserve">    + Investigación y desarrollo</t>
  </si>
  <si>
    <t xml:space="preserve">    + Coste de financiación de beneficio</t>
  </si>
  <si>
    <t xml:space="preserve">    + Otro gasto operativo</t>
  </si>
  <si>
    <t xml:space="preserve">  - Beneficio (pérdida) de filiales</t>
  </si>
  <si>
    <t xml:space="preserve">  - Minoritarios</t>
  </si>
  <si>
    <t>interest expense+financial income and expenses+other financial expense-income+interest and other net</t>
  </si>
  <si>
    <t xml:space="preserve">  - Ingreso (pérdida) no operacional</t>
  </si>
  <si>
    <t xml:space="preserve">  - Gasto de impuesto a la renta (Beneficio)</t>
  </si>
  <si>
    <t>Flujo de caja</t>
  </si>
  <si>
    <t xml:space="preserve">  + Ingreso neto</t>
  </si>
  <si>
    <t>FINANCIAL POSITION</t>
  </si>
  <si>
    <t>Weighted Average Shares (Basic NI)</t>
  </si>
  <si>
    <t>Weighted Average Shares (Diluted NI)</t>
  </si>
  <si>
    <t>Net gains (losses) from ForEx</t>
  </si>
  <si>
    <t>Total Comprehensive Income</t>
  </si>
  <si>
    <t>cash flows</t>
  </si>
  <si>
    <t>NWC</t>
  </si>
  <si>
    <t>Net Working Capital</t>
  </si>
  <si>
    <t xml:space="preserve">  + Dividendos pagados</t>
  </si>
  <si>
    <t>Cambiar signo</t>
  </si>
  <si>
    <t xml:space="preserve">    + Aumento en capital</t>
  </si>
  <si>
    <t xml:space="preserve">    + Baja en capital</t>
  </si>
  <si>
    <t>Cambiar signo y hacer suma</t>
  </si>
  <si>
    <t>ASSETS</t>
  </si>
  <si>
    <t>Current</t>
  </si>
  <si>
    <t>Balance Sheet</t>
  </si>
  <si>
    <t>Balance</t>
  </si>
  <si>
    <t xml:space="preserve">  + Efectivo, equivalentes y STI</t>
  </si>
  <si>
    <t>Other Current Assets</t>
  </si>
  <si>
    <t xml:space="preserve">  + Cuentas y notas por cobrar</t>
  </si>
  <si>
    <t xml:space="preserve">    + Activos derivados y de cobertura</t>
  </si>
  <si>
    <t xml:space="preserve">  + Inversiones y cuentas por cobrar a LP</t>
  </si>
  <si>
    <t>Non-current</t>
  </si>
  <si>
    <t xml:space="preserve">  + Inventarios</t>
  </si>
  <si>
    <t>LT Receivables</t>
  </si>
  <si>
    <t>LT Investments</t>
  </si>
  <si>
    <t>Other Non-Current Assets</t>
  </si>
  <si>
    <t xml:space="preserve">  + Propiedad, planta y equipo; neto</t>
  </si>
  <si>
    <t>Activos totales</t>
  </si>
  <si>
    <t>LIABILITIES</t>
  </si>
  <si>
    <t>Payables</t>
  </si>
  <si>
    <t>Short term Debt</t>
  </si>
  <si>
    <t>Pasivos totales corrientes</t>
  </si>
  <si>
    <t xml:space="preserve">    + Préstamos CP</t>
  </si>
  <si>
    <t>Total non current liabilities</t>
  </si>
  <si>
    <t>Long term debt</t>
  </si>
  <si>
    <t>Pasivos totales no corrientes</t>
  </si>
  <si>
    <t>Other non current Liabilities</t>
  </si>
  <si>
    <t xml:space="preserve">    + Préstamos a largo plazo</t>
  </si>
  <si>
    <t xml:space="preserve">  + Participación minoritaria/no dominante</t>
  </si>
  <si>
    <t>CASH FLOW</t>
  </si>
  <si>
    <t>Changes in assets and liabilities</t>
  </si>
  <si>
    <t>Other Adjustments</t>
  </si>
  <si>
    <t>Other Investing Activities</t>
  </si>
  <si>
    <t>Debt Borrowing</t>
  </si>
  <si>
    <t>Debt Repayment</t>
  </si>
  <si>
    <t>Lease Increases</t>
  </si>
  <si>
    <t>Lease Payments</t>
  </si>
  <si>
    <t>cash flows FINANCING</t>
  </si>
  <si>
    <t>Dividends paid</t>
  </si>
  <si>
    <t>Other Inflows (Outflows)</t>
  </si>
  <si>
    <t>(Vitalis will later fill this info)</t>
  </si>
  <si>
    <t xml:space="preserve">Other Data </t>
  </si>
  <si>
    <t xml:space="preserve">Average Price </t>
  </si>
  <si>
    <t xml:space="preserve">Number of employees </t>
  </si>
  <si>
    <t>10-K</t>
  </si>
  <si>
    <t>bloomberg</t>
  </si>
  <si>
    <t>Shares Outstanding (Thousands)</t>
  </si>
  <si>
    <t>Yahoo finance</t>
  </si>
  <si>
    <t>Dividend Yield(Yahoo Finance)</t>
  </si>
  <si>
    <t>Yahoo Finance</t>
  </si>
  <si>
    <t>https://www.coursehero.com/file/38225170/Swot-Analysisdocx/</t>
  </si>
  <si>
    <r>
      <rPr>
        <b/>
        <sz val="10"/>
        <rFont val="Arial"/>
        <family val="2"/>
      </rPr>
      <t>A Large Company with Long History</t>
    </r>
    <r>
      <rPr>
        <sz val="10"/>
        <rFont val="Arial"/>
        <family val="2"/>
      </rPr>
      <t xml:space="preserve">
Great Wall Motor Company Limited established in 1984 is the largest SUV and pickup manufacturer in China. It was listed on the Hong Kong Stock Exchange in 2003 and the Shanghai Stock Exchange in 2011. By December 30, 2016, its assets had amounted to 92,309 million RMB, and its market capitalization is second only to SAIC Motor Corporation Limited in domestic auto-listed companies. Now Great Wall Motors owns three brands—Haval, Great Wall and WEY which cover three categories: SUV, passenger car and pickup. With over 40 holding subsidiaries, more than 70,000 employees, four vehicle manufacturing bases, we have developed the independent matching capacity of core parts such as engine and transmission. It has capability to do merger and acquisition and net them a really good acquisition price and terms and conditions.
</t>
    </r>
    <r>
      <rPr>
        <b/>
        <sz val="10"/>
        <rFont val="Arial"/>
        <family val="2"/>
      </rPr>
      <t xml:space="preserve">Market Leader </t>
    </r>
    <r>
      <rPr>
        <sz val="10"/>
        <rFont val="Arial"/>
        <family val="2"/>
      </rPr>
      <t xml:space="preserve">
Great Wall Motor Company Limited is the China’s largest SUV and pickup manufacturer. It has kept ahead in domestic and overseas markets. At home, Haval SUV has retained the domestic sales title for 14 consecutive years, becoming No. 1 SUV brand in China; Great Wall pickup has led the domestic market in terms of market share and sales for 19 consecutive years. Abroad, since its first export in 1998, GWM has ranked at the top for consecutive years in export volume and export value, and has won a collection of honors in international markets. 
</t>
    </r>
    <r>
      <rPr>
        <b/>
        <sz val="10"/>
        <rFont val="Arial"/>
        <family val="2"/>
      </rPr>
      <t xml:space="preserve">Good Market Reputation </t>
    </r>
    <r>
      <rPr>
        <sz val="10"/>
        <rFont val="Arial"/>
        <family val="2"/>
      </rPr>
      <t xml:space="preserve">
Great Wall Motor Company Limited uphold the philosophy of "improving little by little every day", has an advanced corporate culture and an outstanding management team, maintaining high growth and high profit for over ten consecutive years. It is second to none in the domestic auto industry in terms of business quality, and it has been listed among "the most valuable listed automakers" by authorities and honored as the most promising Chinese independent auto brand by the media. Since 2004, Great Wall Motor has been selected as one of the "Top 500 Chinese Enterprises", "Top 500 Chinese Machinery Companies", "Top 500 Manufacturers in China", "Top 500 Chinese Industrial Enterprises", "Top 500 Most Valuable Brand in China", " Top 10 Top Listed Companies "," Forbes China Top 100 Enterprises "and other list; has been awarded as the "Recommended Export Brand" by China Chamber of Commerce for Import and Export of Machinery and Electronics and the "National Automobile Export Base Enterprise" by the Ministry of Commerce and the National Development and Reform Commission.In recent years, the development potential of the Great Wall Motor has been widely affirmed and recognized by the outside world.It was named "Top 100 World Car Brands in 2014", "Top 100 Listed Companies in China United Top", "Most Valuable Listed Automobile Company", "Top Ten China Automotive Listed Companies", "2016 Forbes 2000", "Fortune" China Top 500 Enterprises, "and" 2016 Hu Run China Top 100 Enterprise Brands”, etc.
</t>
    </r>
    <r>
      <rPr>
        <b/>
        <sz val="10"/>
        <rFont val="Arial"/>
        <family val="2"/>
      </rPr>
      <t xml:space="preserve">Broad market
</t>
    </r>
    <r>
      <rPr>
        <sz val="10"/>
        <rFont val="Arial"/>
        <family val="2"/>
      </rPr>
      <t xml:space="preserve">
Up to now, the Great Wall is the largest brand in the industry of domestic pickup truck and economy SUV. Among many brands, Great Wall Motor has won the favor of national law enforcement departments with its excellent price / performance ratio. Nearly 10,000 vehicles each year have been selected as official vehicles by the departments of quality supervision, public security, politics and law, industry and commerce, highways and telecommunications. In the same industry, it is the brand with the largest group procurement and equipment in law enforcement departments. In international market, Great Wall Motor has exported to more than 100 countries and regions and has marketing services channels in more than 60 countries. What’s more, in Europe, in September 11, 2009, 4 models of Great Wall Motor Company--"Dazzling" "Cool Bear" "Haver 5" "Wind 5"-- have got the certification of the European Union.It was the first time that China's automobile has obtained the right of free distribution in EU countries, which meant that Great Wall have a broad market in EU countries.2 Good research and development conditions Great Wall Motor Company Limited has a world-class R &amp; D equipment and system. It has so far the largest and most comprehensive automobile test ground and the largest and first-class vehicle R &amp; D center in China. It is capable of designing and developing SUV, passenger car and pickup series as well as powertrain, and developing a dozen models simultaneously, which been accredited as a "state- accredited enterprise technology center" and a "post-doctoral research workstation" by five ministries and commissions including the National Development and Reform Commission and the Ministry of Science and Technology, and was named a "national".
</t>
    </r>
    <r>
      <rPr>
        <b/>
        <sz val="10"/>
        <rFont val="Arial"/>
        <family val="2"/>
      </rPr>
      <t xml:space="preserve">Good research and development conditions
Adequate resourcesforthe development of new energy </t>
    </r>
  </si>
  <si>
    <t>Top 50 public listed car companies</t>
  </si>
  <si>
    <t xml:space="preserve">extracted from </t>
  </si>
  <si>
    <t>https://disfold.com/industry/auto-manufacturers/companies/?page=1</t>
  </si>
  <si>
    <t>Rank</t>
  </si>
  <si>
    <t>Market Cap (USD)</t>
  </si>
  <si>
    <t>Country</t>
  </si>
  <si>
    <t>Column1</t>
  </si>
  <si>
    <t>Tesla, Inc.</t>
  </si>
  <si>
    <t>$786.84 B</t>
  </si>
  <si>
    <t>United States</t>
  </si>
  <si>
    <t>US Consumer Discretionary</t>
  </si>
  <si>
    <t>US Auto Manufacturers</t>
  </si>
  <si>
    <t>Toyota Motor Corporation</t>
  </si>
  <si>
    <t>$282.88 B</t>
  </si>
  <si>
    <t>Japan</t>
  </si>
  <si>
    <t>Japanese Consumer Discretionary</t>
  </si>
  <si>
    <t>Japanese Auto Manufacturers</t>
  </si>
  <si>
    <t>BYD Co Ltd</t>
  </si>
  <si>
    <t>$93.95 B</t>
  </si>
  <si>
    <t>Chinese Consumer Discretionary</t>
  </si>
  <si>
    <t>Chinese Auto Manufacturers</t>
  </si>
  <si>
    <t>Ferrari N.V.</t>
  </si>
  <si>
    <t>$75.94 B</t>
  </si>
  <si>
    <t>Italy</t>
  </si>
  <si>
    <t>Italian Consumer Discretionary</t>
  </si>
  <si>
    <t>Italian Auto Manufacturers</t>
  </si>
  <si>
    <t>Mercedes-Benz Group AG</t>
  </si>
  <si>
    <t>$75.77 B</t>
  </si>
  <si>
    <t>Germany</t>
  </si>
  <si>
    <t>German Consumer Discretionary</t>
  </si>
  <si>
    <t>German Auto Manufacturers</t>
  </si>
  <si>
    <t>Dr. Ing. h.c. F. Porsche AG</t>
  </si>
  <si>
    <t>$68.30 B</t>
  </si>
  <si>
    <t>Bayerische Motoren Werke AG</t>
  </si>
  <si>
    <t>$60.38 B</t>
  </si>
  <si>
    <t>Volkswagen AG</t>
  </si>
  <si>
    <t>$59.34 B</t>
  </si>
  <si>
    <t>Stellantis N.V.</t>
  </si>
  <si>
    <t>$57.87 B</t>
  </si>
  <si>
    <t>Netherlands</t>
  </si>
  <si>
    <t>Dutch Consumer Discretionary</t>
  </si>
  <si>
    <t>Dutch Auto Manufacturers</t>
  </si>
  <si>
    <t/>
  </si>
  <si>
    <t>Honda Motor Co., Ltd.</t>
  </si>
  <si>
    <t>$53.49 B</t>
  </si>
  <si>
    <t>General Motors Company</t>
  </si>
  <si>
    <t>$53.27 B</t>
  </si>
  <si>
    <t>Ford Motor Company</t>
  </si>
  <si>
    <t>$51.02 B</t>
  </si>
  <si>
    <t>Mahindra &amp; Mahindra Ltd</t>
  </si>
  <si>
    <t>$39.07 B</t>
  </si>
  <si>
    <t>India</t>
  </si>
  <si>
    <t>Indian Consumer Discretionary</t>
  </si>
  <si>
    <t>Indian Auto Manufacturers</t>
  </si>
  <si>
    <t>Toyota Industries Corp</t>
  </si>
  <si>
    <t>$27.14 B</t>
  </si>
  <si>
    <t>Great Wall Motor Co Ltd</t>
  </si>
  <si>
    <t>$23.81 B</t>
  </si>
  <si>
    <t>Li Auto Inc.</t>
  </si>
  <si>
    <t>$21.98 B</t>
  </si>
  <si>
    <t>SAIC Motor Corp Ltd</t>
  </si>
  <si>
    <t>$21.69 B</t>
  </si>
  <si>
    <t>Suzuki Motor Corp</t>
  </si>
  <si>
    <t>$21.66 B</t>
  </si>
  <si>
    <t>Chongqing Sokon Industry Group Stock Co.,Ltd.</t>
  </si>
  <si>
    <t>$18.05 B</t>
  </si>
  <si>
    <t>Tata Motors Limited</t>
  </si>
  <si>
    <t>$17.61 B
                                            (Jan. 1, 2023)</t>
  </si>
  <si>
    <t>Subaru Corp</t>
  </si>
  <si>
    <t>$16.71 B</t>
  </si>
  <si>
    <t>Renault SA</t>
  </si>
  <si>
    <t>$15.58 B</t>
  </si>
  <si>
    <t>France</t>
  </si>
  <si>
    <t>French Consumer Discretionary</t>
  </si>
  <si>
    <t>French Auto Manufacturers</t>
  </si>
  <si>
    <t>Exor N.V.</t>
  </si>
  <si>
    <t>$14.84 B
                                            (Sept. 1, 2022)</t>
  </si>
  <si>
    <t>Rivian Automotive, Inc.</t>
  </si>
  <si>
    <t>$14.58 B</t>
  </si>
  <si>
    <t>Porsche Automobil Holding SE</t>
  </si>
  <si>
    <t>$14.11 B</t>
  </si>
  <si>
    <t>Nissan Motor Co Ltd</t>
  </si>
  <si>
    <t>$13.38 B</t>
  </si>
  <si>
    <t>Ford Otomotiv Sanayi A.S.</t>
  </si>
  <si>
    <t>$12.07 B</t>
  </si>
  <si>
    <t>Turkey</t>
  </si>
  <si>
    <t>Turkish Consumer Discretionary</t>
  </si>
  <si>
    <t>Turkish Auto Manufacturers</t>
  </si>
  <si>
    <t>Geely Automobile Holdings Ltd</t>
  </si>
  <si>
    <t>$11.21 B</t>
  </si>
  <si>
    <t>Hong Kong</t>
  </si>
  <si>
    <t>HK Consumer Discretionary</t>
  </si>
  <si>
    <t>HK Auto Manufacturers</t>
  </si>
  <si>
    <t>Isuzu Motors Ltd</t>
  </si>
  <si>
    <t>$10.49 B</t>
  </si>
  <si>
    <t>NIO Limited</t>
  </si>
  <si>
    <t>$10.16 B</t>
  </si>
  <si>
    <t>Column7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</si>
</sst>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3" formatCode="_-* #,##0.00_-;\-* #,##0.00_-;_-* &quot;-&quot;??_-;_-@_-"/>
    <numFmt numFmtId="164" formatCode="_-&quot;$&quot;* #,##0.00_-;\-&quot;$&quot;* #,##0.00_-;_-&quot;$&quot;* &quot;-&quot;??_-;_-@_-"/>
    <numFmt numFmtId="165" formatCode="&quot;$&quot;#,##0.00"/>
    <numFmt numFmtId="166" formatCode="&quot;$&quot;#,##0"/>
    <numFmt numFmtId="167" formatCode="0.0%"/>
    <numFmt numFmtId="168" formatCode="0.0"/>
    <numFmt numFmtId="169" formatCode="#,##0.0"/>
    <numFmt numFmtId="170" formatCode="[$$-409]#,##0.00_ ;\-[$$-409]#,##0.00\ "/>
    <numFmt numFmtId="171" formatCode="[$$-409]#,##0.00"/>
    <numFmt numFmtId="172" formatCode="[$$-409]#,##0"/>
    <numFmt numFmtId="173" formatCode="0.000000"/>
    <numFmt numFmtId="174" formatCode="_([$$-409]* #,##0.00_);_([$$-409]* \(#,##0.00\);_([$$-409]* &quot;-&quot;??_);_(@_)"/>
    <numFmt numFmtId="175" formatCode="0.000%"/>
    <numFmt numFmtId="176" formatCode="[$$-C09]#,##0.00"/>
    <numFmt numFmtId="177" formatCode="#,##0_ ;\-#,##0\ "/>
    <numFmt numFmtId="178" formatCode="0.0000%"/>
  </numFmts>
  <fonts count="8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2"/>
      <name val="Arial"/>
      <family val="2"/>
    </font>
    <font>
      <u/>
      <sz val="10"/>
      <color indexed="12"/>
      <name val="Arial"/>
      <family val="2"/>
    </font>
    <font>
      <sz val="10"/>
      <name val="Arial"/>
      <family val="2"/>
    </font>
    <font>
      <b/>
      <sz val="10"/>
      <name val="Arial"/>
      <family val="2"/>
    </font>
    <font>
      <b/>
      <sz val="10"/>
      <name val="Symbol"/>
      <family val="1"/>
      <charset val="2"/>
    </font>
    <font>
      <sz val="10"/>
      <name val="Symbol"/>
      <family val="1"/>
      <charset val="2"/>
    </font>
    <font>
      <b/>
      <sz val="16"/>
      <color indexed="9"/>
      <name val="Arial"/>
      <family val="2"/>
    </font>
    <font>
      <b/>
      <sz val="10"/>
      <color indexed="9"/>
      <name val="Arial"/>
      <family val="2"/>
    </font>
    <font>
      <b/>
      <sz val="10"/>
      <color indexed="8"/>
      <name val="Arial"/>
      <family val="2"/>
    </font>
    <font>
      <sz val="10"/>
      <color indexed="63"/>
      <name val="Arial"/>
      <family val="2"/>
    </font>
    <font>
      <b/>
      <sz val="9.3000000000000007"/>
      <name val="Arial"/>
      <family val="2"/>
    </font>
    <font>
      <sz val="10"/>
      <name val="Arial"/>
      <family val="2"/>
    </font>
    <font>
      <b/>
      <sz val="11"/>
      <name val="Arial"/>
      <family val="2"/>
    </font>
    <font>
      <sz val="11"/>
      <color theme="1"/>
      <name val="Calibri"/>
      <family val="2"/>
      <scheme val="minor"/>
    </font>
    <font>
      <sz val="10"/>
      <color rgb="FFFF0000"/>
      <name val="Arial"/>
      <family val="2"/>
    </font>
    <font>
      <sz val="10"/>
      <color theme="0"/>
      <name val="Arial"/>
      <family val="2"/>
    </font>
    <font>
      <b/>
      <sz val="10"/>
      <color theme="0"/>
      <name val="Arial"/>
      <family val="2"/>
    </font>
    <font>
      <b/>
      <sz val="11"/>
      <color theme="3"/>
      <name val="Arial"/>
      <family val="2"/>
    </font>
    <font>
      <sz val="10"/>
      <color rgb="FF333333"/>
      <name val="Arial"/>
      <family val="2"/>
    </font>
    <font>
      <b/>
      <sz val="14"/>
      <color rgb="FFFF0000"/>
      <name val="Arial"/>
      <family val="2"/>
    </font>
    <font>
      <b/>
      <sz val="16"/>
      <color theme="0"/>
      <name val="Arial"/>
      <family val="2"/>
    </font>
    <font>
      <sz val="10"/>
      <color rgb="FF92D050"/>
      <name val="Arial"/>
      <family val="2"/>
    </font>
    <font>
      <sz val="10"/>
      <color theme="1"/>
      <name val="Arial"/>
      <family val="2"/>
    </font>
    <font>
      <sz val="10"/>
      <color rgb="FF000000"/>
      <name val="Arial"/>
      <family val="2"/>
    </font>
    <font>
      <sz val="11"/>
      <name val="Arial"/>
      <family val="2"/>
    </font>
    <font>
      <sz val="11"/>
      <color theme="1"/>
      <name val="Arial"/>
      <family val="2"/>
    </font>
    <font>
      <sz val="12"/>
      <color rgb="FFFFFFFF"/>
      <name val="Calibri"/>
      <family val="2"/>
    </font>
    <font>
      <sz val="7.5"/>
      <name val="Arial"/>
      <family val="2"/>
    </font>
    <font>
      <sz val="9"/>
      <name val="Arial"/>
      <family val="2"/>
    </font>
    <font>
      <b/>
      <sz val="9"/>
      <name val="Arial"/>
      <family val="2"/>
    </font>
    <font>
      <sz val="7.5"/>
      <color theme="0"/>
      <name val="Arial"/>
      <family val="2"/>
    </font>
    <font>
      <b/>
      <sz val="7.5"/>
      <name val="Arial"/>
      <family val="2"/>
    </font>
    <font>
      <b/>
      <sz val="16"/>
      <name val="Arial"/>
      <family val="2"/>
    </font>
    <font>
      <b/>
      <u/>
      <sz val="10"/>
      <color theme="4"/>
      <name val="Arial"/>
      <family val="2"/>
    </font>
    <font>
      <b/>
      <sz val="14"/>
      <name val="Arial"/>
      <family val="2"/>
    </font>
    <font>
      <b/>
      <sz val="14"/>
      <color theme="0"/>
      <name val="Arial"/>
      <family val="2"/>
    </font>
    <font>
      <b/>
      <sz val="12"/>
      <color theme="0"/>
      <name val="Arial"/>
      <family val="2"/>
    </font>
    <font>
      <b/>
      <sz val="9"/>
      <color theme="0"/>
      <name val="Arial"/>
      <family val="2"/>
    </font>
    <font>
      <b/>
      <sz val="8"/>
      <color theme="0"/>
      <name val="Arial"/>
      <family val="2"/>
    </font>
    <font>
      <b/>
      <sz val="11"/>
      <color theme="0"/>
      <name val="Arial"/>
      <family val="2"/>
    </font>
    <font>
      <sz val="16"/>
      <color theme="0"/>
      <name val="Arial"/>
      <family val="2"/>
    </font>
    <font>
      <sz val="11"/>
      <color rgb="FF000000"/>
      <name val="Calibri"/>
      <family val="2"/>
    </font>
    <font>
      <b/>
      <sz val="16"/>
      <color rgb="FFFFFFFF"/>
      <name val="Arial"/>
      <family val="2"/>
    </font>
    <font>
      <b/>
      <sz val="11"/>
      <color rgb="FF000000"/>
      <name val="Calibri"/>
      <family val="2"/>
    </font>
    <font>
      <b/>
      <sz val="11"/>
      <name val="Calibri"/>
      <family val="2"/>
    </font>
    <font>
      <sz val="10"/>
      <color rgb="FFFFFFFF"/>
      <name val="Arial"/>
      <family val="2"/>
    </font>
    <font>
      <sz val="11"/>
      <name val="Calibri"/>
      <family val="2"/>
    </font>
    <font>
      <sz val="11"/>
      <color rgb="FFC00000"/>
      <name val="Calibri"/>
      <family val="2"/>
    </font>
    <font>
      <b/>
      <sz val="14"/>
      <color rgb="FF000000"/>
      <name val="Calibri"/>
      <family val="2"/>
    </font>
    <font>
      <sz val="11"/>
      <color theme="1"/>
      <name val="Calibri"/>
      <family val="2"/>
    </font>
    <font>
      <sz val="10"/>
      <color rgb="FF232A31"/>
      <name val="Arial"/>
      <family val="2"/>
    </font>
    <font>
      <b/>
      <sz val="10"/>
      <color rgb="FF000000"/>
      <name val="Arial"/>
      <family val="2"/>
    </font>
    <font>
      <b/>
      <sz val="11"/>
      <color theme="1"/>
      <name val="Calibri"/>
      <family val="2"/>
      <scheme val="minor"/>
    </font>
    <font>
      <sz val="11"/>
      <color theme="0"/>
      <name val="Calibri"/>
      <family val="2"/>
    </font>
    <font>
      <b/>
      <sz val="11"/>
      <color rgb="FF374151"/>
      <name val="Arial"/>
      <family val="2"/>
    </font>
    <font>
      <sz val="11"/>
      <color rgb="FFFF0000"/>
      <name val="Calibri"/>
      <family val="2"/>
    </font>
    <font>
      <sz val="10"/>
      <name val="Calibri"/>
      <family val="2"/>
      <charset val="1"/>
    </font>
    <font>
      <sz val="8"/>
      <color theme="0"/>
      <name val="Arial"/>
      <family val="2"/>
    </font>
    <font>
      <b/>
      <sz val="12"/>
      <color rgb="FF000000"/>
      <name val="Arial"/>
      <family val="2"/>
    </font>
    <font>
      <b/>
      <sz val="8"/>
      <color rgb="FFFFFFFF"/>
      <name val="Arial"/>
      <family val="2"/>
    </font>
    <font>
      <b/>
      <sz val="11"/>
      <color rgb="FFFFFFFF"/>
      <name val="Arial"/>
      <family val="2"/>
    </font>
    <font>
      <i/>
      <sz val="10"/>
      <name val="Arial"/>
      <family val="2"/>
    </font>
    <font>
      <i/>
      <sz val="10"/>
      <color theme="1"/>
      <name val="Arial"/>
      <family val="2"/>
    </font>
    <font>
      <b/>
      <sz val="11"/>
      <color rgb="FF000000"/>
      <name val="Calibri"/>
      <family val="2"/>
      <scheme val="minor"/>
    </font>
    <font>
      <b/>
      <sz val="9"/>
      <color indexed="81"/>
      <name val="Tahoma"/>
      <family val="2"/>
    </font>
    <font>
      <sz val="10"/>
      <name val="Arial"/>
      <family val="2"/>
    </font>
    <font>
      <sz val="8"/>
      <name val="Arial"/>
      <family val="2"/>
    </font>
    <font>
      <sz val="8"/>
      <color theme="0" tint="-0.499984740745262"/>
      <name val="Arial"/>
      <family val="2"/>
    </font>
    <font>
      <u/>
      <sz val="16"/>
      <color theme="0"/>
      <name val="Arial"/>
      <family val="2"/>
    </font>
    <font>
      <sz val="9"/>
      <color indexed="81"/>
      <name val="Tahoma"/>
      <family val="2"/>
    </font>
    <font>
      <sz val="11"/>
      <color rgb="FF374151"/>
      <name val="Arial"/>
      <family val="2"/>
    </font>
    <font>
      <u/>
      <sz val="11"/>
      <color rgb="FF374151"/>
      <name val="Arial"/>
      <family val="2"/>
    </font>
    <font>
      <b/>
      <u/>
      <sz val="11"/>
      <color rgb="FF374151"/>
      <name val="Arial"/>
      <family val="2"/>
    </font>
    <font>
      <b/>
      <sz val="10"/>
      <color rgb="FFFFFFFF"/>
      <name val="Arial"/>
      <family val="2"/>
    </font>
    <font>
      <b/>
      <sz val="11"/>
      <color rgb="FF1F497D"/>
      <name val="Arial"/>
      <family val="2"/>
    </font>
    <font>
      <sz val="10"/>
      <color rgb="FF002060"/>
      <name val="Arial"/>
      <family val="2"/>
    </font>
    <font>
      <b/>
      <sz val="10"/>
      <color rgb="FF000000"/>
      <name val="Tahoma"/>
      <family val="2"/>
    </font>
    <font>
      <sz val="10"/>
      <color rgb="FF000000"/>
      <name val="Tahoma"/>
      <family val="2"/>
    </font>
  </fonts>
  <fills count="47">
    <fill>
      <patternFill patternType="none"/>
    </fill>
    <fill>
      <patternFill patternType="gray125"/>
    </fill>
    <fill>
      <patternFill patternType="solid">
        <fgColor rgb="FF4F81BD"/>
        <bgColor indexed="64"/>
      </patternFill>
    </fill>
    <fill>
      <patternFill patternType="solid">
        <fgColor rgb="FFFFFFFF"/>
        <bgColor indexed="64"/>
      </patternFill>
    </fill>
    <fill>
      <patternFill patternType="solid">
        <fgColor theme="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5"/>
        <bgColor indexed="64"/>
      </patternFill>
    </fill>
    <fill>
      <patternFill patternType="solid">
        <fgColor theme="3" tint="0.7999816888943144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indexed="57"/>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00B050"/>
        <bgColor indexed="64"/>
      </patternFill>
    </fill>
    <fill>
      <patternFill patternType="solid">
        <fgColor theme="4" tint="0.79998168889431442"/>
        <bgColor indexed="64"/>
      </patternFill>
    </fill>
    <fill>
      <patternFill patternType="solid">
        <fgColor rgb="FFBBF0FB"/>
        <bgColor indexed="64"/>
      </patternFill>
    </fill>
    <fill>
      <patternFill patternType="solid">
        <fgColor rgb="FF9AFCBB"/>
        <bgColor indexed="64"/>
      </patternFill>
    </fill>
    <fill>
      <patternFill patternType="solid">
        <fgColor rgb="FF91E8F9"/>
        <bgColor indexed="64"/>
      </patternFill>
    </fill>
    <fill>
      <patternFill patternType="solid">
        <fgColor rgb="FF92D050"/>
        <bgColor indexed="64"/>
      </patternFill>
    </fill>
    <fill>
      <patternFill patternType="solid">
        <fgColor rgb="FF339966"/>
        <bgColor indexed="64"/>
      </patternFill>
    </fill>
    <fill>
      <patternFill patternType="solid">
        <fgColor rgb="FF1F497D"/>
        <bgColor indexed="64"/>
      </patternFill>
    </fill>
    <fill>
      <patternFill patternType="solid">
        <fgColor rgb="FF1B7087"/>
        <bgColor indexed="64"/>
      </patternFill>
    </fill>
    <fill>
      <patternFill patternType="solid">
        <fgColor theme="0" tint="-0.249977111117893"/>
        <bgColor indexed="64"/>
      </patternFill>
    </fill>
    <fill>
      <patternFill patternType="solid">
        <fgColor rgb="FF1F497D"/>
        <bgColor rgb="FF000000"/>
      </patternFill>
    </fill>
    <fill>
      <patternFill patternType="solid">
        <fgColor rgb="FFDAEEF3"/>
        <bgColor rgb="FF000000"/>
      </patternFill>
    </fill>
    <fill>
      <patternFill patternType="solid">
        <fgColor rgb="FFDDD9C4"/>
        <bgColor rgb="FF000000"/>
      </patternFill>
    </fill>
    <fill>
      <patternFill patternType="solid">
        <fgColor rgb="FFFFFF00"/>
        <bgColor rgb="FF000000"/>
      </patternFill>
    </fill>
    <fill>
      <patternFill patternType="solid">
        <fgColor rgb="FFD9D9D9"/>
        <bgColor rgb="FF000000"/>
      </patternFill>
    </fill>
    <fill>
      <patternFill patternType="solid">
        <fgColor rgb="FFFDE9D9"/>
        <bgColor rgb="FF000000"/>
      </patternFill>
    </fill>
    <fill>
      <patternFill patternType="solid">
        <fgColor theme="0"/>
        <bgColor rgb="FF000000"/>
      </patternFill>
    </fill>
    <fill>
      <patternFill patternType="solid">
        <fgColor theme="2" tint="-9.9978637043366805E-2"/>
        <bgColor indexed="64"/>
      </patternFill>
    </fill>
    <fill>
      <patternFill patternType="solid">
        <fgColor rgb="FFFF0000"/>
        <bgColor rgb="FF000000"/>
      </patternFill>
    </fill>
    <fill>
      <patternFill patternType="solid">
        <fgColor rgb="FF00B050"/>
        <bgColor rgb="FF000000"/>
      </patternFill>
    </fill>
    <fill>
      <patternFill patternType="solid">
        <fgColor theme="9" tint="0.79998168889431442"/>
        <bgColor indexed="64"/>
      </patternFill>
    </fill>
    <fill>
      <patternFill patternType="solid">
        <fgColor rgb="FF808080"/>
        <bgColor rgb="FF000000"/>
      </patternFill>
    </fill>
    <fill>
      <patternFill patternType="solid">
        <fgColor rgb="FFFFFFFF"/>
        <bgColor rgb="FF000000"/>
      </patternFill>
    </fill>
    <fill>
      <patternFill patternType="solid">
        <fgColor rgb="FF92D050"/>
        <bgColor rgb="FF000000"/>
      </patternFill>
    </fill>
    <fill>
      <patternFill patternType="solid">
        <fgColor rgb="FFFFC000"/>
        <bgColor rgb="FF000000"/>
      </patternFill>
    </fill>
    <fill>
      <patternFill patternType="solid">
        <fgColor rgb="FFFFC000"/>
        <bgColor indexed="64"/>
      </patternFill>
    </fill>
  </fills>
  <borders count="273">
    <border>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diagonal/>
    </border>
    <border>
      <left style="medium">
        <color theme="3"/>
      </left>
      <right/>
      <top style="thin">
        <color theme="0" tint="-0.499984740745262"/>
      </top>
      <bottom style="thin">
        <color theme="0" tint="-0.499984740745262"/>
      </bottom>
      <diagonal/>
    </border>
    <border>
      <left style="medium">
        <color theme="3"/>
      </left>
      <right/>
      <top style="thin">
        <color theme="0" tint="-0.499984740745262"/>
      </top>
      <bottom/>
      <diagonal/>
    </border>
    <border>
      <left style="medium">
        <color theme="3"/>
      </left>
      <right/>
      <top/>
      <bottom/>
      <diagonal/>
    </border>
    <border>
      <left/>
      <right style="medium">
        <color theme="3"/>
      </right>
      <top/>
      <bottom/>
      <diagonal/>
    </border>
    <border>
      <left style="medium">
        <color theme="3"/>
      </left>
      <right/>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medium">
        <color theme="3"/>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top/>
      <bottom style="thin">
        <color indexed="64"/>
      </bottom>
      <diagonal/>
    </border>
    <border>
      <left style="thin">
        <color theme="0" tint="-0.249977111117893"/>
      </left>
      <right/>
      <top/>
      <bottom style="thin">
        <color theme="0" tint="-0.249977111117893"/>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theme="3"/>
      </left>
      <right style="medium">
        <color theme="3"/>
      </right>
      <top style="thin">
        <color theme="0" tint="-0.499984740745262"/>
      </top>
      <bottom/>
      <diagonal/>
    </border>
    <border>
      <left/>
      <right/>
      <top style="medium">
        <color theme="3"/>
      </top>
      <bottom style="medium">
        <color theme="3"/>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theme="0" tint="-0.249977111117893"/>
      </left>
      <right/>
      <top style="thin">
        <color rgb="FF1F497D"/>
      </top>
      <bottom style="thin">
        <color theme="0" tint="-0.249977111117893"/>
      </bottom>
      <diagonal/>
    </border>
    <border>
      <left/>
      <right/>
      <top style="thin">
        <color rgb="FF1F497D"/>
      </top>
      <bottom style="thin">
        <color theme="0" tint="-0.249977111117893"/>
      </bottom>
      <diagonal/>
    </border>
    <border>
      <left/>
      <right style="thin">
        <color theme="0" tint="-0.249977111117893"/>
      </right>
      <top style="thin">
        <color rgb="FF1F497D"/>
      </top>
      <bottom style="thin">
        <color theme="0" tint="-0.249977111117893"/>
      </bottom>
      <diagonal/>
    </border>
    <border>
      <left style="medium">
        <color rgb="FF1F497D"/>
      </left>
      <right/>
      <top/>
      <bottom/>
      <diagonal/>
    </border>
    <border>
      <left/>
      <right style="medium">
        <color rgb="FF1F497D"/>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medium">
        <color rgb="FF1F497D"/>
      </right>
      <top style="thin">
        <color indexed="64"/>
      </top>
      <bottom style="thin">
        <color indexed="64"/>
      </bottom>
      <diagonal/>
    </border>
    <border>
      <left style="thin">
        <color theme="0" tint="-0.24994659260841701"/>
      </left>
      <right style="thin">
        <color theme="0" tint="-0.24994659260841701"/>
      </right>
      <top style="thin">
        <color theme="0" tint="-0.24994659260841701"/>
      </top>
      <bottom/>
      <diagonal/>
    </border>
    <border>
      <left style="thin">
        <color indexed="64"/>
      </left>
      <right style="medium">
        <color rgb="FF1F497D"/>
      </right>
      <top/>
      <bottom style="thin">
        <color indexed="64"/>
      </bottom>
      <diagonal/>
    </border>
    <border>
      <left style="thin">
        <color theme="0" tint="-0.24994659260841701"/>
      </left>
      <right style="medium">
        <color theme="3"/>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rgb="FF1F497D"/>
      </left>
      <right style="thin">
        <color rgb="FF1F497D"/>
      </right>
      <top style="thin">
        <color rgb="FF1F497D"/>
      </top>
      <bottom style="thin">
        <color rgb="FF1F497D"/>
      </bottom>
      <diagonal/>
    </border>
    <border>
      <left style="medium">
        <color rgb="FF1F497D"/>
      </left>
      <right style="medium">
        <color rgb="FF1F497D"/>
      </right>
      <top style="medium">
        <color rgb="FF1F497D"/>
      </top>
      <bottom style="medium">
        <color rgb="FF1F497D"/>
      </bottom>
      <diagonal/>
    </border>
    <border>
      <left style="medium">
        <color rgb="FF1F497D"/>
      </left>
      <right style="medium">
        <color theme="3"/>
      </right>
      <top/>
      <bottom style="medium">
        <color rgb="FF1F497D"/>
      </bottom>
      <diagonal/>
    </border>
    <border>
      <left style="medium">
        <color rgb="FF1F497D"/>
      </left>
      <right/>
      <top style="medium">
        <color rgb="FF1F497D"/>
      </top>
      <bottom/>
      <diagonal/>
    </border>
    <border>
      <left/>
      <right/>
      <top style="medium">
        <color rgb="FF1F497D"/>
      </top>
      <bottom/>
      <diagonal/>
    </border>
    <border>
      <left/>
      <right style="medium">
        <color rgb="FF1F497D"/>
      </right>
      <top style="medium">
        <color rgb="FF1F497D"/>
      </top>
      <bottom/>
      <diagonal/>
    </border>
    <border>
      <left style="medium">
        <color rgb="FF1F497D"/>
      </left>
      <right/>
      <top/>
      <bottom style="medium">
        <color rgb="FF1F497D"/>
      </bottom>
      <diagonal/>
    </border>
    <border>
      <left/>
      <right/>
      <top style="medium">
        <color theme="3"/>
      </top>
      <bottom style="medium">
        <color rgb="FF1F497D"/>
      </bottom>
      <diagonal/>
    </border>
    <border>
      <left style="medium">
        <color rgb="FF1F497D"/>
      </left>
      <right/>
      <top style="medium">
        <color rgb="FF1F497D"/>
      </top>
      <bottom style="medium">
        <color rgb="FF1F497D"/>
      </bottom>
      <diagonal/>
    </border>
    <border>
      <left/>
      <right/>
      <top style="medium">
        <color rgb="FF1F497D"/>
      </top>
      <bottom style="medium">
        <color rgb="FF1F497D"/>
      </bottom>
      <diagonal/>
    </border>
    <border>
      <left/>
      <right style="medium">
        <color rgb="FF1F497D"/>
      </right>
      <top style="medium">
        <color rgb="FF1F497D"/>
      </top>
      <bottom style="medium">
        <color rgb="FF1F497D"/>
      </bottom>
      <diagonal/>
    </border>
    <border>
      <left/>
      <right/>
      <top/>
      <bottom style="medium">
        <color rgb="FF1F497D"/>
      </bottom>
      <diagonal/>
    </border>
    <border>
      <left/>
      <right style="medium">
        <color rgb="FF1F497D"/>
      </right>
      <top/>
      <bottom style="medium">
        <color rgb="FF1F497D"/>
      </bottom>
      <diagonal/>
    </border>
    <border>
      <left style="medium">
        <color rgb="FF1F497D"/>
      </left>
      <right/>
      <top style="medium">
        <color rgb="FF1F497D"/>
      </top>
      <bottom style="thin">
        <color theme="0" tint="-0.24994659260841701"/>
      </bottom>
      <diagonal/>
    </border>
    <border>
      <left/>
      <right style="medium">
        <color rgb="FF1F497D"/>
      </right>
      <top style="medium">
        <color rgb="FF1F497D"/>
      </top>
      <bottom style="thin">
        <color theme="0" tint="-0.24994659260841701"/>
      </bottom>
      <diagonal/>
    </border>
    <border>
      <left style="medium">
        <color rgb="FF1F497D"/>
      </left>
      <right style="medium">
        <color theme="3"/>
      </right>
      <top style="medium">
        <color rgb="FF1F497D"/>
      </top>
      <bottom style="thin">
        <color theme="0" tint="-0.24994659260841701"/>
      </bottom>
      <diagonal/>
    </border>
    <border>
      <left style="medium">
        <color theme="3"/>
      </left>
      <right style="medium">
        <color theme="3"/>
      </right>
      <top style="medium">
        <color rgb="FF1F497D"/>
      </top>
      <bottom style="thin">
        <color theme="0" tint="-0.24994659260841701"/>
      </bottom>
      <diagonal/>
    </border>
    <border>
      <left style="medium">
        <color theme="3"/>
      </left>
      <right style="medium">
        <color rgb="FF1F497D"/>
      </right>
      <top style="medium">
        <color rgb="FF1F497D"/>
      </top>
      <bottom style="thin">
        <color theme="0" tint="-0.24994659260841701"/>
      </bottom>
      <diagonal/>
    </border>
    <border>
      <left style="medium">
        <color rgb="FF1F497D"/>
      </left>
      <right/>
      <top style="thin">
        <color theme="0" tint="-0.24994659260841701"/>
      </top>
      <bottom style="thin">
        <color theme="0" tint="-0.24994659260841701"/>
      </bottom>
      <diagonal/>
    </border>
    <border>
      <left/>
      <right style="medium">
        <color rgb="FF1F497D"/>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medium">
        <color rgb="FF1F497D"/>
      </left>
      <right/>
      <top style="thin">
        <color theme="0" tint="-0.24994659260841701"/>
      </top>
      <bottom style="medium">
        <color rgb="FF1F497D"/>
      </bottom>
      <diagonal/>
    </border>
    <border>
      <left/>
      <right style="medium">
        <color rgb="FF1F497D"/>
      </right>
      <top style="thin">
        <color theme="0" tint="-0.24994659260841701"/>
      </top>
      <bottom style="medium">
        <color rgb="FF1F497D"/>
      </bottom>
      <diagonal/>
    </border>
    <border>
      <left/>
      <right/>
      <top style="thin">
        <color theme="0" tint="-0.24994659260841701"/>
      </top>
      <bottom style="medium">
        <color rgb="FF1F497D"/>
      </bottom>
      <diagonal/>
    </border>
    <border>
      <left style="medium">
        <color rgb="FF1F497D"/>
      </left>
      <right style="medium">
        <color rgb="FF1F497D"/>
      </right>
      <top style="medium">
        <color rgb="FF1F497D"/>
      </top>
      <bottom style="thin">
        <color theme="0" tint="-0.24994659260841701"/>
      </bottom>
      <diagonal/>
    </border>
    <border>
      <left style="medium">
        <color rgb="FF1F497D"/>
      </left>
      <right style="medium">
        <color rgb="FF1F497D"/>
      </right>
      <top style="thin">
        <color theme="0" tint="-0.24994659260841701"/>
      </top>
      <bottom style="thin">
        <color theme="0" tint="-0.24994659260841701"/>
      </bottom>
      <diagonal/>
    </border>
    <border>
      <left style="medium">
        <color rgb="FF1F497D"/>
      </left>
      <right style="medium">
        <color rgb="FF1F497D"/>
      </right>
      <top style="thin">
        <color theme="0" tint="-0.24994659260841701"/>
      </top>
      <bottom style="medium">
        <color rgb="FF1F497D"/>
      </bottom>
      <diagonal/>
    </border>
    <border>
      <left style="medium">
        <color rgb="FF1F497D"/>
      </left>
      <right style="medium">
        <color rgb="FF1F497D"/>
      </right>
      <top style="medium">
        <color rgb="FF1F497D"/>
      </top>
      <bottom/>
      <diagonal/>
    </border>
    <border>
      <left style="medium">
        <color rgb="FF1F497D"/>
      </left>
      <right style="medium">
        <color rgb="FF1F497D"/>
      </right>
      <top/>
      <bottom/>
      <diagonal/>
    </border>
    <border>
      <left style="medium">
        <color rgb="FF1F497D"/>
      </left>
      <right style="medium">
        <color rgb="FF1F497D"/>
      </right>
      <top/>
      <bottom style="medium">
        <color rgb="FF1F497D"/>
      </bottom>
      <diagonal/>
    </border>
    <border>
      <left style="medium">
        <color rgb="FF1F497D"/>
      </left>
      <right style="medium">
        <color rgb="FF1F497D"/>
      </right>
      <top/>
      <bottom style="thin">
        <color theme="0" tint="-0.24994659260841701"/>
      </bottom>
      <diagonal/>
    </border>
    <border>
      <left/>
      <right style="medium">
        <color rgb="FF1F497D"/>
      </right>
      <top/>
      <bottom style="thin">
        <color theme="0" tint="-0.24994659260841701"/>
      </bottom>
      <diagonal/>
    </border>
    <border>
      <left style="medium">
        <color rgb="FF1F497D"/>
      </left>
      <right style="medium">
        <color rgb="FF1F497D"/>
      </right>
      <top style="thin">
        <color theme="0" tint="-0.24994659260841701"/>
      </top>
      <bottom/>
      <diagonal/>
    </border>
    <border>
      <left style="medium">
        <color rgb="FF1F497D"/>
      </left>
      <right/>
      <top style="medium">
        <color theme="3"/>
      </top>
      <bottom style="medium">
        <color theme="3"/>
      </bottom>
      <diagonal/>
    </border>
    <border>
      <left style="medium">
        <color rgb="FF1F497D"/>
      </left>
      <right/>
      <top style="medium">
        <color theme="3"/>
      </top>
      <bottom style="medium">
        <color rgb="FF1F497D"/>
      </bottom>
      <diagonal/>
    </border>
    <border>
      <left/>
      <right/>
      <top/>
      <bottom style="medium">
        <color theme="0" tint="-0.24994659260841701"/>
      </bottom>
      <diagonal/>
    </border>
    <border>
      <left/>
      <right/>
      <top style="medium">
        <color theme="0" tint="-0.24994659260841701"/>
      </top>
      <bottom/>
      <diagonal/>
    </border>
    <border>
      <left/>
      <right/>
      <top style="medium">
        <color theme="0" tint="-0.24994659260841701"/>
      </top>
      <bottom style="medium">
        <color theme="0" tint="-0.24994659260841701"/>
      </bottom>
      <diagonal/>
    </border>
    <border>
      <left style="medium">
        <color rgb="FF1F497D"/>
      </left>
      <right/>
      <top/>
      <bottom style="medium">
        <color theme="0" tint="-0.24994659260841701"/>
      </bottom>
      <diagonal/>
    </border>
    <border>
      <left style="medium">
        <color rgb="FF1F497D"/>
      </left>
      <right/>
      <top style="medium">
        <color theme="0" tint="-0.24994659260841701"/>
      </top>
      <bottom/>
      <diagonal/>
    </border>
    <border>
      <left style="medium">
        <color rgb="FF1F497D"/>
      </left>
      <right/>
      <top style="medium">
        <color theme="0" tint="-0.24994659260841701"/>
      </top>
      <bottom style="medium">
        <color theme="0" tint="-0.24994659260841701"/>
      </bottom>
      <diagonal/>
    </border>
    <border>
      <left/>
      <right style="medium">
        <color rgb="FF1F497D"/>
      </right>
      <top style="medium">
        <color theme="0" tint="-0.24994659260841701"/>
      </top>
      <bottom style="medium">
        <color theme="0" tint="-0.24994659260841701"/>
      </bottom>
      <diagonal/>
    </border>
    <border>
      <left style="medium">
        <color rgb="FF1F497D"/>
      </left>
      <right/>
      <top style="medium">
        <color theme="0" tint="-0.24994659260841701"/>
      </top>
      <bottom style="medium">
        <color rgb="FF1F497D"/>
      </bottom>
      <diagonal/>
    </border>
    <border>
      <left/>
      <right/>
      <top style="medium">
        <color theme="0" tint="-0.24994659260841701"/>
      </top>
      <bottom style="medium">
        <color rgb="FF1F497D"/>
      </bottom>
      <diagonal/>
    </border>
    <border>
      <left/>
      <right style="medium">
        <color rgb="FF1F497D"/>
      </right>
      <top style="medium">
        <color theme="0" tint="-0.24994659260841701"/>
      </top>
      <bottom style="medium">
        <color rgb="FF1F497D"/>
      </bottom>
      <diagonal/>
    </border>
    <border>
      <left style="medium">
        <color rgb="FF1F497D"/>
      </left>
      <right/>
      <top style="medium">
        <color rgb="FF1F497D"/>
      </top>
      <bottom style="medium">
        <color theme="0" tint="-0.24994659260841701"/>
      </bottom>
      <diagonal/>
    </border>
    <border>
      <left/>
      <right/>
      <top style="medium">
        <color rgb="FF1F497D"/>
      </top>
      <bottom style="medium">
        <color theme="0" tint="-0.24994659260841701"/>
      </bottom>
      <diagonal/>
    </border>
    <border>
      <left style="thin">
        <color rgb="FF1F497D"/>
      </left>
      <right/>
      <top style="thin">
        <color rgb="FF1F497D"/>
      </top>
      <bottom style="thin">
        <color rgb="FF1F497D"/>
      </bottom>
      <diagonal/>
    </border>
    <border>
      <left/>
      <right/>
      <top style="thin">
        <color rgb="FF1F497D"/>
      </top>
      <bottom style="thin">
        <color rgb="FF1F497D"/>
      </bottom>
      <diagonal/>
    </border>
    <border>
      <left/>
      <right style="thin">
        <color rgb="FF1F497D"/>
      </right>
      <top style="thin">
        <color rgb="FF1F497D"/>
      </top>
      <bottom style="thin">
        <color rgb="FF1F497D"/>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indexed="64"/>
      </top>
      <bottom/>
      <diagonal/>
    </border>
    <border>
      <left/>
      <right/>
      <top style="medium">
        <color rgb="FF000000"/>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n">
        <color rgb="FF000000"/>
      </left>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medium">
        <color rgb="FF000000"/>
      </left>
      <right/>
      <top/>
      <bottom style="thin">
        <color rgb="FF000000"/>
      </bottom>
      <diagonal/>
    </border>
    <border>
      <left style="thin">
        <color rgb="FF000000"/>
      </left>
      <right style="medium">
        <color rgb="FF000000"/>
      </right>
      <top/>
      <bottom style="thin">
        <color rgb="FF000000"/>
      </bottom>
      <diagonal/>
    </border>
    <border>
      <left style="medium">
        <color rgb="FF000000"/>
      </left>
      <right/>
      <top style="medium">
        <color rgb="FF000000"/>
      </top>
      <bottom style="medium">
        <color rgb="FF000000"/>
      </bottom>
      <diagonal/>
    </border>
    <border>
      <left/>
      <right/>
      <top/>
      <bottom style="medium">
        <color rgb="FF000000"/>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rgb="FF000000"/>
      </right>
      <top style="medium">
        <color rgb="FF000000"/>
      </top>
      <bottom/>
      <diagonal/>
    </border>
    <border>
      <left/>
      <right style="medium">
        <color rgb="FF000000"/>
      </right>
      <top/>
      <bottom style="medium">
        <color rgb="FF0000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medium">
        <color indexed="64"/>
      </top>
      <bottom/>
      <diagonal/>
    </border>
    <border>
      <left/>
      <right style="thin">
        <color indexed="64"/>
      </right>
      <top style="medium">
        <color rgb="FF000000"/>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style="thin">
        <color theme="0" tint="-0.24994659260841701"/>
      </left>
      <right/>
      <top/>
      <bottom/>
      <diagonal/>
    </border>
    <border>
      <left style="thin">
        <color theme="0" tint="-0.24994659260841701"/>
      </left>
      <right/>
      <top/>
      <bottom style="thin">
        <color theme="0" tint="-0.24994659260841701"/>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theme="0" tint="-0.24994659260841701"/>
      </left>
      <right style="thin">
        <color theme="0" tint="-0.249977111117893"/>
      </right>
      <top style="thin">
        <color theme="0" tint="-0.249977111117893"/>
      </top>
      <bottom style="thin">
        <color theme="0" tint="-0.249977111117893"/>
      </bottom>
      <diagonal/>
    </border>
    <border>
      <left style="thin">
        <color rgb="FF000000"/>
      </left>
      <right/>
      <top/>
      <bottom/>
      <diagonal/>
    </border>
    <border>
      <left style="thin">
        <color indexed="64"/>
      </left>
      <right style="medium">
        <color indexed="64"/>
      </right>
      <top/>
      <bottom style="thin">
        <color indexed="64"/>
      </bottom>
      <diagonal/>
    </border>
    <border>
      <left style="thin">
        <color rgb="FF000000"/>
      </left>
      <right style="medium">
        <color indexed="64"/>
      </right>
      <top/>
      <bottom style="thin">
        <color rgb="FF000000"/>
      </bottom>
      <diagonal/>
    </border>
    <border>
      <left style="medium">
        <color indexed="64"/>
      </left>
      <right style="thin">
        <color indexed="64"/>
      </right>
      <top style="thin">
        <color indexed="64"/>
      </top>
      <bottom/>
      <diagonal/>
    </border>
    <border>
      <left/>
      <right style="medium">
        <color indexed="64"/>
      </right>
      <top style="medium">
        <color indexed="64"/>
      </top>
      <bottom style="medium">
        <color indexed="64"/>
      </bottom>
      <diagonal/>
    </border>
    <border>
      <left style="thin">
        <color rgb="FF000000"/>
      </left>
      <right/>
      <top style="thin">
        <color rgb="FF000000"/>
      </top>
      <bottom/>
      <diagonal/>
    </border>
    <border>
      <left style="thin">
        <color rgb="FF000000"/>
      </left>
      <right/>
      <top style="thin">
        <color indexed="64"/>
      </top>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diagonal/>
    </border>
    <border>
      <left/>
      <right style="thin">
        <color rgb="FF000000"/>
      </right>
      <top/>
      <bottom style="thin">
        <color rgb="FF000000"/>
      </bottom>
      <diagonal/>
    </border>
    <border>
      <left/>
      <right style="thin">
        <color indexed="64"/>
      </right>
      <top style="medium">
        <color indexed="64"/>
      </top>
      <bottom style="thin">
        <color indexed="64"/>
      </bottom>
      <diagonal/>
    </border>
    <border>
      <left style="medium">
        <color theme="3"/>
      </left>
      <right/>
      <top style="medium">
        <color rgb="FF000000"/>
      </top>
      <bottom style="medium">
        <color rgb="FF000000"/>
      </bottom>
      <diagonal/>
    </border>
    <border>
      <left/>
      <right/>
      <top style="medium">
        <color rgb="FF000000"/>
      </top>
      <bottom/>
      <diagonal/>
    </border>
    <border>
      <left/>
      <right style="medium">
        <color theme="3"/>
      </right>
      <top style="medium">
        <color rgb="FF000000"/>
      </top>
      <bottom/>
      <diagonal/>
    </border>
    <border>
      <left style="medium">
        <color theme="3"/>
      </left>
      <right/>
      <top style="medium">
        <color rgb="FF000000"/>
      </top>
      <bottom/>
      <diagonal/>
    </border>
    <border>
      <left style="medium">
        <color rgb="FF000000"/>
      </left>
      <right style="thin">
        <color theme="0" tint="-0.24994659260841701"/>
      </right>
      <top/>
      <bottom style="medium">
        <color rgb="FF000000"/>
      </bottom>
      <diagonal/>
    </border>
    <border>
      <left style="thin">
        <color theme="0" tint="-0.24994659260841701"/>
      </left>
      <right style="thin">
        <color theme="0" tint="-0.24994659260841701"/>
      </right>
      <top/>
      <bottom style="medium">
        <color rgb="FF000000"/>
      </bottom>
      <diagonal/>
    </border>
    <border>
      <left style="thin">
        <color theme="0" tint="-0.24994659260841701"/>
      </left>
      <right style="medium">
        <color rgb="FF000000"/>
      </right>
      <top/>
      <bottom style="medium">
        <color rgb="FF000000"/>
      </bottom>
      <diagonal/>
    </border>
    <border>
      <left/>
      <right style="medium">
        <color theme="3"/>
      </right>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theme="0" tint="-0.24994659260841701"/>
      </right>
      <top/>
      <bottom/>
      <diagonal/>
    </border>
    <border>
      <left style="thin">
        <color theme="0" tint="-0.24994659260841701"/>
      </left>
      <right style="thin">
        <color theme="0" tint="-0.24994659260841701"/>
      </right>
      <top/>
      <bottom/>
      <diagonal/>
    </border>
    <border>
      <left style="thin">
        <color theme="0" tint="-0.24994659260841701"/>
      </left>
      <right style="medium">
        <color rgb="FF000000"/>
      </right>
      <top/>
      <bottom/>
      <diagonal/>
    </border>
    <border>
      <left style="medium">
        <color rgb="FF000000"/>
      </left>
      <right style="thin">
        <color theme="0" tint="-0.24994659260841701"/>
      </right>
      <top style="medium">
        <color rgb="FF000000"/>
      </top>
      <bottom/>
      <diagonal/>
    </border>
    <border>
      <left style="thin">
        <color theme="0" tint="-0.24994659260841701"/>
      </left>
      <right style="thin">
        <color theme="0" tint="-0.24994659260841701"/>
      </right>
      <top style="medium">
        <color rgb="FF000000"/>
      </top>
      <bottom/>
      <diagonal/>
    </border>
    <border>
      <left style="thin">
        <color theme="0" tint="-0.24994659260841701"/>
      </left>
      <right style="medium">
        <color rgb="FF000000"/>
      </right>
      <top style="medium">
        <color rgb="FF000000"/>
      </top>
      <bottom/>
      <diagonal/>
    </border>
    <border>
      <left style="medium">
        <color rgb="FF000000"/>
      </left>
      <right style="thin">
        <color theme="0" tint="-0.24994659260841701"/>
      </right>
      <top style="medium">
        <color rgb="FF000000"/>
      </top>
      <bottom style="medium">
        <color rgb="FF000000"/>
      </bottom>
      <diagonal/>
    </border>
    <border>
      <left style="thin">
        <color theme="0" tint="-0.24994659260841701"/>
      </left>
      <right style="thin">
        <color theme="0" tint="-0.24994659260841701"/>
      </right>
      <top style="medium">
        <color rgb="FF000000"/>
      </top>
      <bottom style="medium">
        <color rgb="FF000000"/>
      </bottom>
      <diagonal/>
    </border>
    <border>
      <left style="thin">
        <color theme="0" tint="-0.24994659260841701"/>
      </left>
      <right style="medium">
        <color rgb="FF000000"/>
      </right>
      <top style="medium">
        <color rgb="FF000000"/>
      </top>
      <bottom style="medium">
        <color rgb="FF000000"/>
      </bottom>
      <diagonal/>
    </border>
    <border>
      <left/>
      <right style="medium">
        <color rgb="FF1F497D"/>
      </right>
      <top/>
      <bottom style="medium">
        <color theme="0" tint="-0.24994659260841701"/>
      </bottom>
      <diagonal/>
    </border>
    <border>
      <left/>
      <right style="medium">
        <color rgb="FF1F497D"/>
      </right>
      <top style="medium">
        <color theme="0" tint="-0.24994659260841701"/>
      </top>
      <bottom/>
      <diagonal/>
    </border>
    <border>
      <left style="medium">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rgb="FF000000"/>
      </right>
      <top/>
      <bottom style="thin">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rgb="FF1F497D"/>
      </left>
      <right style="thin">
        <color rgb="FF1F497D"/>
      </right>
      <top style="medium">
        <color rgb="FF1F497D"/>
      </top>
      <bottom style="thin">
        <color rgb="FF1F497D"/>
      </bottom>
      <diagonal/>
    </border>
    <border>
      <left style="thin">
        <color rgb="FF1F497D"/>
      </left>
      <right style="thin">
        <color rgb="FF1F497D"/>
      </right>
      <top style="medium">
        <color rgb="FF1F497D"/>
      </top>
      <bottom style="thin">
        <color rgb="FF1F497D"/>
      </bottom>
      <diagonal/>
    </border>
    <border>
      <left style="thin">
        <color rgb="FF1F497D"/>
      </left>
      <right style="medium">
        <color rgb="FF1F497D"/>
      </right>
      <top style="medium">
        <color rgb="FF1F497D"/>
      </top>
      <bottom style="thin">
        <color rgb="FF1F497D"/>
      </bottom>
      <diagonal/>
    </border>
    <border>
      <left style="medium">
        <color rgb="FF1F497D"/>
      </left>
      <right style="thin">
        <color rgb="FF1F497D"/>
      </right>
      <top style="thin">
        <color rgb="FF1F497D"/>
      </top>
      <bottom style="thin">
        <color rgb="FF1F497D"/>
      </bottom>
      <diagonal/>
    </border>
    <border>
      <left style="thin">
        <color rgb="FF1F497D"/>
      </left>
      <right style="medium">
        <color rgb="FF1F497D"/>
      </right>
      <top style="thin">
        <color rgb="FF1F497D"/>
      </top>
      <bottom style="thin">
        <color rgb="FF1F497D"/>
      </bottom>
      <diagonal/>
    </border>
    <border>
      <left style="medium">
        <color rgb="FF1F497D"/>
      </left>
      <right style="thin">
        <color rgb="FF1F497D"/>
      </right>
      <top style="thin">
        <color rgb="FF1F497D"/>
      </top>
      <bottom style="medium">
        <color rgb="FF1F497D"/>
      </bottom>
      <diagonal/>
    </border>
    <border>
      <left style="thin">
        <color rgb="FF1F497D"/>
      </left>
      <right style="thin">
        <color rgb="FF1F497D"/>
      </right>
      <top style="thin">
        <color rgb="FF1F497D"/>
      </top>
      <bottom style="medium">
        <color rgb="FF1F497D"/>
      </bottom>
      <diagonal/>
    </border>
    <border>
      <left style="thin">
        <color rgb="FF1F497D"/>
      </left>
      <right style="medium">
        <color rgb="FF1F497D"/>
      </right>
      <top style="thin">
        <color rgb="FF1F497D"/>
      </top>
      <bottom style="medium">
        <color rgb="FF1F497D"/>
      </bottom>
      <diagonal/>
    </border>
    <border>
      <left style="medium">
        <color theme="3"/>
      </left>
      <right style="thin">
        <color theme="0" tint="-0.24994659260841701"/>
      </right>
      <top style="thin">
        <color theme="0" tint="-0.24994659260841701"/>
      </top>
      <bottom style="thin">
        <color theme="0" tint="-0.24994659260841701"/>
      </bottom>
      <diagonal/>
    </border>
    <border>
      <left style="medium">
        <color theme="3"/>
      </left>
      <right/>
      <top style="thin">
        <color theme="0" tint="-0.24994659260841701"/>
      </top>
      <bottom/>
      <diagonal/>
    </border>
    <border>
      <left style="medium">
        <color theme="3"/>
      </left>
      <right/>
      <top/>
      <bottom style="thin">
        <color theme="0" tint="-0.24994659260841701"/>
      </bottom>
      <diagonal/>
    </border>
    <border>
      <left style="medium">
        <color theme="3"/>
      </left>
      <right style="thin">
        <color indexed="64"/>
      </right>
      <top style="thin">
        <color indexed="64"/>
      </top>
      <bottom style="thin">
        <color indexed="64"/>
      </bottom>
      <diagonal/>
    </border>
    <border>
      <left style="medium">
        <color theme="3"/>
      </left>
      <right style="thin">
        <color indexed="64"/>
      </right>
      <top style="thin">
        <color indexed="64"/>
      </top>
      <bottom style="medium">
        <color theme="3"/>
      </bottom>
      <diagonal/>
    </border>
    <border>
      <left style="thin">
        <color indexed="64"/>
      </left>
      <right style="thin">
        <color indexed="64"/>
      </right>
      <top style="thin">
        <color indexed="64"/>
      </top>
      <bottom style="medium">
        <color theme="3"/>
      </bottom>
      <diagonal/>
    </border>
    <border>
      <left style="thin">
        <color indexed="64"/>
      </left>
      <right style="medium">
        <color rgb="FF1F497D"/>
      </right>
      <top style="thin">
        <color indexed="64"/>
      </top>
      <bottom style="medium">
        <color theme="3"/>
      </bottom>
      <diagonal/>
    </border>
    <border>
      <left/>
      <right style="thin">
        <color rgb="FF000000"/>
      </right>
      <top style="thin">
        <color rgb="FF000000"/>
      </top>
      <bottom style="thin">
        <color rgb="FF000000"/>
      </bottom>
      <diagonal/>
    </border>
    <border>
      <left style="medium">
        <color indexed="64"/>
      </left>
      <right/>
      <top style="thin">
        <color indexed="64"/>
      </top>
      <bottom style="thin">
        <color indexed="64"/>
      </bottom>
      <diagonal/>
    </border>
    <border>
      <left style="medium">
        <color theme="3"/>
      </left>
      <right/>
      <top style="medium">
        <color theme="3"/>
      </top>
      <bottom style="medium">
        <color theme="3"/>
      </bottom>
      <diagonal/>
    </border>
    <border>
      <left/>
      <right style="medium">
        <color theme="3"/>
      </right>
      <top style="medium">
        <color theme="3"/>
      </top>
      <bottom style="medium">
        <color theme="3"/>
      </bottom>
      <diagonal/>
    </border>
    <border>
      <left style="medium">
        <color rgb="FF1F497D"/>
      </left>
      <right/>
      <top style="thin">
        <color theme="0" tint="-0.24994659260841701"/>
      </top>
      <bottom/>
      <diagonal/>
    </border>
    <border>
      <left/>
      <right style="medium">
        <color rgb="FF1F497D"/>
      </right>
      <top style="thin">
        <color theme="0" tint="-0.24994659260841701"/>
      </top>
      <bottom/>
      <diagonal/>
    </border>
    <border>
      <left style="medium">
        <color rgb="FF000000"/>
      </left>
      <right style="thin">
        <color indexed="64"/>
      </right>
      <top style="medium">
        <color rgb="FF000000"/>
      </top>
      <bottom/>
      <diagonal/>
    </border>
    <border>
      <left style="medium">
        <color rgb="FF000000"/>
      </left>
      <right style="thin">
        <color indexed="64"/>
      </right>
      <top style="thin">
        <color indexed="64"/>
      </top>
      <bottom/>
      <diagonal/>
    </border>
    <border>
      <left style="thin">
        <color indexed="64"/>
      </left>
      <right style="medium">
        <color rgb="FF000000"/>
      </right>
      <top style="thin">
        <color indexed="64"/>
      </top>
      <bottom/>
      <diagonal/>
    </border>
    <border>
      <left style="medium">
        <color rgb="FF000000"/>
      </left>
      <right style="thin">
        <color indexed="64"/>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medium">
        <color rgb="FF000000"/>
      </left>
      <right style="thin">
        <color indexed="64"/>
      </right>
      <top/>
      <bottom style="thin">
        <color indexed="64"/>
      </bottom>
      <diagonal/>
    </border>
    <border>
      <left style="thin">
        <color indexed="64"/>
      </left>
      <right style="medium">
        <color rgb="FF000000"/>
      </right>
      <top/>
      <bottom style="thin">
        <color indexed="64"/>
      </bottom>
      <diagonal/>
    </border>
    <border>
      <left style="medium">
        <color rgb="FF000000"/>
      </left>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top style="thin">
        <color indexed="64"/>
      </top>
      <bottom style="medium">
        <color rgb="FF000000"/>
      </bottom>
      <diagonal/>
    </border>
    <border>
      <left style="medium">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right style="medium">
        <color rgb="FF000000"/>
      </right>
      <top/>
      <bottom style="thin">
        <color indexed="64"/>
      </bottom>
      <diagonal/>
    </border>
    <border>
      <left style="medium">
        <color rgb="FF000000"/>
      </left>
      <right style="thin">
        <color indexed="64"/>
      </right>
      <top/>
      <bottom style="medium">
        <color rgb="FF000000"/>
      </bottom>
      <diagonal/>
    </border>
    <border>
      <left/>
      <right style="thin">
        <color indexed="64"/>
      </right>
      <top style="thin">
        <color indexed="64"/>
      </top>
      <bottom style="medium">
        <color indexed="64"/>
      </bottom>
      <diagonal/>
    </border>
    <border>
      <left style="medium">
        <color rgb="FF000000"/>
      </left>
      <right style="thin">
        <color indexed="64"/>
      </right>
      <top style="medium">
        <color rgb="FF000000"/>
      </top>
      <bottom style="medium">
        <color rgb="FF000000"/>
      </bottom>
      <diagonal/>
    </border>
    <border>
      <left style="thin">
        <color theme="0" tint="-0.249977111117893"/>
      </left>
      <right style="thin">
        <color theme="0" tint="-0.249977111117893"/>
      </right>
      <top style="thin">
        <color theme="0" tint="-0.249977111117893"/>
      </top>
      <bottom/>
      <diagonal/>
    </border>
    <border>
      <left style="medium">
        <color rgb="FF1F497D"/>
      </left>
      <right style="thin">
        <color theme="0" tint="-0.249977111117893"/>
      </right>
      <top style="medium">
        <color rgb="FF1F497D"/>
      </top>
      <bottom style="thin">
        <color theme="0" tint="-0.249977111117893"/>
      </bottom>
      <diagonal/>
    </border>
    <border>
      <left style="thin">
        <color theme="0" tint="-0.249977111117893"/>
      </left>
      <right style="thin">
        <color theme="0" tint="-0.249977111117893"/>
      </right>
      <top style="medium">
        <color rgb="FF1F497D"/>
      </top>
      <bottom style="thin">
        <color theme="0" tint="-0.249977111117893"/>
      </bottom>
      <diagonal/>
    </border>
    <border>
      <left style="thin">
        <color theme="0" tint="-0.14999847407452621"/>
      </left>
      <right style="thin">
        <color theme="0" tint="-0.14999847407452621"/>
      </right>
      <top style="medium">
        <color rgb="FF1F497D"/>
      </top>
      <bottom/>
      <diagonal/>
    </border>
    <border>
      <left style="thin">
        <color theme="0" tint="-0.249977111117893"/>
      </left>
      <right/>
      <top style="medium">
        <color rgb="FF1F497D"/>
      </top>
      <bottom/>
      <diagonal/>
    </border>
    <border>
      <left/>
      <right style="thin">
        <color theme="0" tint="-0.249977111117893"/>
      </right>
      <top style="medium">
        <color rgb="FF1F497D"/>
      </top>
      <bottom/>
      <diagonal/>
    </border>
    <border>
      <left style="thin">
        <color theme="0" tint="-0.249977111117893"/>
      </left>
      <right style="thin">
        <color theme="0" tint="-0.249977111117893"/>
      </right>
      <top style="medium">
        <color rgb="FF1F497D"/>
      </top>
      <bottom/>
      <diagonal/>
    </border>
    <border>
      <left style="thin">
        <color theme="0" tint="-0.249977111117893"/>
      </left>
      <right style="medium">
        <color rgb="FF1F497D"/>
      </right>
      <top style="medium">
        <color rgb="FF1F497D"/>
      </top>
      <bottom/>
      <diagonal/>
    </border>
    <border>
      <left style="medium">
        <color rgb="FF1F497D"/>
      </left>
      <right style="thin">
        <color theme="0" tint="-0.249977111117893"/>
      </right>
      <top style="thin">
        <color theme="0" tint="-0.249977111117893"/>
      </top>
      <bottom style="thin">
        <color theme="0" tint="-0.249977111117893"/>
      </bottom>
      <diagonal/>
    </border>
    <border>
      <left style="thin">
        <color theme="0" tint="-0.249977111117893"/>
      </left>
      <right style="medium">
        <color rgb="FF1F497D"/>
      </right>
      <top style="thin">
        <color theme="0" tint="-0.249977111117893"/>
      </top>
      <bottom style="thin">
        <color theme="0" tint="-0.249977111117893"/>
      </bottom>
      <diagonal/>
    </border>
    <border>
      <left/>
      <right style="medium">
        <color rgb="FF1F497D"/>
      </right>
      <top style="thin">
        <color theme="0" tint="-0.249977111117893"/>
      </top>
      <bottom style="thin">
        <color theme="0" tint="-0.249977111117893"/>
      </bottom>
      <diagonal/>
    </border>
    <border>
      <left/>
      <right style="medium">
        <color rgb="FF1F497D"/>
      </right>
      <top/>
      <bottom style="thin">
        <color theme="0" tint="-0.249977111117893"/>
      </bottom>
      <diagonal/>
    </border>
    <border>
      <left style="medium">
        <color rgb="FF1F497D"/>
      </left>
      <right/>
      <top style="medium">
        <color rgb="FF1F497D"/>
      </top>
      <bottom style="thin">
        <color theme="0" tint="-0.499984740745262"/>
      </bottom>
      <diagonal/>
    </border>
    <border>
      <left/>
      <right/>
      <top style="medium">
        <color rgb="FF1F497D"/>
      </top>
      <bottom style="thin">
        <color theme="0" tint="-0.499984740745262"/>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diagonal/>
    </border>
    <border>
      <left/>
      <right style="thin">
        <color theme="0" tint="-0.249977111117893"/>
      </right>
      <top style="thin">
        <color theme="0" tint="-0.249977111117893"/>
      </top>
      <bottom/>
      <diagonal/>
    </border>
    <border>
      <left/>
      <right style="thin">
        <color theme="0" tint="-0.249977111117893"/>
      </right>
      <top/>
      <bottom/>
      <diagonal/>
    </border>
    <border>
      <left style="thin">
        <color theme="0" tint="-0.249977111117893"/>
      </left>
      <right style="thin">
        <color theme="0" tint="-0.249977111117893"/>
      </right>
      <top/>
      <bottom/>
      <diagonal/>
    </border>
    <border>
      <left/>
      <right style="medium">
        <color rgb="FF1F497D"/>
      </right>
      <top style="medium">
        <color theme="3"/>
      </top>
      <bottom style="medium">
        <color theme="3"/>
      </bottom>
      <diagonal/>
    </border>
    <border>
      <left style="medium">
        <color theme="3"/>
      </left>
      <right/>
      <top style="medium">
        <color rgb="FF1F497D"/>
      </top>
      <bottom style="thin">
        <color theme="0" tint="-0.24994659260841701"/>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1F497D"/>
      </left>
      <right/>
      <top style="medium">
        <color rgb="FF1F497D"/>
      </top>
      <bottom style="thin">
        <color rgb="FF808080"/>
      </bottom>
      <diagonal/>
    </border>
    <border>
      <left/>
      <right/>
      <top style="medium">
        <color rgb="FF1F497D"/>
      </top>
      <bottom style="thin">
        <color rgb="FF808080"/>
      </bottom>
      <diagonal/>
    </border>
    <border>
      <left/>
      <right style="medium">
        <color rgb="FF1F497D"/>
      </right>
      <top style="medium">
        <color rgb="FF1F497D"/>
      </top>
      <bottom style="thin">
        <color rgb="FF808080"/>
      </bottom>
      <diagonal/>
    </border>
    <border>
      <left style="medium">
        <color rgb="FF1F497D"/>
      </left>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right style="thin">
        <color rgb="FF808080"/>
      </right>
      <top style="thin">
        <color rgb="FF808080"/>
      </top>
      <bottom style="thin">
        <color rgb="FF808080"/>
      </bottom>
      <diagonal/>
    </border>
    <border>
      <left/>
      <right style="medium">
        <color rgb="FF1F497D"/>
      </right>
      <top style="thin">
        <color rgb="FF808080"/>
      </top>
      <bottom style="thin">
        <color rgb="FF808080"/>
      </bottom>
      <diagonal/>
    </border>
    <border>
      <left/>
      <right style="thin">
        <color rgb="FF808080"/>
      </right>
      <top/>
      <bottom style="thin">
        <color rgb="FF808080"/>
      </bottom>
      <diagonal/>
    </border>
    <border>
      <left/>
      <right style="medium">
        <color rgb="FF1F497D"/>
      </right>
      <top/>
      <bottom style="thin">
        <color rgb="FF808080"/>
      </bottom>
      <diagonal/>
    </border>
    <border>
      <left style="thin">
        <color rgb="FF808080"/>
      </left>
      <right style="thin">
        <color rgb="FF808080"/>
      </right>
      <top/>
      <bottom/>
      <diagonal/>
    </border>
    <border>
      <left/>
      <right style="thin">
        <color rgb="FF808080"/>
      </right>
      <top/>
      <bottom/>
      <diagonal/>
    </border>
    <border>
      <left/>
      <right style="thin">
        <color rgb="FF808080"/>
      </right>
      <top/>
      <bottom style="medium">
        <color rgb="FF1F497D"/>
      </bottom>
      <diagonal/>
    </border>
    <border>
      <left style="medium">
        <color rgb="FF1F497D"/>
      </left>
      <right/>
      <top/>
      <bottom style="thin">
        <color rgb="FF808080"/>
      </bottom>
      <diagonal/>
    </border>
    <border>
      <left/>
      <right style="thin">
        <color rgb="FF808080"/>
      </right>
      <top/>
      <bottom style="thin">
        <color indexed="64"/>
      </bottom>
      <diagonal/>
    </border>
    <border>
      <left style="medium">
        <color indexed="64"/>
      </left>
      <right/>
      <top style="medium">
        <color indexed="64"/>
      </top>
      <bottom style="thin">
        <color rgb="FF808080"/>
      </bottom>
      <diagonal/>
    </border>
    <border>
      <left/>
      <right/>
      <top style="medium">
        <color indexed="64"/>
      </top>
      <bottom style="thin">
        <color rgb="FF808080"/>
      </bottom>
      <diagonal/>
    </border>
    <border>
      <left/>
      <right style="medium">
        <color rgb="FF000000"/>
      </right>
      <top style="medium">
        <color indexed="64"/>
      </top>
      <bottom style="thin">
        <color rgb="FF808080"/>
      </bottom>
      <diagonal/>
    </border>
    <border>
      <left style="thin">
        <color rgb="FF808080"/>
      </left>
      <right style="thin">
        <color rgb="FF808080"/>
      </right>
      <top style="thin">
        <color rgb="FF808080"/>
      </top>
      <bottom/>
      <diagonal/>
    </border>
    <border>
      <left/>
      <right style="thin">
        <color rgb="FF808080"/>
      </right>
      <top style="thin">
        <color rgb="FF808080"/>
      </top>
      <bottom/>
      <diagonal/>
    </border>
    <border>
      <left style="medium">
        <color indexed="64"/>
      </left>
      <right/>
      <top style="thin">
        <color rgb="FF808080"/>
      </top>
      <bottom/>
      <diagonal/>
    </border>
    <border>
      <left/>
      <right/>
      <top style="thin">
        <color rgb="FF808080"/>
      </top>
      <bottom/>
      <diagonal/>
    </border>
    <border>
      <left/>
      <right style="medium">
        <color rgb="FF000000"/>
      </right>
      <top style="thin">
        <color rgb="FF808080"/>
      </top>
      <bottom/>
      <diagonal/>
    </border>
    <border>
      <left style="medium">
        <color indexed="64"/>
      </left>
      <right/>
      <top/>
      <bottom style="medium">
        <color indexed="64"/>
      </bottom>
      <diagonal/>
    </border>
    <border>
      <left/>
      <right style="medium">
        <color rgb="FF000000"/>
      </right>
      <top/>
      <bottom style="medium">
        <color indexed="64"/>
      </bottom>
      <diagonal/>
    </border>
    <border>
      <left style="thin">
        <color rgb="FF808080"/>
      </left>
      <right style="thin">
        <color rgb="FF808080"/>
      </right>
      <top/>
      <bottom style="thin">
        <color indexed="64"/>
      </bottom>
      <diagonal/>
    </border>
    <border>
      <left style="thin">
        <color rgb="FF808080"/>
      </left>
      <right style="thin">
        <color rgb="FF808080"/>
      </right>
      <top/>
      <bottom style="medium">
        <color rgb="FF1F497D"/>
      </bottom>
      <diagonal/>
    </border>
  </borders>
  <cellStyleXfs count="30">
    <xf numFmtId="0" fontId="0" fillId="0" borderId="0"/>
    <xf numFmtId="0" fontId="15" fillId="2" borderId="1" applyNumberFormat="0" applyProtection="0">
      <alignment horizontal="left" vertical="center" readingOrder="1"/>
    </xf>
    <xf numFmtId="0" fontId="16" fillId="2" borderId="2">
      <alignment horizontal="left"/>
    </xf>
    <xf numFmtId="0" fontId="16" fillId="2" borderId="3">
      <alignment horizontal="left"/>
    </xf>
    <xf numFmtId="0" fontId="17" fillId="3" borderId="6"/>
    <xf numFmtId="0" fontId="18" fillId="3" borderId="6"/>
    <xf numFmtId="0" fontId="10" fillId="0" borderId="0" applyNumberFormat="0" applyFill="0" applyBorder="0" applyAlignment="0" applyProtection="0">
      <alignment vertical="top"/>
      <protection locked="0"/>
    </xf>
    <xf numFmtId="164" fontId="20" fillId="0" borderId="0" applyFont="0" applyFill="0" applyBorder="0" applyAlignment="0" applyProtection="0"/>
    <xf numFmtId="164" fontId="11" fillId="0" borderId="0" applyFont="0" applyFill="0" applyBorder="0" applyAlignment="0" applyProtection="0"/>
    <xf numFmtId="0" fontId="22" fillId="0" borderId="0"/>
    <xf numFmtId="0" fontId="11" fillId="0" borderId="0"/>
    <xf numFmtId="9" fontId="8" fillId="0" borderId="0" applyFont="0" applyFill="0" applyBorder="0" applyAlignment="0" applyProtection="0"/>
    <xf numFmtId="9" fontId="20" fillId="0" borderId="0" applyFont="0" applyFill="0" applyBorder="0" applyAlignment="0" applyProtection="0"/>
    <xf numFmtId="9" fontId="11" fillId="0" borderId="0" applyFont="0" applyFill="0" applyBorder="0" applyAlignment="0" applyProtection="0"/>
    <xf numFmtId="9" fontId="22" fillId="0" borderId="0" applyFont="0" applyFill="0" applyBorder="0" applyAlignment="0" applyProtection="0"/>
    <xf numFmtId="0" fontId="7" fillId="0" borderId="0"/>
    <xf numFmtId="0" fontId="7" fillId="0" borderId="0"/>
    <xf numFmtId="9"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6" fillId="0" borderId="0"/>
    <xf numFmtId="9" fontId="6" fillId="0" borderId="0" applyFont="0" applyFill="0" applyBorder="0" applyAlignment="0" applyProtection="0"/>
    <xf numFmtId="0" fontId="5" fillId="0" borderId="0"/>
    <xf numFmtId="0" fontId="4" fillId="0" borderId="0"/>
    <xf numFmtId="9" fontId="4" fillId="0" borderId="0" applyFont="0" applyFill="0" applyBorder="0" applyAlignment="0" applyProtection="0"/>
    <xf numFmtId="9" fontId="3" fillId="0" borderId="0" applyFont="0" applyFill="0" applyBorder="0" applyAlignment="0" applyProtection="0"/>
    <xf numFmtId="0" fontId="2" fillId="0" borderId="0"/>
    <xf numFmtId="43" fontId="74" fillId="0" borderId="0" applyFont="0" applyFill="0" applyBorder="0" applyAlignment="0" applyProtection="0"/>
  </cellStyleXfs>
  <cellXfs count="1102">
    <xf numFmtId="0" fontId="0" fillId="0" borderId="0" xfId="0"/>
    <xf numFmtId="9" fontId="0" fillId="0" borderId="0" xfId="11" applyFont="1" applyAlignment="1">
      <alignment horizontal="center"/>
    </xf>
    <xf numFmtId="0" fontId="0" fillId="0" borderId="0" xfId="0" applyAlignment="1">
      <alignment horizontal="center"/>
    </xf>
    <xf numFmtId="166" fontId="0" fillId="0" borderId="0" xfId="0" applyNumberFormat="1"/>
    <xf numFmtId="10" fontId="0" fillId="0" borderId="0" xfId="0" applyNumberFormat="1" applyAlignment="1">
      <alignment horizontal="center"/>
    </xf>
    <xf numFmtId="167" fontId="0" fillId="0" borderId="0" xfId="0" applyNumberFormat="1" applyAlignment="1">
      <alignment horizontal="center"/>
    </xf>
    <xf numFmtId="0" fontId="12" fillId="0" borderId="0" xfId="0" applyFont="1" applyAlignment="1">
      <alignment horizontal="center"/>
    </xf>
    <xf numFmtId="0" fontId="24" fillId="0" borderId="0" xfId="0" applyFont="1"/>
    <xf numFmtId="0" fontId="14" fillId="0" borderId="12" xfId="0" applyFont="1" applyBorder="1"/>
    <xf numFmtId="0" fontId="21" fillId="0" borderId="0" xfId="0" applyFont="1"/>
    <xf numFmtId="0" fontId="8" fillId="0" borderId="0" xfId="0" applyFont="1"/>
    <xf numFmtId="0" fontId="8" fillId="0" borderId="12" xfId="0" applyFont="1" applyBorder="1"/>
    <xf numFmtId="0" fontId="8" fillId="0" borderId="12" xfId="0" applyFont="1" applyBorder="1" applyAlignment="1">
      <alignment horizontal="left"/>
    </xf>
    <xf numFmtId="0" fontId="12" fillId="0" borderId="0" xfId="0" applyFont="1"/>
    <xf numFmtId="166" fontId="12" fillId="0" borderId="0" xfId="0" applyNumberFormat="1" applyFont="1" applyAlignment="1">
      <alignment horizontal="center"/>
    </xf>
    <xf numFmtId="9" fontId="12" fillId="0" borderId="0" xfId="11" applyFont="1"/>
    <xf numFmtId="9" fontId="8" fillId="6" borderId="12" xfId="11" applyFont="1" applyFill="1" applyBorder="1" applyAlignment="1">
      <alignment horizontal="center"/>
    </xf>
    <xf numFmtId="10" fontId="8" fillId="6" borderId="12" xfId="0" applyNumberFormat="1" applyFont="1" applyFill="1" applyBorder="1" applyAlignment="1">
      <alignment horizontal="center"/>
    </xf>
    <xf numFmtId="0" fontId="24" fillId="6" borderId="0" xfId="0" applyFont="1" applyFill="1"/>
    <xf numFmtId="0" fontId="31" fillId="0" borderId="0" xfId="0" applyFont="1"/>
    <xf numFmtId="0" fontId="24" fillId="6" borderId="0" xfId="0" applyFont="1" applyFill="1" applyAlignment="1">
      <alignment horizontal="center"/>
    </xf>
    <xf numFmtId="0" fontId="33" fillId="0" borderId="0" xfId="0" applyFont="1"/>
    <xf numFmtId="0" fontId="33" fillId="10" borderId="0" xfId="0" applyFont="1" applyFill="1"/>
    <xf numFmtId="3" fontId="33" fillId="0" borderId="0" xfId="0" applyNumberFormat="1" applyFont="1" applyAlignment="1">
      <alignment horizontal="center"/>
    </xf>
    <xf numFmtId="0" fontId="33" fillId="0" borderId="0" xfId="0" applyFont="1" applyAlignment="1">
      <alignment horizontal="left"/>
    </xf>
    <xf numFmtId="0" fontId="33" fillId="17" borderId="0" xfId="0" applyFont="1" applyFill="1"/>
    <xf numFmtId="3" fontId="33" fillId="17" borderId="0" xfId="0" applyNumberFormat="1" applyFont="1" applyFill="1" applyAlignment="1">
      <alignment horizontal="center"/>
    </xf>
    <xf numFmtId="0" fontId="0" fillId="10" borderId="0" xfId="0" applyFill="1"/>
    <xf numFmtId="3" fontId="33" fillId="0" borderId="0" xfId="0" applyNumberFormat="1" applyFont="1"/>
    <xf numFmtId="3" fontId="34" fillId="17" borderId="0" xfId="0" applyNumberFormat="1" applyFont="1" applyFill="1" applyAlignment="1">
      <alignment horizontal="center"/>
    </xf>
    <xf numFmtId="3" fontId="33" fillId="10" borderId="0" xfId="0" applyNumberFormat="1" applyFont="1" applyFill="1" applyAlignment="1">
      <alignment horizontal="center"/>
    </xf>
    <xf numFmtId="3" fontId="34" fillId="10" borderId="0" xfId="0" applyNumberFormat="1" applyFont="1" applyFill="1" applyAlignment="1">
      <alignment horizontal="center"/>
    </xf>
    <xf numFmtId="0" fontId="18" fillId="3" borderId="6" xfId="5"/>
    <xf numFmtId="0" fontId="0" fillId="18" borderId="0" xfId="0" applyFill="1"/>
    <xf numFmtId="3" fontId="21" fillId="0" borderId="0" xfId="0" applyNumberFormat="1" applyFont="1" applyAlignment="1">
      <alignment horizontal="center"/>
    </xf>
    <xf numFmtId="3" fontId="21" fillId="0" borderId="0" xfId="0" applyNumberFormat="1" applyFont="1"/>
    <xf numFmtId="0" fontId="0" fillId="19" borderId="0" xfId="0" applyFill="1"/>
    <xf numFmtId="3" fontId="21" fillId="17" borderId="0" xfId="0" applyNumberFormat="1" applyFont="1" applyFill="1" applyAlignment="1">
      <alignment horizontal="center"/>
    </xf>
    <xf numFmtId="0" fontId="21" fillId="17" borderId="0" xfId="0" applyFont="1" applyFill="1"/>
    <xf numFmtId="0" fontId="0" fillId="20" borderId="0" xfId="0" applyFill="1"/>
    <xf numFmtId="169" fontId="33" fillId="0" borderId="0" xfId="0" applyNumberFormat="1" applyFont="1" applyAlignment="1">
      <alignment horizontal="center"/>
    </xf>
    <xf numFmtId="9" fontId="0" fillId="6" borderId="12" xfId="11" applyFont="1" applyFill="1" applyBorder="1" applyAlignment="1">
      <alignment horizontal="center"/>
    </xf>
    <xf numFmtId="0" fontId="36" fillId="0" borderId="0" xfId="0" applyFont="1"/>
    <xf numFmtId="0" fontId="37" fillId="0" borderId="0" xfId="0" applyFont="1"/>
    <xf numFmtId="0" fontId="38" fillId="0" borderId="0" xfId="0" applyFont="1" applyAlignment="1">
      <alignment horizontal="center"/>
    </xf>
    <xf numFmtId="168" fontId="37" fillId="0" borderId="0" xfId="0" applyNumberFormat="1" applyFont="1" applyAlignment="1">
      <alignment horizontal="center"/>
    </xf>
    <xf numFmtId="0" fontId="39" fillId="0" borderId="0" xfId="0" applyFont="1"/>
    <xf numFmtId="0" fontId="40" fillId="0" borderId="0" xfId="0" applyFont="1"/>
    <xf numFmtId="0" fontId="0" fillId="0" borderId="10" xfId="0" applyBorder="1"/>
    <xf numFmtId="0" fontId="21" fillId="0" borderId="0" xfId="0" applyFont="1" applyAlignment="1">
      <alignment horizontal="center"/>
    </xf>
    <xf numFmtId="0" fontId="37" fillId="0" borderId="0" xfId="0" applyFont="1" applyAlignment="1">
      <alignment horizontal="center"/>
    </xf>
    <xf numFmtId="166" fontId="8" fillId="22" borderId="12" xfId="0" applyNumberFormat="1" applyFont="1" applyFill="1" applyBorder="1" applyAlignment="1">
      <alignment horizontal="center"/>
    </xf>
    <xf numFmtId="3" fontId="36" fillId="0" borderId="0" xfId="0" applyNumberFormat="1" applyFont="1"/>
    <xf numFmtId="0" fontId="38" fillId="15" borderId="0" xfId="0" applyFont="1" applyFill="1" applyAlignment="1">
      <alignment horizontal="center"/>
    </xf>
    <xf numFmtId="3" fontId="0" fillId="23" borderId="1" xfId="0" applyNumberFormat="1" applyFill="1" applyBorder="1" applyAlignment="1">
      <alignment horizontal="center"/>
    </xf>
    <xf numFmtId="3" fontId="0" fillId="23" borderId="32" xfId="0" applyNumberFormat="1" applyFill="1" applyBorder="1" applyAlignment="1">
      <alignment horizontal="center"/>
    </xf>
    <xf numFmtId="167" fontId="12" fillId="24" borderId="1" xfId="11" applyNumberFormat="1" applyFont="1" applyFill="1" applyBorder="1" applyAlignment="1">
      <alignment horizontal="center"/>
    </xf>
    <xf numFmtId="167" fontId="12" fillId="24" borderId="32" xfId="11" applyNumberFormat="1" applyFont="1" applyFill="1" applyBorder="1" applyAlignment="1">
      <alignment horizontal="center"/>
    </xf>
    <xf numFmtId="3" fontId="0" fillId="23" borderId="1" xfId="11" applyNumberFormat="1" applyFont="1" applyFill="1" applyBorder="1" applyAlignment="1">
      <alignment horizontal="center"/>
    </xf>
    <xf numFmtId="3" fontId="0" fillId="23" borderId="32" xfId="11" applyNumberFormat="1" applyFont="1" applyFill="1" applyBorder="1" applyAlignment="1">
      <alignment horizontal="center"/>
    </xf>
    <xf numFmtId="3" fontId="12" fillId="25" borderId="1" xfId="11" applyNumberFormat="1" applyFont="1" applyFill="1" applyBorder="1" applyAlignment="1">
      <alignment horizontal="center"/>
    </xf>
    <xf numFmtId="3" fontId="0" fillId="0" borderId="0" xfId="0" applyNumberFormat="1" applyAlignment="1">
      <alignment horizontal="center"/>
    </xf>
    <xf numFmtId="168" fontId="0" fillId="0" borderId="0" xfId="0" applyNumberFormat="1" applyAlignment="1">
      <alignment horizontal="center"/>
    </xf>
    <xf numFmtId="169" fontId="33" fillId="17" borderId="0" xfId="0" applyNumberFormat="1" applyFont="1" applyFill="1" applyAlignment="1">
      <alignment horizontal="center"/>
    </xf>
    <xf numFmtId="0" fontId="33" fillId="17" borderId="0" xfId="0" applyFont="1" applyFill="1" applyAlignment="1">
      <alignment horizontal="center"/>
    </xf>
    <xf numFmtId="167" fontId="33" fillId="17" borderId="0" xfId="0" applyNumberFormat="1" applyFont="1" applyFill="1" applyAlignment="1">
      <alignment horizontal="center"/>
    </xf>
    <xf numFmtId="9" fontId="33" fillId="0" borderId="0" xfId="11" applyFont="1" applyFill="1" applyAlignment="1">
      <alignment horizontal="center"/>
    </xf>
    <xf numFmtId="167" fontId="33" fillId="0" borderId="0" xfId="11" applyNumberFormat="1" applyFont="1" applyFill="1" applyAlignment="1">
      <alignment horizontal="center"/>
    </xf>
    <xf numFmtId="9" fontId="33" fillId="0" borderId="0" xfId="17" applyFont="1" applyFill="1" applyAlignment="1">
      <alignment horizontal="center"/>
    </xf>
    <xf numFmtId="171" fontId="8" fillId="22" borderId="12" xfId="0" applyNumberFormat="1" applyFont="1" applyFill="1" applyBorder="1" applyAlignment="1">
      <alignment horizontal="center"/>
    </xf>
    <xf numFmtId="167" fontId="31" fillId="22" borderId="12" xfId="11" applyNumberFormat="1" applyFont="1" applyFill="1" applyBorder="1" applyAlignment="1">
      <alignment horizontal="center"/>
    </xf>
    <xf numFmtId="0" fontId="12" fillId="0" borderId="25" xfId="0" applyFont="1" applyBorder="1"/>
    <xf numFmtId="0" fontId="16" fillId="4" borderId="7" xfId="3" applyFill="1" applyBorder="1" applyAlignment="1"/>
    <xf numFmtId="0" fontId="27" fillId="3" borderId="9" xfId="5" applyFont="1" applyBorder="1"/>
    <xf numFmtId="0" fontId="27" fillId="3" borderId="11" xfId="5" applyFont="1" applyBorder="1"/>
    <xf numFmtId="0" fontId="27" fillId="0" borderId="9" xfId="5" applyFont="1" applyFill="1" applyBorder="1"/>
    <xf numFmtId="0" fontId="26" fillId="0" borderId="8" xfId="4" applyFont="1" applyFill="1" applyBorder="1"/>
    <xf numFmtId="0" fontId="18" fillId="3" borderId="11" xfId="5" applyBorder="1"/>
    <xf numFmtId="0" fontId="18" fillId="3" borderId="9" xfId="5" applyBorder="1"/>
    <xf numFmtId="0" fontId="12" fillId="0" borderId="20" xfId="0" applyFont="1" applyBorder="1"/>
    <xf numFmtId="0" fontId="12" fillId="0" borderId="26" xfId="0" applyFont="1" applyBorder="1"/>
    <xf numFmtId="0" fontId="0" fillId="0" borderId="4" xfId="0" applyBorder="1"/>
    <xf numFmtId="0" fontId="0" fillId="0" borderId="6" xfId="0" applyBorder="1"/>
    <xf numFmtId="0" fontId="0" fillId="0" borderId="24" xfId="0" applyBorder="1"/>
    <xf numFmtId="0" fontId="0" fillId="0" borderId="2" xfId="0" applyBorder="1"/>
    <xf numFmtId="0" fontId="0" fillId="0" borderId="25" xfId="0" applyBorder="1"/>
    <xf numFmtId="0" fontId="0" fillId="0" borderId="20" xfId="0" applyBorder="1"/>
    <xf numFmtId="0" fontId="0" fillId="0" borderId="26" xfId="0" applyBorder="1"/>
    <xf numFmtId="0" fontId="12" fillId="0" borderId="31" xfId="0" applyFont="1" applyBorder="1"/>
    <xf numFmtId="0" fontId="12" fillId="0" borderId="1" xfId="0" applyFont="1" applyBorder="1"/>
    <xf numFmtId="0" fontId="12" fillId="0" borderId="32" xfId="0" applyFont="1" applyBorder="1"/>
    <xf numFmtId="0" fontId="0" fillId="6" borderId="0" xfId="0" applyFill="1"/>
    <xf numFmtId="0" fontId="33" fillId="17" borderId="0" xfId="0" applyFont="1" applyFill="1" applyAlignment="1">
      <alignment horizontal="left" indent="1"/>
    </xf>
    <xf numFmtId="169" fontId="33" fillId="17" borderId="0" xfId="0" applyNumberFormat="1" applyFont="1" applyFill="1" applyAlignment="1">
      <alignment horizontal="left" indent="1"/>
    </xf>
    <xf numFmtId="0" fontId="33" fillId="27" borderId="0" xfId="0" applyFont="1" applyFill="1" applyAlignment="1">
      <alignment horizontal="left" indent="1"/>
    </xf>
    <xf numFmtId="0" fontId="21" fillId="0" borderId="0" xfId="0" applyFont="1" applyAlignment="1">
      <alignment horizontal="left"/>
    </xf>
    <xf numFmtId="0" fontId="25" fillId="29" borderId="18" xfId="0" applyFont="1" applyFill="1" applyBorder="1" applyAlignment="1">
      <alignment horizontal="center"/>
    </xf>
    <xf numFmtId="0" fontId="25" fillId="29" borderId="15" xfId="0" applyFont="1" applyFill="1" applyBorder="1" applyAlignment="1">
      <alignment horizontal="center"/>
    </xf>
    <xf numFmtId="0" fontId="12" fillId="0" borderId="39" xfId="0" applyFont="1" applyBorder="1" applyAlignment="1">
      <alignment horizontal="center"/>
    </xf>
    <xf numFmtId="0" fontId="25" fillId="29" borderId="12" xfId="0" applyFont="1" applyFill="1" applyBorder="1" applyAlignment="1">
      <alignment horizontal="center" vertical="center" wrapText="1"/>
    </xf>
    <xf numFmtId="0" fontId="25" fillId="29" borderId="39" xfId="0" applyFont="1" applyFill="1" applyBorder="1" applyAlignment="1">
      <alignment horizontal="center"/>
    </xf>
    <xf numFmtId="3" fontId="8" fillId="0" borderId="0" xfId="0" applyNumberFormat="1" applyFont="1"/>
    <xf numFmtId="0" fontId="8" fillId="15" borderId="31" xfId="0" applyFont="1" applyFill="1" applyBorder="1"/>
    <xf numFmtId="0" fontId="8" fillId="0" borderId="31" xfId="0" applyFont="1" applyBorder="1" applyAlignment="1">
      <alignment horizontal="left" indent="1"/>
    </xf>
    <xf numFmtId="0" fontId="8" fillId="0" borderId="31" xfId="0" applyFont="1" applyBorder="1" applyAlignment="1">
      <alignment horizontal="left"/>
    </xf>
    <xf numFmtId="0" fontId="8" fillId="15" borderId="31" xfId="0" applyFont="1" applyFill="1" applyBorder="1" applyAlignment="1">
      <alignment horizontal="left" indent="1"/>
    </xf>
    <xf numFmtId="0" fontId="12" fillId="0" borderId="31" xfId="0" applyFont="1" applyBorder="1" applyAlignment="1">
      <alignment horizontal="left"/>
    </xf>
    <xf numFmtId="0" fontId="12" fillId="15" borderId="31" xfId="0" applyFont="1" applyFill="1" applyBorder="1"/>
    <xf numFmtId="0" fontId="8" fillId="0" borderId="31" xfId="0" applyFont="1" applyBorder="1"/>
    <xf numFmtId="172" fontId="8" fillId="22" borderId="12" xfId="0" applyNumberFormat="1" applyFont="1" applyFill="1" applyBorder="1" applyAlignment="1">
      <alignment horizontal="center"/>
    </xf>
    <xf numFmtId="9" fontId="8" fillId="22" borderId="12" xfId="11" applyFont="1" applyFill="1" applyBorder="1" applyAlignment="1">
      <alignment horizontal="center"/>
    </xf>
    <xf numFmtId="166" fontId="8" fillId="5" borderId="12" xfId="0" applyNumberFormat="1" applyFont="1" applyFill="1" applyBorder="1" applyAlignment="1">
      <alignment horizontal="center"/>
    </xf>
    <xf numFmtId="4" fontId="8" fillId="5" borderId="12" xfId="0" applyNumberFormat="1" applyFont="1" applyFill="1" applyBorder="1" applyAlignment="1">
      <alignment horizontal="center"/>
    </xf>
    <xf numFmtId="9" fontId="31" fillId="5" borderId="39" xfId="11" applyFont="1" applyFill="1" applyBorder="1" applyAlignment="1">
      <alignment horizontal="center"/>
    </xf>
    <xf numFmtId="0" fontId="8" fillId="5" borderId="12" xfId="0" applyFont="1" applyFill="1" applyBorder="1"/>
    <xf numFmtId="9" fontId="8" fillId="5" borderId="12" xfId="11" applyFont="1" applyFill="1" applyBorder="1" applyAlignment="1">
      <alignment horizontal="center"/>
    </xf>
    <xf numFmtId="167" fontId="8" fillId="5" borderId="12" xfId="11" applyNumberFormat="1" applyFont="1" applyFill="1" applyBorder="1" applyAlignment="1">
      <alignment horizontal="center"/>
    </xf>
    <xf numFmtId="9" fontId="8" fillId="5" borderId="12" xfId="11" applyFont="1" applyFill="1" applyBorder="1"/>
    <xf numFmtId="0" fontId="46" fillId="29" borderId="39" xfId="0" applyFont="1" applyFill="1" applyBorder="1" applyAlignment="1">
      <alignment horizontal="center"/>
    </xf>
    <xf numFmtId="0" fontId="47" fillId="29" borderId="39" xfId="0" applyFont="1" applyFill="1" applyBorder="1" applyAlignment="1">
      <alignment horizontal="center"/>
    </xf>
    <xf numFmtId="0" fontId="12" fillId="12" borderId="10" xfId="0" applyFont="1" applyFill="1" applyBorder="1" applyAlignment="1">
      <alignment horizontal="center"/>
    </xf>
    <xf numFmtId="0" fontId="0" fillId="0" borderId="37" xfId="0" applyBorder="1"/>
    <xf numFmtId="0" fontId="0" fillId="0" borderId="52" xfId="0" applyBorder="1"/>
    <xf numFmtId="0" fontId="12" fillId="0" borderId="70" xfId="0" applyFont="1" applyBorder="1" applyAlignment="1">
      <alignment horizontal="left"/>
    </xf>
    <xf numFmtId="0" fontId="12" fillId="0" borderId="71" xfId="0" applyFont="1" applyBorder="1" applyAlignment="1">
      <alignment horizontal="left"/>
    </xf>
    <xf numFmtId="9" fontId="0" fillId="0" borderId="71" xfId="11" applyFont="1" applyBorder="1"/>
    <xf numFmtId="9" fontId="0" fillId="0" borderId="72" xfId="11" applyFont="1" applyBorder="1"/>
    <xf numFmtId="9" fontId="0" fillId="0" borderId="48" xfId="0" applyNumberFormat="1" applyBorder="1"/>
    <xf numFmtId="166" fontId="0" fillId="0" borderId="65" xfId="0" applyNumberFormat="1" applyBorder="1" applyAlignment="1">
      <alignment horizontal="center"/>
    </xf>
    <xf numFmtId="166" fontId="0" fillId="0" borderId="68" xfId="0" applyNumberFormat="1" applyBorder="1" applyAlignment="1">
      <alignment horizontal="center"/>
    </xf>
    <xf numFmtId="0" fontId="0" fillId="30" borderId="73" xfId="0" applyFill="1" applyBorder="1"/>
    <xf numFmtId="0" fontId="0" fillId="30" borderId="74" xfId="0" applyFill="1" applyBorder="1"/>
    <xf numFmtId="10" fontId="0" fillId="30" borderId="74" xfId="0" applyNumberFormat="1" applyFill="1" applyBorder="1"/>
    <xf numFmtId="0" fontId="12" fillId="6" borderId="27" xfId="0" applyFont="1" applyFill="1" applyBorder="1" applyAlignment="1">
      <alignment horizontal="center"/>
    </xf>
    <xf numFmtId="9" fontId="0" fillId="0" borderId="76" xfId="11" applyFont="1" applyBorder="1"/>
    <xf numFmtId="0" fontId="12" fillId="0" borderId="76" xfId="0" applyFont="1" applyBorder="1"/>
    <xf numFmtId="0" fontId="12" fillId="12" borderId="47" xfId="0" applyFont="1" applyFill="1" applyBorder="1" applyAlignment="1">
      <alignment horizontal="center"/>
    </xf>
    <xf numFmtId="9" fontId="12" fillId="12" borderId="47" xfId="11" applyFont="1" applyFill="1" applyBorder="1" applyAlignment="1">
      <alignment horizontal="center"/>
    </xf>
    <xf numFmtId="0" fontId="12" fillId="0" borderId="47" xfId="0" applyFont="1" applyBorder="1" applyAlignment="1">
      <alignment horizontal="center"/>
    </xf>
    <xf numFmtId="166" fontId="0" fillId="0" borderId="77" xfId="0" applyNumberFormat="1" applyBorder="1" applyAlignment="1">
      <alignment horizontal="center"/>
    </xf>
    <xf numFmtId="0" fontId="12" fillId="0" borderId="78" xfId="0" applyFont="1" applyBorder="1"/>
    <xf numFmtId="0" fontId="0" fillId="0" borderId="49" xfId="0" applyBorder="1"/>
    <xf numFmtId="0" fontId="0" fillId="0" borderId="50" xfId="0" applyBorder="1" applyAlignment="1">
      <alignment horizontal="center"/>
    </xf>
    <xf numFmtId="0" fontId="0" fillId="0" borderId="50" xfId="0" applyBorder="1"/>
    <xf numFmtId="0" fontId="0" fillId="0" borderId="51" xfId="0" applyBorder="1"/>
    <xf numFmtId="0" fontId="0" fillId="0" borderId="38" xfId="0" applyBorder="1"/>
    <xf numFmtId="0" fontId="0" fillId="0" borderId="57" xfId="0" applyBorder="1"/>
    <xf numFmtId="0" fontId="0" fillId="0" borderId="58" xfId="0" applyBorder="1"/>
    <xf numFmtId="9" fontId="0" fillId="0" borderId="0" xfId="0" applyNumberFormat="1"/>
    <xf numFmtId="0" fontId="12" fillId="12" borderId="75" xfId="0" applyFont="1" applyFill="1" applyBorder="1" applyAlignment="1">
      <alignment horizontal="center"/>
    </xf>
    <xf numFmtId="0" fontId="0" fillId="30" borderId="54" xfId="0" applyFill="1" applyBorder="1"/>
    <xf numFmtId="0" fontId="0" fillId="30" borderId="56" xfId="0" applyFill="1" applyBorder="1"/>
    <xf numFmtId="0" fontId="12" fillId="0" borderId="54" xfId="0" applyFont="1" applyBorder="1" applyAlignment="1">
      <alignment horizontal="center"/>
    </xf>
    <xf numFmtId="166" fontId="0" fillId="0" borderId="66" xfId="0" applyNumberFormat="1" applyBorder="1" applyAlignment="1">
      <alignment horizontal="center"/>
    </xf>
    <xf numFmtId="166" fontId="0" fillId="0" borderId="69" xfId="0" applyNumberFormat="1" applyBorder="1" applyAlignment="1">
      <alignment horizontal="center"/>
    </xf>
    <xf numFmtId="172" fontId="0" fillId="0" borderId="81" xfId="0" applyNumberFormat="1" applyBorder="1" applyAlignment="1">
      <alignment horizontal="center"/>
    </xf>
    <xf numFmtId="172" fontId="0" fillId="0" borderId="83" xfId="0" applyNumberFormat="1" applyBorder="1" applyAlignment="1">
      <alignment horizontal="center"/>
    </xf>
    <xf numFmtId="0" fontId="0" fillId="28" borderId="55" xfId="0" applyFill="1" applyBorder="1"/>
    <xf numFmtId="0" fontId="25" fillId="28" borderId="55" xfId="0" applyFont="1" applyFill="1" applyBorder="1" applyAlignment="1">
      <alignment horizontal="left"/>
    </xf>
    <xf numFmtId="9" fontId="0" fillId="28" borderId="55" xfId="11" applyFont="1" applyFill="1" applyBorder="1" applyAlignment="1">
      <alignment horizontal="center" vertical="center"/>
    </xf>
    <xf numFmtId="170" fontId="25" fillId="28" borderId="56" xfId="0" applyNumberFormat="1" applyFont="1" applyFill="1" applyBorder="1" applyAlignment="1">
      <alignment horizontal="center" vertical="center"/>
    </xf>
    <xf numFmtId="0" fontId="12" fillId="15" borderId="86" xfId="0" applyFont="1" applyFill="1" applyBorder="1"/>
    <xf numFmtId="0" fontId="12" fillId="15" borderId="88" xfId="0" applyFont="1" applyFill="1" applyBorder="1"/>
    <xf numFmtId="172" fontId="0" fillId="0" borderId="89" xfId="0" applyNumberFormat="1" applyBorder="1" applyAlignment="1">
      <alignment horizontal="center"/>
    </xf>
    <xf numFmtId="172" fontId="0" fillId="0" borderId="87" xfId="0" applyNumberFormat="1" applyBorder="1" applyAlignment="1">
      <alignment horizontal="center"/>
    </xf>
    <xf numFmtId="172" fontId="0" fillId="0" borderId="90" xfId="0" applyNumberFormat="1" applyBorder="1" applyAlignment="1">
      <alignment horizontal="center"/>
    </xf>
    <xf numFmtId="0" fontId="25" fillId="29" borderId="91" xfId="0" applyFont="1" applyFill="1" applyBorder="1" applyAlignment="1">
      <alignment horizontal="center"/>
    </xf>
    <xf numFmtId="0" fontId="0" fillId="29" borderId="92" xfId="0" applyFill="1" applyBorder="1"/>
    <xf numFmtId="0" fontId="25" fillId="29" borderId="86" xfId="0" applyFont="1" applyFill="1" applyBorder="1" applyAlignment="1">
      <alignment horizontal="center"/>
    </xf>
    <xf numFmtId="0" fontId="0" fillId="29" borderId="83" xfId="0" applyFill="1" applyBorder="1"/>
    <xf numFmtId="0" fontId="0" fillId="29" borderId="87" xfId="0" applyFill="1" applyBorder="1"/>
    <xf numFmtId="0" fontId="12" fillId="0" borderId="84" xfId="0" applyFont="1" applyBorder="1" applyAlignment="1">
      <alignment horizontal="left" vertical="center"/>
    </xf>
    <xf numFmtId="0" fontId="45" fillId="4" borderId="54" xfId="0" applyFont="1" applyFill="1" applyBorder="1" applyAlignment="1">
      <alignment horizontal="left" vertical="center"/>
    </xf>
    <xf numFmtId="0" fontId="45" fillId="28" borderId="54" xfId="0" applyFont="1" applyFill="1" applyBorder="1" applyAlignment="1">
      <alignment horizontal="left" vertical="center"/>
    </xf>
    <xf numFmtId="0" fontId="45" fillId="11" borderId="56" xfId="0" applyFont="1" applyFill="1" applyBorder="1" applyAlignment="1">
      <alignment horizontal="center"/>
    </xf>
    <xf numFmtId="0" fontId="12" fillId="6" borderId="84" xfId="0" applyFont="1" applyFill="1" applyBorder="1" applyAlignment="1">
      <alignment horizontal="left" vertical="center"/>
    </xf>
    <xf numFmtId="0" fontId="12" fillId="6" borderId="86" xfId="0" applyFont="1" applyFill="1" applyBorder="1" applyAlignment="1">
      <alignment horizontal="left" vertical="center"/>
    </xf>
    <xf numFmtId="0" fontId="0" fillId="28" borderId="55" xfId="0" applyFill="1" applyBorder="1" applyAlignment="1">
      <alignment horizontal="center"/>
    </xf>
    <xf numFmtId="0" fontId="8" fillId="0" borderId="49" xfId="0" applyFont="1" applyBorder="1"/>
    <xf numFmtId="0" fontId="48" fillId="4" borderId="46" xfId="0" applyFont="1" applyFill="1" applyBorder="1" applyAlignment="1">
      <alignment horizontal="center"/>
    </xf>
    <xf numFmtId="0" fontId="48" fillId="4" borderId="46" xfId="0" applyFont="1" applyFill="1" applyBorder="1"/>
    <xf numFmtId="0" fontId="0" fillId="0" borderId="46" xfId="0" applyBorder="1"/>
    <xf numFmtId="172" fontId="0" fillId="22" borderId="83" xfId="0" applyNumberFormat="1" applyFill="1" applyBorder="1" applyAlignment="1">
      <alignment horizontal="center"/>
    </xf>
    <xf numFmtId="172" fontId="0" fillId="22" borderId="89" xfId="0" applyNumberFormat="1" applyFill="1" applyBorder="1" applyAlignment="1">
      <alignment horizontal="center"/>
    </xf>
    <xf numFmtId="0" fontId="50" fillId="0" borderId="0" xfId="0" applyFont="1"/>
    <xf numFmtId="0" fontId="52" fillId="0" borderId="0" xfId="0" applyFont="1"/>
    <xf numFmtId="0" fontId="12" fillId="0" borderId="26" xfId="0" applyFont="1" applyBorder="1" applyAlignment="1">
      <alignment horizontal="center"/>
    </xf>
    <xf numFmtId="0" fontId="12" fillId="0" borderId="24" xfId="0" applyFont="1" applyBorder="1" applyAlignment="1">
      <alignment horizontal="center"/>
    </xf>
    <xf numFmtId="0" fontId="52" fillId="0" borderId="26" xfId="0" applyFont="1" applyBorder="1" applyAlignment="1">
      <alignment horizontal="center"/>
    </xf>
    <xf numFmtId="0" fontId="52" fillId="0" borderId="24" xfId="0" applyFont="1" applyBorder="1" applyAlignment="1">
      <alignment horizontal="center"/>
    </xf>
    <xf numFmtId="0" fontId="52" fillId="0" borderId="20" xfId="0" applyFont="1" applyBorder="1"/>
    <xf numFmtId="0" fontId="52" fillId="0" borderId="96" xfId="0" applyFont="1" applyBorder="1" applyAlignment="1">
      <alignment horizontal="center" vertical="center"/>
    </xf>
    <xf numFmtId="0" fontId="52" fillId="0" borderId="100" xfId="0" applyFont="1" applyBorder="1" applyAlignment="1">
      <alignment horizontal="center" vertical="center"/>
    </xf>
    <xf numFmtId="0" fontId="12" fillId="10" borderId="103" xfId="0" applyFont="1" applyFill="1" applyBorder="1" applyAlignment="1">
      <alignment horizontal="center"/>
    </xf>
    <xf numFmtId="0" fontId="52" fillId="10" borderId="103" xfId="0" applyFont="1" applyFill="1" applyBorder="1"/>
    <xf numFmtId="0" fontId="52" fillId="10" borderId="109" xfId="0" applyFont="1" applyFill="1" applyBorder="1"/>
    <xf numFmtId="0" fontId="50" fillId="10" borderId="109" xfId="0" applyFont="1" applyFill="1" applyBorder="1"/>
    <xf numFmtId="10" fontId="0" fillId="0" borderId="106" xfId="0" applyNumberFormat="1" applyBorder="1" applyAlignment="1">
      <alignment horizontal="center" vertical="center"/>
    </xf>
    <xf numFmtId="10" fontId="0" fillId="0" borderId="110" xfId="0" applyNumberFormat="1" applyBorder="1" applyAlignment="1">
      <alignment horizontal="center" vertical="center"/>
    </xf>
    <xf numFmtId="10" fontId="0" fillId="0" borderId="111" xfId="0" applyNumberFormat="1" applyBorder="1" applyAlignment="1">
      <alignment horizontal="center" vertical="center"/>
    </xf>
    <xf numFmtId="10" fontId="0" fillId="0" borderId="112" xfId="0" applyNumberFormat="1" applyBorder="1" applyAlignment="1">
      <alignment horizontal="center" vertical="center"/>
    </xf>
    <xf numFmtId="0" fontId="52" fillId="0" borderId="113" xfId="0" applyFont="1" applyBorder="1" applyAlignment="1">
      <alignment horizontal="center" vertical="center"/>
    </xf>
    <xf numFmtId="0" fontId="52" fillId="0" borderId="114" xfId="0" applyFont="1" applyBorder="1" applyAlignment="1">
      <alignment horizontal="center" vertical="center"/>
    </xf>
    <xf numFmtId="0" fontId="50" fillId="6" borderId="0" xfId="0" applyFont="1" applyFill="1"/>
    <xf numFmtId="0" fontId="54" fillId="37" borderId="0" xfId="0" applyFont="1" applyFill="1"/>
    <xf numFmtId="0" fontId="8" fillId="32" borderId="20" xfId="0" applyFont="1" applyFill="1" applyBorder="1"/>
    <xf numFmtId="0" fontId="52" fillId="0" borderId="115" xfId="0" applyFont="1" applyBorder="1" applyAlignment="1">
      <alignment horizontal="center"/>
    </xf>
    <xf numFmtId="0" fontId="50" fillId="10" borderId="116" xfId="0" applyFont="1" applyFill="1" applyBorder="1" applyAlignment="1">
      <alignment horizontal="center"/>
    </xf>
    <xf numFmtId="0" fontId="8" fillId="34" borderId="116" xfId="0" applyFont="1" applyFill="1" applyBorder="1"/>
    <xf numFmtId="0" fontId="8" fillId="34" borderId="0" xfId="0" applyFont="1" applyFill="1"/>
    <xf numFmtId="0" fontId="12" fillId="36" borderId="20" xfId="0" quotePrefix="1" applyFont="1" applyFill="1" applyBorder="1"/>
    <xf numFmtId="0" fontId="12" fillId="36" borderId="0" xfId="0" quotePrefix="1" applyFont="1" applyFill="1"/>
    <xf numFmtId="0" fontId="50" fillId="34" borderId="0" xfId="0" applyFont="1" applyFill="1"/>
    <xf numFmtId="0" fontId="12" fillId="0" borderId="131" xfId="0" applyFont="1" applyBorder="1" applyAlignment="1">
      <alignment horizontal="center"/>
    </xf>
    <xf numFmtId="0" fontId="12" fillId="0" borderId="29" xfId="0" applyFont="1" applyBorder="1" applyAlignment="1">
      <alignment horizontal="center"/>
    </xf>
    <xf numFmtId="0" fontId="12" fillId="0" borderId="132" xfId="0" applyFont="1" applyBorder="1" applyAlignment="1">
      <alignment horizontal="center"/>
    </xf>
    <xf numFmtId="0" fontId="12" fillId="0" borderId="123" xfId="0" applyFont="1" applyBorder="1" applyAlignment="1">
      <alignment horizontal="center"/>
    </xf>
    <xf numFmtId="0" fontId="8" fillId="34" borderId="104" xfId="0" applyFont="1" applyFill="1" applyBorder="1"/>
    <xf numFmtId="3" fontId="21" fillId="0" borderId="0" xfId="0" applyNumberFormat="1" applyFont="1" applyAlignment="1">
      <alignment horizontal="center" vertical="center"/>
    </xf>
    <xf numFmtId="3" fontId="33" fillId="17" borderId="0" xfId="0" applyNumberFormat="1" applyFont="1" applyFill="1" applyAlignment="1">
      <alignment horizontal="center" vertical="center"/>
    </xf>
    <xf numFmtId="167" fontId="31" fillId="38" borderId="126" xfId="25" applyNumberFormat="1" applyFont="1" applyFill="1" applyBorder="1" applyAlignment="1">
      <alignment horizontal="center" vertical="center"/>
    </xf>
    <xf numFmtId="0" fontId="55" fillId="0" borderId="128" xfId="0" applyFont="1" applyBorder="1" applyAlignment="1">
      <alignment horizontal="center" vertical="center"/>
    </xf>
    <xf numFmtId="0" fontId="55" fillId="0" borderId="33" xfId="0" applyFont="1" applyBorder="1" applyAlignment="1">
      <alignment horizontal="center" vertical="center"/>
    </xf>
    <xf numFmtId="0" fontId="55" fillId="36" borderId="128" xfId="0" applyFont="1" applyFill="1" applyBorder="1" applyAlignment="1">
      <alignment horizontal="center" vertical="center"/>
    </xf>
    <xf numFmtId="0" fontId="55" fillId="36" borderId="33" xfId="0" applyFont="1" applyFill="1" applyBorder="1" applyAlignment="1">
      <alignment horizontal="center" vertical="center"/>
    </xf>
    <xf numFmtId="3" fontId="55" fillId="35" borderId="33" xfId="0" applyNumberFormat="1" applyFont="1" applyFill="1" applyBorder="1" applyAlignment="1">
      <alignment horizontal="center" vertical="center"/>
    </xf>
    <xf numFmtId="3" fontId="55" fillId="35" borderId="128" xfId="0" applyNumberFormat="1" applyFont="1" applyFill="1" applyBorder="1" applyAlignment="1">
      <alignment horizontal="center" vertical="center"/>
    </xf>
    <xf numFmtId="0" fontId="58" fillId="0" borderId="33" xfId="0" applyFont="1" applyBorder="1" applyAlignment="1">
      <alignment horizontal="center" vertical="center"/>
    </xf>
    <xf numFmtId="0" fontId="8" fillId="0" borderId="33" xfId="0" quotePrefix="1" applyFont="1" applyBorder="1" applyAlignment="1">
      <alignment horizontal="center" vertical="center"/>
    </xf>
    <xf numFmtId="9" fontId="36" fillId="0" borderId="0" xfId="11" applyFont="1"/>
    <xf numFmtId="9" fontId="0" fillId="0" borderId="77" xfId="0" applyNumberFormat="1" applyBorder="1" applyAlignment="1">
      <alignment horizontal="center"/>
    </xf>
    <xf numFmtId="9" fontId="12" fillId="0" borderId="54" xfId="0" applyNumberFormat="1" applyFont="1" applyBorder="1" applyAlignment="1">
      <alignment horizontal="center"/>
    </xf>
    <xf numFmtId="9" fontId="12" fillId="0" borderId="55" xfId="0" applyNumberFormat="1" applyFont="1" applyBorder="1" applyAlignment="1">
      <alignment horizontal="center"/>
    </xf>
    <xf numFmtId="9" fontId="8" fillId="0" borderId="59" xfId="0" applyNumberFormat="1" applyFont="1" applyBorder="1" applyAlignment="1">
      <alignment horizontal="center"/>
    </xf>
    <xf numFmtId="9" fontId="8" fillId="0" borderId="64" xfId="0" applyNumberFormat="1" applyFont="1" applyBorder="1" applyAlignment="1">
      <alignment horizontal="center"/>
    </xf>
    <xf numFmtId="9" fontId="8" fillId="0" borderId="67" xfId="0" applyNumberFormat="1" applyFont="1" applyBorder="1" applyAlignment="1">
      <alignment horizontal="center"/>
    </xf>
    <xf numFmtId="3" fontId="0" fillId="0" borderId="0" xfId="0" applyNumberFormat="1"/>
    <xf numFmtId="10" fontId="0" fillId="0" borderId="0" xfId="0" applyNumberFormat="1"/>
    <xf numFmtId="3" fontId="55" fillId="35" borderId="33" xfId="0" quotePrefix="1" applyNumberFormat="1" applyFont="1" applyFill="1" applyBorder="1" applyAlignment="1">
      <alignment horizontal="center" vertical="center"/>
    </xf>
    <xf numFmtId="3" fontId="55" fillId="35" borderId="128" xfId="0" quotePrefix="1" applyNumberFormat="1" applyFont="1" applyFill="1" applyBorder="1" applyAlignment="1">
      <alignment horizontal="center" vertical="center"/>
    </xf>
    <xf numFmtId="1" fontId="50" fillId="35" borderId="26" xfId="0" applyNumberFormat="1" applyFont="1" applyFill="1" applyBorder="1" applyAlignment="1">
      <alignment horizontal="center" vertical="center"/>
    </xf>
    <xf numFmtId="4" fontId="5" fillId="0" borderId="33" xfId="24" applyNumberFormat="1" applyBorder="1" applyAlignment="1">
      <alignment horizontal="center"/>
    </xf>
    <xf numFmtId="0" fontId="24" fillId="0" borderId="0" xfId="0" applyFont="1" applyAlignment="1">
      <alignment horizontal="center"/>
    </xf>
    <xf numFmtId="0" fontId="62" fillId="0" borderId="0" xfId="0" applyFont="1"/>
    <xf numFmtId="0" fontId="0" fillId="0" borderId="33" xfId="0" applyBorder="1"/>
    <xf numFmtId="0" fontId="61" fillId="0" borderId="0" xfId="0" applyFont="1"/>
    <xf numFmtId="3" fontId="50" fillId="0" borderId="26" xfId="0" applyNumberFormat="1" applyFont="1" applyBorder="1" applyAlignment="1">
      <alignment horizontal="center" vertical="center"/>
    </xf>
    <xf numFmtId="0" fontId="50" fillId="0" borderId="26" xfId="0" applyFont="1" applyBorder="1" applyAlignment="1">
      <alignment horizontal="center" vertical="center"/>
    </xf>
    <xf numFmtId="167" fontId="31" fillId="33" borderId="33" xfId="11" applyNumberFormat="1" applyFont="1" applyFill="1" applyBorder="1" applyAlignment="1">
      <alignment horizontal="center" vertical="center"/>
    </xf>
    <xf numFmtId="3" fontId="58" fillId="0" borderId="33" xfId="0" applyNumberFormat="1" applyFont="1" applyBorder="1" applyAlignment="1">
      <alignment horizontal="center" vertical="center"/>
    </xf>
    <xf numFmtId="3" fontId="58" fillId="33" borderId="33" xfId="0" applyNumberFormat="1" applyFont="1" applyFill="1" applyBorder="1" applyAlignment="1">
      <alignment horizontal="center" vertical="center"/>
    </xf>
    <xf numFmtId="167" fontId="31" fillId="38" borderId="144" xfId="25" applyNumberFormat="1" applyFont="1" applyFill="1" applyBorder="1" applyAlignment="1">
      <alignment horizontal="center" vertical="center"/>
    </xf>
    <xf numFmtId="3" fontId="4" fillId="38" borderId="31" xfId="25" applyNumberFormat="1" applyFill="1" applyBorder="1" applyAlignment="1">
      <alignment horizontal="center" vertical="center"/>
    </xf>
    <xf numFmtId="167" fontId="31" fillId="33" borderId="31" xfId="11" applyNumberFormat="1" applyFont="1" applyFill="1" applyBorder="1" applyAlignment="1">
      <alignment horizontal="center" vertical="center"/>
    </xf>
    <xf numFmtId="3" fontId="58" fillId="0" borderId="31" xfId="0" applyNumberFormat="1" applyFont="1" applyBorder="1" applyAlignment="1">
      <alignment horizontal="center" vertical="center"/>
    </xf>
    <xf numFmtId="0" fontId="58" fillId="0" borderId="31" xfId="0" applyFont="1" applyBorder="1" applyAlignment="1">
      <alignment horizontal="center" vertical="center"/>
    </xf>
    <xf numFmtId="3" fontId="58" fillId="33" borderId="31" xfId="0" applyNumberFormat="1" applyFont="1" applyFill="1" applyBorder="1" applyAlignment="1">
      <alignment horizontal="center" vertical="center"/>
    </xf>
    <xf numFmtId="0" fontId="58" fillId="33" borderId="145" xfId="0" applyFont="1" applyFill="1" applyBorder="1" applyAlignment="1">
      <alignment horizontal="center" vertical="center"/>
    </xf>
    <xf numFmtId="1" fontId="50" fillId="0" borderId="33" xfId="0" applyNumberFormat="1" applyFont="1" applyBorder="1" applyAlignment="1">
      <alignment horizontal="center" vertical="center"/>
    </xf>
    <xf numFmtId="1" fontId="55" fillId="0" borderId="33" xfId="0" applyNumberFormat="1" applyFont="1" applyBorder="1" applyAlignment="1">
      <alignment horizontal="center" vertical="center"/>
    </xf>
    <xf numFmtId="1" fontId="50" fillId="0" borderId="128" xfId="0" applyNumberFormat="1" applyFont="1" applyBorder="1" applyAlignment="1">
      <alignment horizontal="center" vertical="center"/>
    </xf>
    <xf numFmtId="1" fontId="50" fillId="0" borderId="119" xfId="0" applyNumberFormat="1" applyFont="1" applyBorder="1" applyAlignment="1">
      <alignment horizontal="center" vertical="center"/>
    </xf>
    <xf numFmtId="1" fontId="55" fillId="0" borderId="128" xfId="0" applyNumberFormat="1" applyFont="1" applyBorder="1" applyAlignment="1">
      <alignment horizontal="center" vertical="center"/>
    </xf>
    <xf numFmtId="1" fontId="58" fillId="33" borderId="129" xfId="0" applyNumberFormat="1" applyFont="1" applyFill="1" applyBorder="1" applyAlignment="1">
      <alignment horizontal="center" vertical="center"/>
    </xf>
    <xf numFmtId="1" fontId="58" fillId="33" borderId="142" xfId="0" applyNumberFormat="1" applyFont="1" applyFill="1" applyBorder="1" applyAlignment="1">
      <alignment horizontal="center" vertical="center"/>
    </xf>
    <xf numFmtId="1" fontId="58" fillId="33" borderId="143" xfId="0" applyNumberFormat="1" applyFont="1" applyFill="1" applyBorder="1" applyAlignment="1">
      <alignment horizontal="center" vertical="center"/>
    </xf>
    <xf numFmtId="167" fontId="8" fillId="0" borderId="125" xfId="11" applyNumberFormat="1" applyFont="1" applyFill="1" applyBorder="1" applyAlignment="1">
      <alignment horizontal="center" vertical="center"/>
    </xf>
    <xf numFmtId="167" fontId="8" fillId="0" borderId="126" xfId="11" applyNumberFormat="1" applyFont="1" applyFill="1" applyBorder="1" applyAlignment="1">
      <alignment horizontal="center" vertical="center"/>
    </xf>
    <xf numFmtId="167" fontId="0" fillId="0" borderId="127" xfId="11" applyNumberFormat="1" applyFont="1" applyFill="1" applyBorder="1" applyAlignment="1">
      <alignment horizontal="center" vertical="center"/>
    </xf>
    <xf numFmtId="1" fontId="58" fillId="0" borderId="128" xfId="0" applyNumberFormat="1" applyFont="1" applyBorder="1" applyAlignment="1">
      <alignment horizontal="center" vertical="center"/>
    </xf>
    <xf numFmtId="1" fontId="58" fillId="0" borderId="33" xfId="0" applyNumberFormat="1" applyFont="1" applyBorder="1" applyAlignment="1">
      <alignment horizontal="center" vertical="center"/>
    </xf>
    <xf numFmtId="1" fontId="58" fillId="0" borderId="119" xfId="0" applyNumberFormat="1" applyFont="1" applyBorder="1" applyAlignment="1">
      <alignment horizontal="center" vertical="center"/>
    </xf>
    <xf numFmtId="1" fontId="55" fillId="36" borderId="33" xfId="0" applyNumberFormat="1" applyFont="1" applyFill="1" applyBorder="1" applyAlignment="1">
      <alignment horizontal="center" vertical="center"/>
    </xf>
    <xf numFmtId="1" fontId="55" fillId="36" borderId="128" xfId="0" applyNumberFormat="1" applyFont="1" applyFill="1" applyBorder="1" applyAlignment="1">
      <alignment horizontal="center" vertical="center"/>
    </xf>
    <xf numFmtId="1" fontId="50" fillId="35" borderId="33" xfId="0" applyNumberFormat="1" applyFont="1" applyFill="1" applyBorder="1" applyAlignment="1">
      <alignment horizontal="center" vertical="center"/>
    </xf>
    <xf numFmtId="1" fontId="50" fillId="35" borderId="126" xfId="0" applyNumberFormat="1" applyFont="1" applyFill="1" applyBorder="1" applyAlignment="1">
      <alignment horizontal="center" vertical="center"/>
    </xf>
    <xf numFmtId="1" fontId="50" fillId="35" borderId="128" xfId="0" applyNumberFormat="1" applyFont="1" applyFill="1" applyBorder="1" applyAlignment="1">
      <alignment horizontal="center" vertical="center"/>
    </xf>
    <xf numFmtId="1" fontId="50" fillId="35" borderId="31" xfId="0" applyNumberFormat="1" applyFont="1" applyFill="1" applyBorder="1" applyAlignment="1">
      <alignment horizontal="center" vertical="center"/>
    </xf>
    <xf numFmtId="1" fontId="50" fillId="35" borderId="145" xfId="0" applyNumberFormat="1" applyFont="1" applyFill="1" applyBorder="1" applyAlignment="1">
      <alignment horizontal="center" vertical="center"/>
    </xf>
    <xf numFmtId="1" fontId="0" fillId="0" borderId="33" xfId="0" applyNumberFormat="1" applyBorder="1" applyAlignment="1">
      <alignment horizontal="center" vertical="center"/>
    </xf>
    <xf numFmtId="1" fontId="0" fillId="0" borderId="125" xfId="0" applyNumberFormat="1" applyBorder="1" applyAlignment="1">
      <alignment horizontal="center" vertical="center"/>
    </xf>
    <xf numFmtId="1" fontId="0" fillId="0" borderId="128" xfId="0" applyNumberFormat="1" applyBorder="1" applyAlignment="1">
      <alignment horizontal="center" vertical="center"/>
    </xf>
    <xf numFmtId="1" fontId="0" fillId="0" borderId="119" xfId="0" applyNumberFormat="1" applyBorder="1" applyAlignment="1">
      <alignment horizontal="center" vertical="center"/>
    </xf>
    <xf numFmtId="1" fontId="50" fillId="35" borderId="117" xfId="0" applyNumberFormat="1" applyFont="1" applyFill="1" applyBorder="1" applyAlignment="1">
      <alignment horizontal="center" vertical="center"/>
    </xf>
    <xf numFmtId="1" fontId="50" fillId="35" borderId="118" xfId="0" applyNumberFormat="1" applyFont="1" applyFill="1" applyBorder="1" applyAlignment="1">
      <alignment horizontal="center" vertical="center"/>
    </xf>
    <xf numFmtId="1" fontId="50" fillId="35" borderId="120" xfId="0" applyNumberFormat="1" applyFont="1" applyFill="1" applyBorder="1" applyAlignment="1">
      <alignment horizontal="center" vertical="center"/>
    </xf>
    <xf numFmtId="1" fontId="50" fillId="35" borderId="121" xfId="0" applyNumberFormat="1" applyFont="1" applyFill="1" applyBorder="1" applyAlignment="1">
      <alignment horizontal="center" vertical="center"/>
    </xf>
    <xf numFmtId="1" fontId="50" fillId="35" borderId="122" xfId="0" applyNumberFormat="1" applyFont="1" applyFill="1" applyBorder="1" applyAlignment="1">
      <alignment horizontal="center" vertical="center"/>
    </xf>
    <xf numFmtId="4" fontId="5" fillId="0" borderId="128" xfId="24" applyNumberFormat="1" applyBorder="1" applyAlignment="1">
      <alignment horizontal="center"/>
    </xf>
    <xf numFmtId="4" fontId="5" fillId="0" borderId="119" xfId="24" applyNumberFormat="1" applyBorder="1" applyAlignment="1">
      <alignment horizontal="center"/>
    </xf>
    <xf numFmtId="9" fontId="0" fillId="0" borderId="0" xfId="11" applyFont="1" applyBorder="1" applyAlignment="1">
      <alignment horizontal="left"/>
    </xf>
    <xf numFmtId="3" fontId="55" fillId="0" borderId="33" xfId="0" applyNumberFormat="1" applyFont="1" applyBorder="1" applyAlignment="1">
      <alignment horizontal="center" vertical="center"/>
    </xf>
    <xf numFmtId="3" fontId="55" fillId="0" borderId="128" xfId="0" applyNumberFormat="1" applyFont="1" applyBorder="1" applyAlignment="1">
      <alignment horizontal="center" vertical="center"/>
    </xf>
    <xf numFmtId="2" fontId="8" fillId="22" borderId="12" xfId="0" applyNumberFormat="1" applyFont="1" applyFill="1" applyBorder="1" applyAlignment="1">
      <alignment horizontal="center"/>
    </xf>
    <xf numFmtId="0" fontId="21" fillId="0" borderId="0" xfId="0" applyFont="1" applyAlignment="1">
      <alignment horizontal="center" vertical="center"/>
    </xf>
    <xf numFmtId="3" fontId="33" fillId="17" borderId="0" xfId="16" applyNumberFormat="1" applyFont="1" applyFill="1" applyAlignment="1">
      <alignment horizontal="center" vertical="center"/>
    </xf>
    <xf numFmtId="3" fontId="34" fillId="17" borderId="0" xfId="16" applyNumberFormat="1" applyFont="1" applyFill="1" applyAlignment="1">
      <alignment horizontal="center" vertical="center"/>
    </xf>
    <xf numFmtId="3" fontId="34" fillId="17" borderId="0" xfId="0" applyNumberFormat="1" applyFont="1" applyFill="1" applyAlignment="1">
      <alignment horizontal="center" vertical="center"/>
    </xf>
    <xf numFmtId="3" fontId="33" fillId="0" borderId="0" xfId="0" applyNumberFormat="1" applyFont="1" applyAlignment="1">
      <alignment horizontal="center" vertical="center"/>
    </xf>
    <xf numFmtId="169" fontId="21" fillId="0" borderId="0" xfId="0" applyNumberFormat="1" applyFont="1" applyAlignment="1">
      <alignment horizontal="center" vertical="center"/>
    </xf>
    <xf numFmtId="4" fontId="33" fillId="17" borderId="0" xfId="0" applyNumberFormat="1" applyFont="1" applyFill="1" applyAlignment="1">
      <alignment horizontal="center" vertical="center"/>
    </xf>
    <xf numFmtId="4" fontId="33" fillId="17" borderId="0" xfId="16" applyNumberFormat="1" applyFont="1" applyFill="1" applyAlignment="1">
      <alignment horizontal="center" vertical="center"/>
    </xf>
    <xf numFmtId="3" fontId="21" fillId="17" borderId="0" xfId="0" applyNumberFormat="1" applyFont="1" applyFill="1" applyAlignment="1">
      <alignment horizontal="center" vertical="center"/>
    </xf>
    <xf numFmtId="0" fontId="0" fillId="0" borderId="0" xfId="0" applyAlignment="1">
      <alignment horizontal="center" vertical="center"/>
    </xf>
    <xf numFmtId="0" fontId="24" fillId="0" borderId="0" xfId="0" applyFont="1" applyAlignment="1">
      <alignment horizontal="center" vertical="center"/>
    </xf>
    <xf numFmtId="0" fontId="8" fillId="6" borderId="12" xfId="0" applyFont="1" applyFill="1" applyBorder="1" applyAlignment="1">
      <alignment horizontal="center" vertical="center" wrapText="1"/>
    </xf>
    <xf numFmtId="0" fontId="32" fillId="6" borderId="12" xfId="0" applyFont="1" applyFill="1" applyBorder="1" applyAlignment="1">
      <alignment horizontal="center" vertical="center" wrapText="1"/>
    </xf>
    <xf numFmtId="172" fontId="0" fillId="0" borderId="83" xfId="0" applyNumberFormat="1" applyBorder="1" applyAlignment="1">
      <alignment horizontal="center" wrapText="1"/>
    </xf>
    <xf numFmtId="0" fontId="45" fillId="7" borderId="54" xfId="0" applyFont="1" applyFill="1" applyBorder="1" applyAlignment="1">
      <alignment horizontal="center" vertical="center" wrapText="1"/>
    </xf>
    <xf numFmtId="0" fontId="45" fillId="8" borderId="55" xfId="0" applyFont="1" applyFill="1" applyBorder="1" applyAlignment="1">
      <alignment horizontal="center" vertical="center" wrapText="1"/>
    </xf>
    <xf numFmtId="0" fontId="45" fillId="9" borderId="55" xfId="0" applyFont="1" applyFill="1" applyBorder="1" applyAlignment="1">
      <alignment horizontal="center" vertical="center" wrapText="1"/>
    </xf>
    <xf numFmtId="0" fontId="45" fillId="13" borderId="55" xfId="0" applyFont="1" applyFill="1" applyBorder="1" applyAlignment="1">
      <alignment horizontal="center" vertical="center" wrapText="1"/>
    </xf>
    <xf numFmtId="0" fontId="45" fillId="14" borderId="55" xfId="0" applyFont="1" applyFill="1" applyBorder="1" applyAlignment="1">
      <alignment horizontal="center" vertical="center" wrapText="1"/>
    </xf>
    <xf numFmtId="0" fontId="45" fillId="8" borderId="46" xfId="0" applyFont="1" applyFill="1" applyBorder="1" applyAlignment="1">
      <alignment horizontal="center" vertical="center" wrapText="1"/>
    </xf>
    <xf numFmtId="0" fontId="45" fillId="9" borderId="46" xfId="0" applyFont="1" applyFill="1" applyBorder="1" applyAlignment="1">
      <alignment horizontal="center" vertical="center" wrapText="1"/>
    </xf>
    <xf numFmtId="0" fontId="45" fillId="13" borderId="46" xfId="0" applyFont="1" applyFill="1" applyBorder="1" applyAlignment="1">
      <alignment horizontal="center" vertical="center" wrapText="1"/>
    </xf>
    <xf numFmtId="0" fontId="45" fillId="21" borderId="46" xfId="0" applyFont="1" applyFill="1" applyBorder="1" applyAlignment="1">
      <alignment horizontal="center" vertical="center" wrapText="1"/>
    </xf>
    <xf numFmtId="0" fontId="45" fillId="14" borderId="46" xfId="0" applyFont="1" applyFill="1" applyBorder="1" applyAlignment="1">
      <alignment horizontal="center" vertical="center" wrapText="1"/>
    </xf>
    <xf numFmtId="0" fontId="52" fillId="0" borderId="0" xfId="0" applyFont="1" applyAlignment="1">
      <alignment horizontal="center" vertical="center"/>
    </xf>
    <xf numFmtId="0" fontId="8" fillId="5" borderId="146" xfId="0" applyFont="1" applyFill="1" applyBorder="1"/>
    <xf numFmtId="0" fontId="25" fillId="29" borderId="43" xfId="0" applyFont="1" applyFill="1" applyBorder="1" applyAlignment="1">
      <alignment horizontal="center"/>
    </xf>
    <xf numFmtId="0" fontId="12" fillId="0" borderId="43" xfId="0" applyFont="1" applyBorder="1" applyAlignment="1">
      <alignment horizontal="center"/>
    </xf>
    <xf numFmtId="10" fontId="60" fillId="6" borderId="43" xfId="0" applyNumberFormat="1" applyFont="1" applyFill="1" applyBorder="1" applyAlignment="1">
      <alignment horizontal="center"/>
    </xf>
    <xf numFmtId="0" fontId="8" fillId="0" borderId="0" xfId="0" applyFont="1" applyAlignment="1">
      <alignment horizontal="center"/>
    </xf>
    <xf numFmtId="10" fontId="8" fillId="0" borderId="102" xfId="0" applyNumberFormat="1" applyFont="1" applyBorder="1" applyAlignment="1">
      <alignment horizontal="center" vertical="center"/>
    </xf>
    <xf numFmtId="10" fontId="8" fillId="0" borderId="5" xfId="0" applyNumberFormat="1" applyFont="1" applyBorder="1" applyAlignment="1">
      <alignment horizontal="center" vertical="center"/>
    </xf>
    <xf numFmtId="1" fontId="55" fillId="35" borderId="129" xfId="0" applyNumberFormat="1" applyFont="1" applyFill="1" applyBorder="1" applyAlignment="1">
      <alignment horizontal="center" vertical="center"/>
    </xf>
    <xf numFmtId="1" fontId="55" fillId="35" borderId="142" xfId="0" applyNumberFormat="1" applyFont="1" applyFill="1" applyBorder="1" applyAlignment="1">
      <alignment horizontal="center" vertical="center"/>
    </xf>
    <xf numFmtId="0" fontId="0" fillId="0" borderId="33" xfId="0" applyBorder="1" applyAlignment="1">
      <alignment horizontal="center"/>
    </xf>
    <xf numFmtId="166" fontId="0" fillId="0" borderId="33" xfId="0" applyNumberFormat="1" applyBorder="1" applyAlignment="1">
      <alignment horizontal="center"/>
    </xf>
    <xf numFmtId="167" fontId="61" fillId="0" borderId="33" xfId="11" applyNumberFormat="1" applyFont="1" applyBorder="1" applyAlignment="1">
      <alignment horizontal="center"/>
    </xf>
    <xf numFmtId="0" fontId="61" fillId="0" borderId="33" xfId="0" applyFont="1" applyBorder="1"/>
    <xf numFmtId="165" fontId="61" fillId="0" borderId="33" xfId="0" applyNumberFormat="1" applyFont="1" applyBorder="1" applyAlignment="1">
      <alignment horizontal="center"/>
    </xf>
    <xf numFmtId="9" fontId="0" fillId="0" borderId="0" xfId="11" applyFont="1" applyAlignment="1">
      <alignment horizontal="left"/>
    </xf>
    <xf numFmtId="0" fontId="50" fillId="0" borderId="147" xfId="0" applyFont="1" applyBorder="1"/>
    <xf numFmtId="0" fontId="50" fillId="0" borderId="23" xfId="0" applyFont="1" applyBorder="1"/>
    <xf numFmtId="3" fontId="64" fillId="0" borderId="128" xfId="0" quotePrefix="1" applyNumberFormat="1" applyFont="1" applyBorder="1" applyAlignment="1">
      <alignment horizontal="center" vertical="center"/>
    </xf>
    <xf numFmtId="3" fontId="64" fillId="0" borderId="33" xfId="0" quotePrefix="1" applyNumberFormat="1" applyFont="1" applyBorder="1" applyAlignment="1">
      <alignment horizontal="center" vertical="center"/>
    </xf>
    <xf numFmtId="3" fontId="64" fillId="0" borderId="119" xfId="0" quotePrefix="1" applyNumberFormat="1" applyFont="1" applyBorder="1" applyAlignment="1">
      <alignment horizontal="center" vertical="center"/>
    </xf>
    <xf numFmtId="0" fontId="50" fillId="35" borderId="117" xfId="0" applyFont="1" applyFill="1" applyBorder="1" applyAlignment="1">
      <alignment horizontal="center" vertical="center"/>
    </xf>
    <xf numFmtId="0" fontId="50" fillId="35" borderId="2" xfId="0" applyFont="1" applyFill="1" applyBorder="1" applyAlignment="1">
      <alignment horizontal="center" vertical="center"/>
    </xf>
    <xf numFmtId="1" fontId="50" fillId="35" borderId="100" xfId="0" applyNumberFormat="1" applyFont="1" applyFill="1" applyBorder="1" applyAlignment="1">
      <alignment horizontal="center" vertical="center"/>
    </xf>
    <xf numFmtId="1" fontId="50" fillId="35" borderId="149" xfId="0" applyNumberFormat="1" applyFont="1" applyFill="1" applyBorder="1" applyAlignment="1">
      <alignment horizontal="center" vertical="center"/>
    </xf>
    <xf numFmtId="3" fontId="55" fillId="36" borderId="150" xfId="0" applyNumberFormat="1" applyFont="1" applyFill="1" applyBorder="1" applyAlignment="1">
      <alignment horizontal="center" vertical="center"/>
    </xf>
    <xf numFmtId="3" fontId="55" fillId="36" borderId="3" xfId="0" applyNumberFormat="1" applyFont="1" applyFill="1" applyBorder="1" applyAlignment="1">
      <alignment horizontal="center" vertical="center"/>
    </xf>
    <xf numFmtId="3" fontId="55" fillId="36" borderId="22" xfId="0" applyNumberFormat="1" applyFont="1" applyFill="1" applyBorder="1" applyAlignment="1">
      <alignment horizontal="center" vertical="center"/>
    </xf>
    <xf numFmtId="3" fontId="56" fillId="10" borderId="0" xfId="0" applyNumberFormat="1" applyFont="1" applyFill="1" applyAlignment="1">
      <alignment horizontal="center" vertical="center"/>
    </xf>
    <xf numFmtId="3" fontId="56" fillId="10" borderId="151" xfId="0" applyNumberFormat="1" applyFont="1" applyFill="1" applyBorder="1" applyAlignment="1">
      <alignment horizontal="center" vertical="center"/>
    </xf>
    <xf numFmtId="1" fontId="55" fillId="36" borderId="31" xfId="0" applyNumberFormat="1" applyFont="1" applyFill="1" applyBorder="1" applyAlignment="1">
      <alignment horizontal="center" vertical="center"/>
    </xf>
    <xf numFmtId="1" fontId="55" fillId="0" borderId="31" xfId="0" applyNumberFormat="1" applyFont="1" applyBorder="1" applyAlignment="1">
      <alignment horizontal="center" vertical="center"/>
    </xf>
    <xf numFmtId="0" fontId="0" fillId="32" borderId="20" xfId="0" applyFill="1" applyBorder="1"/>
    <xf numFmtId="0" fontId="61" fillId="0" borderId="0" xfId="24" applyFont="1" applyAlignment="1">
      <alignment horizontal="center" vertical="center"/>
    </xf>
    <xf numFmtId="0" fontId="5" fillId="0" borderId="0" xfId="24"/>
    <xf numFmtId="0" fontId="5" fillId="0" borderId="24" xfId="24" applyBorder="1"/>
    <xf numFmtId="0" fontId="50" fillId="0" borderId="152" xfId="0" applyFont="1" applyBorder="1"/>
    <xf numFmtId="0" fontId="52" fillId="0" borderId="98" xfId="0" applyFont="1" applyBorder="1" applyAlignment="1">
      <alignment horizontal="center" vertical="center"/>
    </xf>
    <xf numFmtId="0" fontId="52" fillId="0" borderId="99" xfId="0" applyFont="1" applyBorder="1" applyAlignment="1">
      <alignment horizontal="center" vertical="center"/>
    </xf>
    <xf numFmtId="0" fontId="50" fillId="0" borderId="153" xfId="0" applyFont="1" applyBorder="1"/>
    <xf numFmtId="0" fontId="50" fillId="0" borderId="97" xfId="0" applyFont="1" applyBorder="1" applyAlignment="1">
      <alignment horizontal="center" vertical="center"/>
    </xf>
    <xf numFmtId="0" fontId="50" fillId="0" borderId="154" xfId="0" applyFont="1" applyBorder="1"/>
    <xf numFmtId="10" fontId="0" fillId="0" borderId="0" xfId="0" applyNumberFormat="1" applyAlignment="1">
      <alignment horizontal="center" vertical="center"/>
    </xf>
    <xf numFmtId="0" fontId="50" fillId="0" borderId="97" xfId="0" applyFont="1" applyBorder="1"/>
    <xf numFmtId="9" fontId="21" fillId="0" borderId="0" xfId="11" applyFont="1" applyAlignment="1">
      <alignment horizontal="center" vertical="center"/>
    </xf>
    <xf numFmtId="1" fontId="55" fillId="36" borderId="117" xfId="0" applyNumberFormat="1" applyFont="1" applyFill="1" applyBorder="1" applyAlignment="1">
      <alignment horizontal="center" vertical="center"/>
    </xf>
    <xf numFmtId="1" fontId="55" fillId="36" borderId="2" xfId="0" applyNumberFormat="1" applyFont="1" applyFill="1" applyBorder="1" applyAlignment="1">
      <alignment horizontal="center" vertical="center"/>
    </xf>
    <xf numFmtId="1" fontId="55" fillId="36" borderId="25" xfId="0" applyNumberFormat="1" applyFont="1" applyFill="1" applyBorder="1" applyAlignment="1">
      <alignment horizontal="center" vertical="center"/>
    </xf>
    <xf numFmtId="3" fontId="0" fillId="0" borderId="33" xfId="0" applyNumberFormat="1" applyBorder="1" applyAlignment="1">
      <alignment horizontal="center" vertical="center"/>
    </xf>
    <xf numFmtId="3" fontId="0" fillId="0" borderId="119" xfId="0" applyNumberFormat="1" applyBorder="1" applyAlignment="1">
      <alignment horizontal="center" vertical="center"/>
    </xf>
    <xf numFmtId="1" fontId="50" fillId="35" borderId="156" xfId="0" applyNumberFormat="1" applyFont="1" applyFill="1" applyBorder="1" applyAlignment="1">
      <alignment horizontal="center" vertical="center"/>
    </xf>
    <xf numFmtId="0" fontId="50" fillId="35" borderId="25" xfId="0" applyFont="1" applyFill="1" applyBorder="1" applyAlignment="1">
      <alignment horizontal="center" vertical="center"/>
    </xf>
    <xf numFmtId="1" fontId="0" fillId="0" borderId="32" xfId="0" applyNumberFormat="1" applyBorder="1" applyAlignment="1">
      <alignment horizontal="center" vertical="center"/>
    </xf>
    <xf numFmtId="3" fontId="64" fillId="0" borderId="128" xfId="0" applyNumberFormat="1" applyFont="1" applyBorder="1" applyAlignment="1">
      <alignment horizontal="center" vertical="center"/>
    </xf>
    <xf numFmtId="173" fontId="0" fillId="0" borderId="0" xfId="0" applyNumberFormat="1" applyAlignment="1">
      <alignment horizontal="center"/>
    </xf>
    <xf numFmtId="1" fontId="55" fillId="0" borderId="117" xfId="0" applyNumberFormat="1" applyFont="1" applyBorder="1" applyAlignment="1">
      <alignment horizontal="center" vertical="center"/>
    </xf>
    <xf numFmtId="1" fontId="55" fillId="0" borderId="2" xfId="0" applyNumberFormat="1" applyFont="1" applyBorder="1" applyAlignment="1">
      <alignment horizontal="center" vertical="center"/>
    </xf>
    <xf numFmtId="1" fontId="8" fillId="0" borderId="150" xfId="0" applyNumberFormat="1" applyFont="1" applyBorder="1" applyAlignment="1">
      <alignment horizontal="center" vertical="center"/>
    </xf>
    <xf numFmtId="167" fontId="50" fillId="0" borderId="0" xfId="11" applyNumberFormat="1" applyFont="1"/>
    <xf numFmtId="3" fontId="64" fillId="33" borderId="33" xfId="0" quotePrefix="1" applyNumberFormat="1" applyFont="1" applyFill="1" applyBorder="1" applyAlignment="1">
      <alignment horizontal="center" vertical="center"/>
    </xf>
    <xf numFmtId="3" fontId="64" fillId="33" borderId="31" xfId="0" quotePrefix="1" applyNumberFormat="1" applyFont="1" applyFill="1" applyBorder="1" applyAlignment="1">
      <alignment horizontal="center" vertical="center"/>
    </xf>
    <xf numFmtId="3" fontId="23" fillId="33" borderId="33" xfId="0" applyNumberFormat="1" applyFont="1" applyFill="1" applyBorder="1" applyAlignment="1">
      <alignment horizontal="center" vertical="center"/>
    </xf>
    <xf numFmtId="3" fontId="23" fillId="33" borderId="31" xfId="0" applyNumberFormat="1" applyFont="1" applyFill="1" applyBorder="1" applyAlignment="1">
      <alignment horizontal="center" vertical="center"/>
    </xf>
    <xf numFmtId="0" fontId="64" fillId="33" borderId="33" xfId="0" applyFont="1" applyFill="1" applyBorder="1" applyAlignment="1">
      <alignment horizontal="center" vertical="center"/>
    </xf>
    <xf numFmtId="0" fontId="64" fillId="33" borderId="31" xfId="0" applyFont="1" applyFill="1" applyBorder="1" applyAlignment="1">
      <alignment horizontal="center" vertical="center"/>
    </xf>
    <xf numFmtId="1" fontId="64" fillId="0" borderId="128" xfId="0" applyNumberFormat="1" applyFont="1" applyBorder="1" applyAlignment="1">
      <alignment horizontal="center" vertical="center"/>
    </xf>
    <xf numFmtId="1" fontId="23" fillId="0" borderId="128" xfId="0" applyNumberFormat="1" applyFont="1" applyBorder="1" applyAlignment="1">
      <alignment horizontal="center" vertical="center"/>
    </xf>
    <xf numFmtId="1" fontId="64" fillId="0" borderId="33" xfId="0" applyNumberFormat="1" applyFont="1" applyBorder="1" applyAlignment="1">
      <alignment horizontal="center" vertical="center"/>
    </xf>
    <xf numFmtId="1" fontId="64" fillId="0" borderId="119" xfId="0" applyNumberFormat="1" applyFont="1" applyBorder="1" applyAlignment="1">
      <alignment horizontal="center" vertical="center"/>
    </xf>
    <xf numFmtId="1" fontId="8" fillId="0" borderId="3" xfId="0" applyNumberFormat="1" applyFont="1" applyBorder="1" applyAlignment="1">
      <alignment horizontal="center" vertical="center"/>
    </xf>
    <xf numFmtId="1" fontId="8" fillId="0" borderId="22" xfId="0" applyNumberFormat="1" applyFont="1" applyBorder="1" applyAlignment="1">
      <alignment horizontal="center" vertical="center"/>
    </xf>
    <xf numFmtId="0" fontId="62" fillId="0" borderId="0" xfId="0" applyFont="1" applyAlignment="1">
      <alignment horizontal="center"/>
    </xf>
    <xf numFmtId="1" fontId="62" fillId="0" borderId="0" xfId="0" applyNumberFormat="1" applyFont="1" applyAlignment="1">
      <alignment horizontal="center"/>
    </xf>
    <xf numFmtId="1" fontId="66" fillId="0" borderId="0" xfId="0" applyNumberFormat="1" applyFont="1" applyAlignment="1">
      <alignment horizontal="left"/>
    </xf>
    <xf numFmtId="0" fontId="55" fillId="0" borderId="0" xfId="0" applyFont="1"/>
    <xf numFmtId="0" fontId="55" fillId="0" borderId="0" xfId="0" applyFont="1" applyAlignment="1">
      <alignment horizontal="center"/>
    </xf>
    <xf numFmtId="166" fontId="8" fillId="0" borderId="0" xfId="0" applyNumberFormat="1" applyFont="1"/>
    <xf numFmtId="165" fontId="8" fillId="0" borderId="0" xfId="0" applyNumberFormat="1" applyFont="1"/>
    <xf numFmtId="166" fontId="24" fillId="0" borderId="0" xfId="0" applyNumberFormat="1" applyFont="1"/>
    <xf numFmtId="167" fontId="8" fillId="22" borderId="12" xfId="11" applyNumberFormat="1" applyFont="1" applyFill="1" applyBorder="1" applyAlignment="1">
      <alignment horizontal="center"/>
    </xf>
    <xf numFmtId="172" fontId="32" fillId="22" borderId="83" xfId="0" applyNumberFormat="1" applyFont="1" applyFill="1" applyBorder="1" applyAlignment="1">
      <alignment horizontal="center"/>
    </xf>
    <xf numFmtId="0" fontId="45" fillId="7" borderId="54" xfId="0" applyFont="1" applyFill="1" applyBorder="1" applyAlignment="1">
      <alignment horizontal="center" vertical="center"/>
    </xf>
    <xf numFmtId="0" fontId="45" fillId="28" borderId="54" xfId="0" applyFont="1" applyFill="1" applyBorder="1" applyAlignment="1">
      <alignment horizontal="center" vertical="center"/>
    </xf>
    <xf numFmtId="0" fontId="45" fillId="4" borderId="115" xfId="0" applyFont="1" applyFill="1" applyBorder="1" applyAlignment="1">
      <alignment horizontal="center"/>
    </xf>
    <xf numFmtId="0" fontId="25" fillId="29" borderId="9" xfId="0" applyFont="1" applyFill="1" applyBorder="1" applyAlignment="1">
      <alignment horizontal="center"/>
    </xf>
    <xf numFmtId="0" fontId="45" fillId="4" borderId="104" xfId="0" applyFont="1" applyFill="1" applyBorder="1" applyAlignment="1">
      <alignment horizontal="center"/>
    </xf>
    <xf numFmtId="0" fontId="25" fillId="29" borderId="161" xfId="0" applyFont="1" applyFill="1" applyBorder="1" applyAlignment="1">
      <alignment horizontal="center"/>
    </xf>
    <xf numFmtId="0" fontId="12" fillId="15" borderId="85" xfId="0" applyFont="1" applyFill="1" applyBorder="1" applyAlignment="1">
      <alignment horizontal="left" vertical="center"/>
    </xf>
    <xf numFmtId="172" fontId="0" fillId="15" borderId="82" xfId="0" applyNumberFormat="1" applyFill="1" applyBorder="1" applyAlignment="1">
      <alignment horizontal="center"/>
    </xf>
    <xf numFmtId="0" fontId="12" fillId="15" borderId="86" xfId="0" applyFont="1" applyFill="1" applyBorder="1" applyAlignment="1">
      <alignment horizontal="left" vertical="center"/>
    </xf>
    <xf numFmtId="9" fontId="0" fillId="15" borderId="83" xfId="11" applyFont="1" applyFill="1" applyBorder="1" applyAlignment="1">
      <alignment horizontal="center"/>
    </xf>
    <xf numFmtId="9" fontId="8" fillId="15" borderId="82" xfId="11" applyFont="1" applyFill="1" applyBorder="1" applyAlignment="1">
      <alignment horizontal="center"/>
    </xf>
    <xf numFmtId="2" fontId="8" fillId="15" borderId="83" xfId="0" applyNumberFormat="1" applyFont="1" applyFill="1" applyBorder="1" applyAlignment="1">
      <alignment horizontal="center" vertical="center"/>
    </xf>
    <xf numFmtId="2" fontId="0" fillId="15" borderId="83" xfId="0" applyNumberFormat="1" applyFill="1" applyBorder="1" applyAlignment="1">
      <alignment horizontal="center"/>
    </xf>
    <xf numFmtId="0" fontId="12" fillId="15" borderId="84" xfId="0" applyFont="1" applyFill="1" applyBorder="1" applyAlignment="1">
      <alignment horizontal="left" vertical="center"/>
    </xf>
    <xf numFmtId="2" fontId="0" fillId="15" borderId="81" xfId="0" applyNumberFormat="1" applyFill="1" applyBorder="1" applyAlignment="1">
      <alignment horizontal="center"/>
    </xf>
    <xf numFmtId="2" fontId="8" fillId="15" borderId="83" xfId="0" applyNumberFormat="1" applyFont="1" applyFill="1" applyBorder="1" applyAlignment="1">
      <alignment horizontal="center"/>
    </xf>
    <xf numFmtId="168" fontId="0" fillId="15" borderId="83" xfId="0" applyNumberFormat="1" applyFill="1" applyBorder="1" applyAlignment="1">
      <alignment horizontal="center"/>
    </xf>
    <xf numFmtId="9" fontId="0" fillId="0" borderId="81" xfId="11" applyFont="1" applyFill="1" applyBorder="1" applyAlignment="1">
      <alignment horizontal="center"/>
    </xf>
    <xf numFmtId="0" fontId="12" fillId="0" borderId="86" xfId="0" applyFont="1" applyBorder="1" applyAlignment="1">
      <alignment horizontal="left" vertical="center"/>
    </xf>
    <xf numFmtId="9" fontId="0" fillId="0" borderId="83" xfId="11" applyFont="1" applyFill="1" applyBorder="1" applyAlignment="1">
      <alignment horizontal="center"/>
    </xf>
    <xf numFmtId="2" fontId="0" fillId="0" borderId="81" xfId="0" applyNumberFormat="1" applyBorder="1" applyAlignment="1">
      <alignment horizontal="center"/>
    </xf>
    <xf numFmtId="0" fontId="12" fillId="0" borderId="85" xfId="0" applyFont="1" applyBorder="1" applyAlignment="1">
      <alignment horizontal="left" vertical="center"/>
    </xf>
    <xf numFmtId="2" fontId="0" fillId="0" borderId="83" xfId="0" applyNumberFormat="1" applyBorder="1" applyAlignment="1">
      <alignment horizontal="center"/>
    </xf>
    <xf numFmtId="2" fontId="8" fillId="15" borderId="81" xfId="0" applyNumberFormat="1" applyFont="1" applyFill="1" applyBorder="1" applyAlignment="1">
      <alignment horizontal="center"/>
    </xf>
    <xf numFmtId="2" fontId="0" fillId="15" borderId="82" xfId="0" applyNumberFormat="1" applyFill="1" applyBorder="1" applyAlignment="1">
      <alignment horizontal="center"/>
    </xf>
    <xf numFmtId="0" fontId="13" fillId="15" borderId="86" xfId="0" applyFont="1" applyFill="1" applyBorder="1" applyAlignment="1">
      <alignment horizontal="left" vertical="center"/>
    </xf>
    <xf numFmtId="2" fontId="0" fillId="15" borderId="83" xfId="11" applyNumberFormat="1" applyFont="1" applyFill="1" applyBorder="1" applyAlignment="1">
      <alignment horizontal="center"/>
    </xf>
    <xf numFmtId="174" fontId="0" fillId="15" borderId="83" xfId="0" applyNumberFormat="1" applyFill="1" applyBorder="1" applyAlignment="1">
      <alignment horizontal="center"/>
    </xf>
    <xf numFmtId="0" fontId="12" fillId="0" borderId="88" xfId="0" applyFont="1" applyBorder="1" applyAlignment="1">
      <alignment horizontal="left" vertical="center"/>
    </xf>
    <xf numFmtId="9" fontId="0" fillId="0" borderId="89" xfId="11" applyFont="1" applyFill="1" applyBorder="1" applyAlignment="1">
      <alignment horizontal="center"/>
    </xf>
    <xf numFmtId="10" fontId="8" fillId="0" borderId="82" xfId="11" applyNumberFormat="1" applyFont="1" applyFill="1" applyBorder="1" applyAlignment="1">
      <alignment horizontal="center"/>
    </xf>
    <xf numFmtId="10" fontId="0" fillId="0" borderId="82" xfId="11" applyNumberFormat="1" applyFont="1" applyFill="1" applyBorder="1" applyAlignment="1">
      <alignment horizontal="center"/>
    </xf>
    <xf numFmtId="168" fontId="0" fillId="0" borderId="82" xfId="0" applyNumberFormat="1" applyBorder="1" applyAlignment="1">
      <alignment horizontal="center"/>
    </xf>
    <xf numFmtId="168" fontId="8" fillId="0" borderId="81" xfId="0" applyNumberFormat="1" applyFont="1" applyBorder="1" applyAlignment="1">
      <alignment horizontal="center"/>
    </xf>
    <xf numFmtId="168" fontId="0" fillId="0" borderId="81" xfId="0" applyNumberFormat="1" applyBorder="1" applyAlignment="1">
      <alignment horizontal="center"/>
    </xf>
    <xf numFmtId="2" fontId="0" fillId="0" borderId="82" xfId="0" applyNumberFormat="1" applyBorder="1" applyAlignment="1">
      <alignment horizontal="center"/>
    </xf>
    <xf numFmtId="168" fontId="0" fillId="0" borderId="83" xfId="0" applyNumberFormat="1" applyBorder="1" applyAlignment="1">
      <alignment horizontal="center"/>
    </xf>
    <xf numFmtId="167" fontId="0" fillId="0" borderId="81" xfId="11" applyNumberFormat="1" applyFont="1" applyFill="1" applyBorder="1" applyAlignment="1">
      <alignment horizontal="center"/>
    </xf>
    <xf numFmtId="172" fontId="24" fillId="16" borderId="176" xfId="0" applyNumberFormat="1" applyFont="1" applyFill="1" applyBorder="1" applyAlignment="1">
      <alignment horizontal="center"/>
    </xf>
    <xf numFmtId="172" fontId="24" fillId="16" borderId="177" xfId="0" applyNumberFormat="1" applyFont="1" applyFill="1" applyBorder="1" applyAlignment="1">
      <alignment horizontal="center"/>
    </xf>
    <xf numFmtId="9" fontId="24" fillId="28" borderId="56" xfId="11" applyFont="1" applyFill="1" applyBorder="1" applyAlignment="1">
      <alignment horizontal="center" vertical="center"/>
    </xf>
    <xf numFmtId="9" fontId="24" fillId="16" borderId="176" xfId="11" applyFont="1" applyFill="1" applyBorder="1" applyAlignment="1">
      <alignment horizontal="center"/>
    </xf>
    <xf numFmtId="9" fontId="24" fillId="16" borderId="87" xfId="11" applyFont="1" applyFill="1" applyBorder="1" applyAlignment="1">
      <alignment horizontal="center"/>
    </xf>
    <xf numFmtId="9" fontId="24" fillId="16" borderId="177" xfId="11" applyFont="1" applyFill="1" applyBorder="1" applyAlignment="1">
      <alignment horizontal="center"/>
    </xf>
    <xf numFmtId="0" fontId="24" fillId="28" borderId="56" xfId="0" applyFont="1" applyFill="1" applyBorder="1" applyAlignment="1">
      <alignment horizontal="center" vertical="center"/>
    </xf>
    <xf numFmtId="2" fontId="24" fillId="16" borderId="87" xfId="0" applyNumberFormat="1" applyFont="1" applyFill="1" applyBorder="1" applyAlignment="1">
      <alignment horizontal="center"/>
    </xf>
    <xf numFmtId="2" fontId="24" fillId="16" borderId="177" xfId="0" applyNumberFormat="1" applyFont="1" applyFill="1" applyBorder="1" applyAlignment="1">
      <alignment horizontal="center"/>
    </xf>
    <xf numFmtId="2" fontId="24" fillId="28" borderId="56" xfId="11" applyNumberFormat="1" applyFont="1" applyFill="1" applyBorder="1" applyAlignment="1">
      <alignment horizontal="center" vertical="center"/>
    </xf>
    <xf numFmtId="2" fontId="24" fillId="16" borderId="176" xfId="0" applyNumberFormat="1" applyFont="1" applyFill="1" applyBorder="1" applyAlignment="1">
      <alignment horizontal="center"/>
    </xf>
    <xf numFmtId="10" fontId="24" fillId="28" borderId="56" xfId="0" applyNumberFormat="1" applyFont="1" applyFill="1" applyBorder="1" applyAlignment="1">
      <alignment horizontal="center" vertical="center"/>
    </xf>
    <xf numFmtId="170" fontId="24" fillId="28" borderId="56" xfId="14" applyNumberFormat="1" applyFont="1" applyFill="1" applyBorder="1" applyAlignment="1">
      <alignment horizontal="center" vertical="center"/>
    </xf>
    <xf numFmtId="2" fontId="24" fillId="16" borderId="87" xfId="11" applyNumberFormat="1" applyFont="1" applyFill="1" applyBorder="1" applyAlignment="1">
      <alignment horizontal="center"/>
    </xf>
    <xf numFmtId="0" fontId="24" fillId="28" borderId="56" xfId="0" applyFont="1" applyFill="1" applyBorder="1" applyAlignment="1">
      <alignment horizontal="center"/>
    </xf>
    <xf numFmtId="9" fontId="24" fillId="16" borderId="58" xfId="11" applyFont="1" applyFill="1" applyBorder="1" applyAlignment="1">
      <alignment horizontal="center"/>
    </xf>
    <xf numFmtId="0" fontId="12" fillId="0" borderId="76" xfId="0" applyFont="1" applyBorder="1" applyAlignment="1">
      <alignment horizontal="left"/>
    </xf>
    <xf numFmtId="3" fontId="50" fillId="0" borderId="117" xfId="0" applyNumberFormat="1" applyFont="1" applyBorder="1" applyAlignment="1">
      <alignment horizontal="center" vertical="center"/>
    </xf>
    <xf numFmtId="3" fontId="50" fillId="6" borderId="118" xfId="0" applyNumberFormat="1" applyFont="1" applyFill="1" applyBorder="1" applyAlignment="1">
      <alignment horizontal="center" vertical="center"/>
    </xf>
    <xf numFmtId="0" fontId="50" fillId="0" borderId="178" xfId="0" applyFont="1" applyBorder="1"/>
    <xf numFmtId="4" fontId="5" fillId="0" borderId="179" xfId="24" applyNumberFormat="1" applyBorder="1" applyAlignment="1">
      <alignment horizontal="center"/>
    </xf>
    <xf numFmtId="0" fontId="50" fillId="0" borderId="30" xfId="0" applyFont="1" applyBorder="1"/>
    <xf numFmtId="10" fontId="5" fillId="0" borderId="0" xfId="24" quotePrefix="1" applyNumberFormat="1" applyAlignment="1">
      <alignment horizontal="right"/>
    </xf>
    <xf numFmtId="1" fontId="50" fillId="35" borderId="180" xfId="0" applyNumberFormat="1" applyFont="1" applyFill="1" applyBorder="1" applyAlignment="1">
      <alignment horizontal="center" vertical="center"/>
    </xf>
    <xf numFmtId="1" fontId="0" fillId="0" borderId="150" xfId="0" applyNumberFormat="1" applyBorder="1" applyAlignment="1">
      <alignment horizontal="center" vertical="center"/>
    </xf>
    <xf numFmtId="1" fontId="0" fillId="0" borderId="3" xfId="0" applyNumberFormat="1" applyBorder="1" applyAlignment="1">
      <alignment horizontal="center" vertical="center"/>
    </xf>
    <xf numFmtId="1" fontId="0" fillId="0" borderId="155" xfId="0" applyNumberFormat="1" applyBorder="1" applyAlignment="1">
      <alignment horizontal="center" vertical="center"/>
    </xf>
    <xf numFmtId="1" fontId="0" fillId="0" borderId="23" xfId="0" applyNumberFormat="1" applyBorder="1" applyAlignment="1">
      <alignment horizontal="center" vertical="center"/>
    </xf>
    <xf numFmtId="0" fontId="50" fillId="0" borderId="118" xfId="0" applyFont="1" applyBorder="1" applyAlignment="1">
      <alignment horizontal="center" vertical="center"/>
    </xf>
    <xf numFmtId="1" fontId="50" fillId="0" borderId="117" xfId="0" applyNumberFormat="1" applyFont="1" applyBorder="1" applyAlignment="1">
      <alignment horizontal="center" vertical="center"/>
    </xf>
    <xf numFmtId="1" fontId="50" fillId="0" borderId="2" xfId="0" applyNumberFormat="1" applyFont="1" applyBorder="1" applyAlignment="1">
      <alignment horizontal="center" vertical="center"/>
    </xf>
    <xf numFmtId="1" fontId="50" fillId="0" borderId="148" xfId="0" applyNumberFormat="1" applyFont="1" applyBorder="1" applyAlignment="1">
      <alignment horizontal="center" vertical="center"/>
    </xf>
    <xf numFmtId="4" fontId="5" fillId="0" borderId="155" xfId="24" applyNumberFormat="1" applyBorder="1" applyAlignment="1">
      <alignment horizontal="center"/>
    </xf>
    <xf numFmtId="4" fontId="5" fillId="0" borderId="150" xfId="24" applyNumberFormat="1" applyBorder="1" applyAlignment="1">
      <alignment horizontal="center"/>
    </xf>
    <xf numFmtId="4" fontId="5" fillId="0" borderId="3" xfId="24" applyNumberFormat="1" applyBorder="1" applyAlignment="1">
      <alignment horizontal="center"/>
    </xf>
    <xf numFmtId="0" fontId="45" fillId="28" borderId="47" xfId="0" applyFont="1" applyFill="1" applyBorder="1" applyAlignment="1">
      <alignment horizontal="left" vertical="center"/>
    </xf>
    <xf numFmtId="10" fontId="0" fillId="0" borderId="38" xfId="0" applyNumberFormat="1" applyBorder="1" applyAlignment="1">
      <alignment horizontal="center" vertical="center"/>
    </xf>
    <xf numFmtId="0" fontId="12" fillId="6" borderId="88" xfId="0" applyFont="1" applyFill="1" applyBorder="1" applyAlignment="1">
      <alignment horizontal="left" vertical="center"/>
    </xf>
    <xf numFmtId="10" fontId="0" fillId="6" borderId="89" xfId="11" applyNumberFormat="1" applyFont="1" applyFill="1" applyBorder="1" applyAlignment="1">
      <alignment horizontal="center" vertical="center"/>
    </xf>
    <xf numFmtId="10" fontId="0" fillId="6" borderId="90" xfId="11" applyNumberFormat="1" applyFont="1" applyFill="1" applyBorder="1" applyAlignment="1">
      <alignment horizontal="center" vertical="center"/>
    </xf>
    <xf numFmtId="0" fontId="45" fillId="0" borderId="0" xfId="0" applyFont="1" applyAlignment="1">
      <alignment horizontal="left" vertical="center"/>
    </xf>
    <xf numFmtId="10" fontId="0" fillId="0" borderId="0" xfId="11" applyNumberFormat="1" applyFont="1" applyFill="1" applyBorder="1" applyAlignment="1">
      <alignment horizontal="center" vertical="center"/>
    </xf>
    <xf numFmtId="0" fontId="54" fillId="31" borderId="58" xfId="0" applyFont="1" applyFill="1" applyBorder="1" applyAlignment="1">
      <alignment horizontal="center" vertical="center"/>
    </xf>
    <xf numFmtId="172" fontId="0" fillId="0" borderId="176" xfId="0" applyNumberFormat="1" applyBorder="1" applyAlignment="1">
      <alignment horizontal="center"/>
    </xf>
    <xf numFmtId="172" fontId="0" fillId="15" borderId="177" xfId="0" applyNumberFormat="1" applyFill="1" applyBorder="1" applyAlignment="1">
      <alignment horizontal="center"/>
    </xf>
    <xf numFmtId="0" fontId="0" fillId="28" borderId="56" xfId="0" applyFill="1" applyBorder="1" applyAlignment="1">
      <alignment horizontal="center"/>
    </xf>
    <xf numFmtId="9" fontId="0" fillId="0" borderId="176" xfId="11" applyFont="1" applyFill="1" applyBorder="1" applyAlignment="1">
      <alignment horizontal="center"/>
    </xf>
    <xf numFmtId="9" fontId="0" fillId="15" borderId="87" xfId="11" applyFont="1" applyFill="1" applyBorder="1" applyAlignment="1">
      <alignment horizontal="center"/>
    </xf>
    <xf numFmtId="9" fontId="0" fillId="0" borderId="87" xfId="11" applyFont="1" applyFill="1" applyBorder="1" applyAlignment="1">
      <alignment horizontal="center"/>
    </xf>
    <xf numFmtId="9" fontId="0" fillId="15" borderId="177" xfId="11" applyFont="1" applyFill="1" applyBorder="1" applyAlignment="1">
      <alignment horizontal="center"/>
    </xf>
    <xf numFmtId="2" fontId="0" fillId="0" borderId="176" xfId="0" applyNumberFormat="1" applyBorder="1" applyAlignment="1">
      <alignment horizontal="center"/>
    </xf>
    <xf numFmtId="2" fontId="0" fillId="15" borderId="87" xfId="0" applyNumberFormat="1" applyFill="1" applyBorder="1" applyAlignment="1">
      <alignment horizontal="center"/>
    </xf>
    <xf numFmtId="2" fontId="0" fillId="0" borderId="177" xfId="0" applyNumberFormat="1" applyBorder="1" applyAlignment="1">
      <alignment horizontal="center"/>
    </xf>
    <xf numFmtId="2" fontId="0" fillId="15" borderId="176" xfId="0" applyNumberFormat="1" applyFill="1" applyBorder="1" applyAlignment="1">
      <alignment horizontal="center"/>
    </xf>
    <xf numFmtId="2" fontId="0" fillId="0" borderId="87" xfId="0" applyNumberFormat="1" applyBorder="1" applyAlignment="1">
      <alignment horizontal="center"/>
    </xf>
    <xf numFmtId="2" fontId="0" fillId="15" borderId="177" xfId="0" applyNumberFormat="1" applyFill="1" applyBorder="1" applyAlignment="1">
      <alignment horizontal="center"/>
    </xf>
    <xf numFmtId="168" fontId="0" fillId="0" borderId="176" xfId="0" applyNumberFormat="1" applyBorder="1" applyAlignment="1">
      <alignment horizontal="center"/>
    </xf>
    <xf numFmtId="168" fontId="0" fillId="15" borderId="87" xfId="0" applyNumberFormat="1" applyFill="1" applyBorder="1" applyAlignment="1">
      <alignment horizontal="center"/>
    </xf>
    <xf numFmtId="168" fontId="0" fillId="0" borderId="87" xfId="0" applyNumberFormat="1" applyBorder="1" applyAlignment="1">
      <alignment horizontal="center"/>
    </xf>
    <xf numFmtId="168" fontId="0" fillId="0" borderId="177" xfId="0" applyNumberFormat="1" applyBorder="1" applyAlignment="1">
      <alignment horizontal="center"/>
    </xf>
    <xf numFmtId="167" fontId="0" fillId="0" borderId="176" xfId="11" applyNumberFormat="1" applyFont="1" applyFill="1" applyBorder="1" applyAlignment="1">
      <alignment horizontal="center"/>
    </xf>
    <xf numFmtId="2" fontId="0" fillId="15" borderId="87" xfId="11" applyNumberFormat="1" applyFont="1" applyFill="1" applyBorder="1" applyAlignment="1">
      <alignment horizontal="center"/>
    </xf>
    <xf numFmtId="10" fontId="0" fillId="0" borderId="177" xfId="11" applyNumberFormat="1" applyFont="1" applyFill="1" applyBorder="1" applyAlignment="1">
      <alignment horizontal="center"/>
    </xf>
    <xf numFmtId="10" fontId="0" fillId="15" borderId="87" xfId="11" applyNumberFormat="1" applyFont="1" applyFill="1" applyBorder="1" applyAlignment="1">
      <alignment horizontal="center" vertical="center"/>
    </xf>
    <xf numFmtId="174" fontId="0" fillId="6" borderId="87" xfId="0" applyNumberFormat="1" applyFill="1" applyBorder="1" applyAlignment="1">
      <alignment horizontal="right" vertical="center"/>
    </xf>
    <xf numFmtId="174" fontId="0" fillId="15" borderId="87" xfId="0" applyNumberFormat="1" applyFill="1" applyBorder="1" applyAlignment="1">
      <alignment horizontal="center"/>
    </xf>
    <xf numFmtId="9" fontId="0" fillId="0" borderId="90" xfId="11" applyFont="1" applyFill="1" applyBorder="1" applyAlignment="1">
      <alignment horizontal="center"/>
    </xf>
    <xf numFmtId="0" fontId="68" fillId="31" borderId="56" xfId="0" applyFont="1" applyFill="1" applyBorder="1" applyAlignment="1">
      <alignment horizontal="center" vertical="center" wrapText="1"/>
    </xf>
    <xf numFmtId="9" fontId="0" fillId="0" borderId="0" xfId="11" applyFont="1" applyBorder="1" applyAlignment="1">
      <alignment horizontal="center" vertical="center"/>
    </xf>
    <xf numFmtId="0" fontId="54" fillId="31" borderId="0" xfId="19" applyFont="1" applyFill="1"/>
    <xf numFmtId="0" fontId="69" fillId="31" borderId="0" xfId="19" applyFont="1" applyFill="1" applyAlignment="1">
      <alignment horizontal="left" vertical="center"/>
    </xf>
    <xf numFmtId="0" fontId="69" fillId="31" borderId="0" xfId="19" applyFont="1" applyFill="1" applyAlignment="1">
      <alignment horizontal="center" vertical="center"/>
    </xf>
    <xf numFmtId="0" fontId="8" fillId="28" borderId="0" xfId="19" applyFill="1"/>
    <xf numFmtId="0" fontId="8" fillId="0" borderId="0" xfId="19"/>
    <xf numFmtId="10" fontId="0" fillId="0" borderId="0" xfId="11" applyNumberFormat="1" applyFont="1" applyAlignment="1">
      <alignment horizontal="left"/>
    </xf>
    <xf numFmtId="0" fontId="12" fillId="0" borderId="0" xfId="19" applyFont="1"/>
    <xf numFmtId="0" fontId="8" fillId="6" borderId="0" xfId="19" applyFill="1"/>
    <xf numFmtId="0" fontId="36" fillId="0" borderId="0" xfId="19" applyFont="1"/>
    <xf numFmtId="10" fontId="8" fillId="6" borderId="0" xfId="19" applyNumberFormat="1" applyFill="1"/>
    <xf numFmtId="0" fontId="8" fillId="0" borderId="0" xfId="19" applyAlignment="1">
      <alignment horizontal="left"/>
    </xf>
    <xf numFmtId="10" fontId="70" fillId="0" borderId="0" xfId="19" applyNumberFormat="1" applyFont="1" applyAlignment="1">
      <alignment horizontal="center"/>
    </xf>
    <xf numFmtId="10" fontId="8" fillId="0" borderId="0" xfId="19" applyNumberFormat="1"/>
    <xf numFmtId="167" fontId="0" fillId="0" borderId="0" xfId="11" applyNumberFormat="1" applyFont="1"/>
    <xf numFmtId="0" fontId="70" fillId="0" borderId="0" xfId="19" applyFont="1"/>
    <xf numFmtId="0" fontId="48" fillId="28" borderId="0" xfId="19" applyFont="1" applyFill="1"/>
    <xf numFmtId="167" fontId="36" fillId="0" borderId="0" xfId="19" applyNumberFormat="1" applyFont="1"/>
    <xf numFmtId="0" fontId="25" fillId="29" borderId="192" xfId="0" applyFont="1" applyFill="1" applyBorder="1" applyAlignment="1">
      <alignment horizontal="center"/>
    </xf>
    <xf numFmtId="0" fontId="12" fillId="0" borderId="192" xfId="0" applyFont="1" applyBorder="1" applyAlignment="1">
      <alignment horizontal="center"/>
    </xf>
    <xf numFmtId="0" fontId="0" fillId="0" borderId="192" xfId="0" applyBorder="1" applyAlignment="1">
      <alignment horizontal="center"/>
    </xf>
    <xf numFmtId="0" fontId="25" fillId="8" borderId="47" xfId="0" applyFont="1" applyFill="1" applyBorder="1" applyAlignment="1">
      <alignment horizontal="center" vertical="center" wrapText="1"/>
    </xf>
    <xf numFmtId="0" fontId="25" fillId="9" borderId="47" xfId="0" applyFont="1" applyFill="1" applyBorder="1" applyAlignment="1">
      <alignment horizontal="center" vertical="center" wrapText="1"/>
    </xf>
    <xf numFmtId="0" fontId="46" fillId="13" borderId="47" xfId="0" applyFont="1" applyFill="1" applyBorder="1" applyAlignment="1">
      <alignment horizontal="center" vertical="center" wrapText="1"/>
    </xf>
    <xf numFmtId="0" fontId="25" fillId="21" borderId="47" xfId="0" applyFont="1" applyFill="1" applyBorder="1" applyAlignment="1">
      <alignment horizontal="center" vertical="center" wrapText="1"/>
    </xf>
    <xf numFmtId="0" fontId="25" fillId="14" borderId="47" xfId="0" applyFont="1" applyFill="1" applyBorder="1" applyAlignment="1">
      <alignment horizontal="center" vertical="center" wrapText="1"/>
    </xf>
    <xf numFmtId="0" fontId="53" fillId="0" borderId="0" xfId="19" applyFont="1" applyAlignment="1">
      <alignment horizontal="center"/>
    </xf>
    <xf numFmtId="0" fontId="8" fillId="22" borderId="0" xfId="0" applyFont="1" applyFill="1" applyAlignment="1">
      <alignment horizontal="center" vertical="center"/>
    </xf>
    <xf numFmtId="175" fontId="71" fillId="41" borderId="0" xfId="11" applyNumberFormat="1" applyFont="1" applyFill="1" applyBorder="1" applyAlignment="1">
      <alignment horizontal="center"/>
    </xf>
    <xf numFmtId="0" fontId="54" fillId="0" borderId="0" xfId="19" applyFont="1"/>
    <xf numFmtId="0" fontId="69" fillId="0" borderId="0" xfId="19" applyFont="1" applyAlignment="1">
      <alignment horizontal="center" vertical="center"/>
    </xf>
    <xf numFmtId="0" fontId="70" fillId="0" borderId="0" xfId="0" applyFont="1" applyAlignment="1">
      <alignment horizontal="center"/>
    </xf>
    <xf numFmtId="0" fontId="12" fillId="6" borderId="0" xfId="19" applyFont="1" applyFill="1" applyAlignment="1">
      <alignment horizontal="center" vertical="center"/>
    </xf>
    <xf numFmtId="0" fontId="45" fillId="21" borderId="55" xfId="0" applyFont="1" applyFill="1" applyBorder="1" applyAlignment="1">
      <alignment horizontal="center" vertical="center" wrapText="1"/>
    </xf>
    <xf numFmtId="0" fontId="45" fillId="14" borderId="56" xfId="0" applyFont="1" applyFill="1" applyBorder="1" applyAlignment="1">
      <alignment horizontal="center" vertical="center" wrapText="1"/>
    </xf>
    <xf numFmtId="3" fontId="58" fillId="33" borderId="145" xfId="0" applyNumberFormat="1" applyFont="1" applyFill="1" applyBorder="1" applyAlignment="1">
      <alignment horizontal="center" vertical="center"/>
    </xf>
    <xf numFmtId="3" fontId="1" fillId="38" borderId="31" xfId="25" applyNumberFormat="1" applyFont="1" applyFill="1" applyBorder="1" applyAlignment="1">
      <alignment horizontal="center" vertical="center"/>
    </xf>
    <xf numFmtId="9" fontId="8" fillId="0" borderId="92" xfId="11" applyFont="1" applyBorder="1" applyAlignment="1">
      <alignment horizontal="center" vertical="center"/>
    </xf>
    <xf numFmtId="9" fontId="8" fillId="15" borderId="83" xfId="11" applyFont="1" applyFill="1" applyBorder="1" applyAlignment="1">
      <alignment horizontal="center" vertical="center"/>
    </xf>
    <xf numFmtId="10" fontId="33" fillId="17" borderId="0" xfId="11" applyNumberFormat="1" applyFont="1" applyFill="1" applyAlignment="1">
      <alignment horizontal="center"/>
    </xf>
    <xf numFmtId="167" fontId="33" fillId="17" borderId="0" xfId="11" applyNumberFormat="1" applyFont="1" applyFill="1" applyAlignment="1">
      <alignment horizontal="center"/>
    </xf>
    <xf numFmtId="10" fontId="33" fillId="17" borderId="0" xfId="0" applyNumberFormat="1" applyFont="1" applyFill="1" applyAlignment="1">
      <alignment horizontal="center"/>
    </xf>
    <xf numFmtId="0" fontId="1" fillId="0" borderId="33" xfId="0" applyFont="1" applyBorder="1"/>
    <xf numFmtId="165" fontId="1" fillId="0" borderId="33" xfId="0" applyNumberFormat="1" applyFont="1" applyBorder="1" applyAlignment="1">
      <alignment horizontal="center"/>
    </xf>
    <xf numFmtId="165" fontId="1" fillId="0" borderId="0" xfId="0" applyNumberFormat="1" applyFont="1" applyAlignment="1">
      <alignment horizontal="center"/>
    </xf>
    <xf numFmtId="4" fontId="5" fillId="0" borderId="148" xfId="24" applyNumberFormat="1" applyBorder="1" applyAlignment="1">
      <alignment horizontal="center"/>
    </xf>
    <xf numFmtId="172" fontId="8" fillId="22" borderId="12" xfId="0" applyNumberFormat="1" applyFont="1" applyFill="1" applyBorder="1" applyAlignment="1">
      <alignment horizontal="center" vertical="center"/>
    </xf>
    <xf numFmtId="3" fontId="5" fillId="0" borderId="128" xfId="24" applyNumberFormat="1" applyBorder="1" applyAlignment="1">
      <alignment horizontal="center"/>
    </xf>
    <xf numFmtId="1" fontId="50" fillId="0" borderId="125" xfId="0" applyNumberFormat="1" applyFont="1" applyBorder="1" applyAlignment="1">
      <alignment horizontal="center" vertical="center"/>
    </xf>
    <xf numFmtId="1" fontId="50" fillId="0" borderId="126" xfId="0" applyNumberFormat="1" applyFont="1" applyBorder="1" applyAlignment="1">
      <alignment horizontal="center" vertical="center"/>
    </xf>
    <xf numFmtId="1" fontId="50" fillId="0" borderId="127" xfId="0" applyNumberFormat="1" applyFont="1" applyBorder="1" applyAlignment="1">
      <alignment horizontal="center" vertical="center"/>
    </xf>
    <xf numFmtId="4" fontId="5" fillId="0" borderId="129" xfId="24" applyNumberFormat="1" applyBorder="1" applyAlignment="1">
      <alignment horizontal="center"/>
    </xf>
    <xf numFmtId="4" fontId="5" fillId="0" borderId="142" xfId="24" applyNumberFormat="1" applyBorder="1" applyAlignment="1">
      <alignment horizontal="center"/>
    </xf>
    <xf numFmtId="4" fontId="5" fillId="0" borderId="143" xfId="24" applyNumberFormat="1" applyBorder="1" applyAlignment="1">
      <alignment horizontal="center"/>
    </xf>
    <xf numFmtId="0" fontId="8" fillId="0" borderId="200" xfId="0" quotePrefix="1" applyFont="1" applyBorder="1" applyAlignment="1">
      <alignment horizontal="center" vertical="center"/>
    </xf>
    <xf numFmtId="0" fontId="8" fillId="0" borderId="32" xfId="0" quotePrefix="1" applyFont="1" applyBorder="1" applyAlignment="1">
      <alignment horizontal="center" vertical="center"/>
    </xf>
    <xf numFmtId="0" fontId="50" fillId="0" borderId="0" xfId="0" applyFont="1" applyAlignment="1">
      <alignment horizontal="center" vertical="center"/>
    </xf>
    <xf numFmtId="0" fontId="8" fillId="0" borderId="0" xfId="19" applyAlignment="1">
      <alignment horizontal="center"/>
    </xf>
    <xf numFmtId="0" fontId="50" fillId="0" borderId="199" xfId="0" applyFont="1" applyBorder="1" applyAlignment="1">
      <alignment horizontal="center" vertical="center"/>
    </xf>
    <xf numFmtId="10" fontId="8" fillId="0" borderId="33" xfId="0" applyNumberFormat="1" applyFont="1" applyBorder="1" applyAlignment="1">
      <alignment horizontal="center" vertical="center"/>
    </xf>
    <xf numFmtId="2" fontId="8" fillId="0" borderId="0" xfId="19" applyNumberFormat="1" applyAlignment="1">
      <alignment horizontal="center" vertical="center"/>
    </xf>
    <xf numFmtId="0" fontId="61" fillId="0" borderId="33" xfId="24" applyFont="1" applyBorder="1"/>
    <xf numFmtId="166" fontId="12" fillId="0" borderId="201" xfId="0" applyNumberFormat="1" applyFont="1" applyBorder="1" applyAlignment="1">
      <alignment horizontal="center"/>
    </xf>
    <xf numFmtId="166" fontId="12" fillId="0" borderId="28" xfId="0" applyNumberFormat="1" applyFont="1" applyBorder="1" applyAlignment="1">
      <alignment horizontal="center"/>
    </xf>
    <xf numFmtId="166" fontId="12" fillId="0" borderId="202" xfId="0" applyNumberFormat="1" applyFont="1" applyBorder="1" applyAlignment="1">
      <alignment horizontal="center"/>
    </xf>
    <xf numFmtId="0" fontId="12" fillId="0" borderId="201" xfId="0" applyFont="1" applyBorder="1" applyAlignment="1">
      <alignment horizontal="center"/>
    </xf>
    <xf numFmtId="10" fontId="0" fillId="30" borderId="58" xfId="0" applyNumberFormat="1" applyFill="1" applyBorder="1"/>
    <xf numFmtId="166" fontId="0" fillId="0" borderId="204" xfId="0" applyNumberFormat="1" applyBorder="1" applyAlignment="1">
      <alignment horizontal="center"/>
    </xf>
    <xf numFmtId="166" fontId="0" fillId="0" borderId="38" xfId="0" applyNumberFormat="1" applyBorder="1" applyAlignment="1">
      <alignment horizontal="center"/>
    </xf>
    <xf numFmtId="165" fontId="8" fillId="0" borderId="83" xfId="0" applyNumberFormat="1" applyFont="1" applyBorder="1" applyAlignment="1">
      <alignment horizontal="center"/>
    </xf>
    <xf numFmtId="1" fontId="8" fillId="0" borderId="205" xfId="0" applyNumberFormat="1" applyFont="1" applyBorder="1" applyAlignment="1">
      <alignment horizontal="center" vertical="center"/>
    </xf>
    <xf numFmtId="1" fontId="8" fillId="0" borderId="206" xfId="0" applyNumberFormat="1" applyFont="1" applyBorder="1" applyAlignment="1">
      <alignment horizontal="center" vertical="center"/>
    </xf>
    <xf numFmtId="1" fontId="8" fillId="0" borderId="207" xfId="0" applyNumberFormat="1" applyFont="1" applyBorder="1" applyAlignment="1">
      <alignment horizontal="center" vertical="center"/>
    </xf>
    <xf numFmtId="3" fontId="8" fillId="0" borderId="208" xfId="0" applyNumberFormat="1" applyFont="1" applyBorder="1" applyAlignment="1">
      <alignment horizontal="center" vertical="center"/>
    </xf>
    <xf numFmtId="1" fontId="55" fillId="0" borderId="209" xfId="0" applyNumberFormat="1" applyFont="1" applyBorder="1" applyAlignment="1">
      <alignment horizontal="center" vertical="center"/>
    </xf>
    <xf numFmtId="1" fontId="55" fillId="36" borderId="210" xfId="0" applyNumberFormat="1" applyFont="1" applyFill="1" applyBorder="1" applyAlignment="1">
      <alignment horizontal="center" vertical="center"/>
    </xf>
    <xf numFmtId="1" fontId="55" fillId="36" borderId="211" xfId="0" applyNumberFormat="1" applyFont="1" applyFill="1" applyBorder="1" applyAlignment="1">
      <alignment horizontal="center" vertical="center"/>
    </xf>
    <xf numFmtId="1" fontId="55" fillId="0" borderId="208" xfId="0" applyNumberFormat="1" applyFont="1" applyBorder="1" applyAlignment="1">
      <alignment horizontal="center" vertical="center"/>
    </xf>
    <xf numFmtId="1" fontId="55" fillId="36" borderId="208" xfId="0" applyNumberFormat="1" applyFont="1" applyFill="1" applyBorder="1" applyAlignment="1">
      <alignment horizontal="center" vertical="center"/>
    </xf>
    <xf numFmtId="1" fontId="55" fillId="36" borderId="209" xfId="0" applyNumberFormat="1" applyFont="1" applyFill="1" applyBorder="1" applyAlignment="1">
      <alignment horizontal="center" vertical="center"/>
    </xf>
    <xf numFmtId="0" fontId="8" fillId="0" borderId="212" xfId="0" quotePrefix="1" applyFont="1" applyBorder="1" applyAlignment="1">
      <alignment horizontal="center" vertical="center"/>
    </xf>
    <xf numFmtId="0" fontId="8" fillId="0" borderId="209" xfId="0" quotePrefix="1" applyFont="1" applyBorder="1" applyAlignment="1">
      <alignment horizontal="center" vertical="center"/>
    </xf>
    <xf numFmtId="1" fontId="55" fillId="0" borderId="211" xfId="0" applyNumberFormat="1" applyFont="1" applyBorder="1" applyAlignment="1">
      <alignment horizontal="center" vertical="center"/>
    </xf>
    <xf numFmtId="3" fontId="55" fillId="36" borderId="213" xfId="0" applyNumberFormat="1" applyFont="1" applyFill="1" applyBorder="1" applyAlignment="1">
      <alignment horizontal="center" vertical="center"/>
    </xf>
    <xf numFmtId="3" fontId="55" fillId="36" borderId="214" xfId="0" applyNumberFormat="1" applyFont="1" applyFill="1" applyBorder="1" applyAlignment="1">
      <alignment horizontal="center" vertical="center"/>
    </xf>
    <xf numFmtId="3" fontId="55" fillId="36" borderId="215" xfId="0" applyNumberFormat="1" applyFont="1" applyFill="1" applyBorder="1" applyAlignment="1">
      <alignment horizontal="center" vertical="center"/>
    </xf>
    <xf numFmtId="3" fontId="55" fillId="36" borderId="216" xfId="0" applyNumberFormat="1" applyFont="1" applyFill="1" applyBorder="1" applyAlignment="1">
      <alignment horizontal="center" vertical="center"/>
    </xf>
    <xf numFmtId="3" fontId="55" fillId="36" borderId="217" xfId="0" applyNumberFormat="1" applyFont="1" applyFill="1" applyBorder="1" applyAlignment="1">
      <alignment horizontal="center" vertical="center"/>
    </xf>
    <xf numFmtId="0" fontId="55" fillId="0" borderId="144" xfId="0" applyFont="1" applyBorder="1" applyAlignment="1">
      <alignment horizontal="center" vertical="center"/>
    </xf>
    <xf numFmtId="0" fontId="55" fillId="0" borderId="31" xfId="0" applyFont="1" applyBorder="1" applyAlignment="1">
      <alignment horizontal="center" vertical="center"/>
    </xf>
    <xf numFmtId="3" fontId="55" fillId="35" borderId="31" xfId="0" applyNumberFormat="1" applyFont="1" applyFill="1" applyBorder="1" applyAlignment="1">
      <alignment horizontal="center" vertical="center"/>
    </xf>
    <xf numFmtId="0" fontId="55" fillId="36" borderId="31" xfId="0" applyFont="1" applyFill="1" applyBorder="1" applyAlignment="1">
      <alignment horizontal="center" vertical="center"/>
    </xf>
    <xf numFmtId="3" fontId="55" fillId="35" borderId="31" xfId="0" quotePrefix="1" applyNumberFormat="1" applyFont="1" applyFill="1" applyBorder="1" applyAlignment="1">
      <alignment horizontal="center" vertical="center"/>
    </xf>
    <xf numFmtId="3" fontId="55" fillId="0" borderId="31" xfId="0" applyNumberFormat="1" applyFont="1" applyBorder="1" applyAlignment="1">
      <alignment horizontal="center" vertical="center"/>
    </xf>
    <xf numFmtId="0" fontId="52" fillId="0" borderId="97" xfId="0" applyFont="1" applyBorder="1" applyAlignment="1">
      <alignment horizontal="center"/>
    </xf>
    <xf numFmtId="0" fontId="12" fillId="0" borderId="210" xfId="0" applyFont="1" applyBorder="1" applyAlignment="1">
      <alignment horizontal="center"/>
    </xf>
    <xf numFmtId="0" fontId="8" fillId="32" borderId="218" xfId="0" applyFont="1" applyFill="1" applyBorder="1"/>
    <xf numFmtId="0" fontId="12" fillId="0" borderId="218" xfId="0" applyFont="1" applyBorder="1"/>
    <xf numFmtId="0" fontId="8" fillId="0" borderId="218" xfId="0" applyFont="1" applyBorder="1"/>
    <xf numFmtId="0" fontId="12" fillId="0" borderId="219" xfId="0" applyFont="1" applyBorder="1" applyAlignment="1">
      <alignment horizontal="center"/>
    </xf>
    <xf numFmtId="0" fontId="8" fillId="0" borderId="124" xfId="0" applyFont="1" applyBorder="1"/>
    <xf numFmtId="9" fontId="31" fillId="33" borderId="157" xfId="11" applyFont="1" applyFill="1" applyBorder="1" applyAlignment="1">
      <alignment horizontal="center" vertical="center"/>
    </xf>
    <xf numFmtId="3" fontId="1" fillId="38" borderId="1" xfId="25" applyNumberFormat="1" applyFont="1" applyFill="1" applyBorder="1" applyAlignment="1">
      <alignment horizontal="center" vertical="center"/>
    </xf>
    <xf numFmtId="167" fontId="31" fillId="33" borderId="32" xfId="11" applyNumberFormat="1" applyFont="1" applyFill="1" applyBorder="1" applyAlignment="1">
      <alignment horizontal="center" vertical="center"/>
    </xf>
    <xf numFmtId="3" fontId="58" fillId="0" borderId="32" xfId="0" applyNumberFormat="1" applyFont="1" applyBorder="1" applyAlignment="1">
      <alignment horizontal="center" vertical="center"/>
    </xf>
    <xf numFmtId="0" fontId="64" fillId="33" borderId="32" xfId="0" applyFont="1" applyFill="1" applyBorder="1" applyAlignment="1">
      <alignment horizontal="center" vertical="center"/>
    </xf>
    <xf numFmtId="3" fontId="23" fillId="33" borderId="32" xfId="0" applyNumberFormat="1" applyFont="1" applyFill="1" applyBorder="1" applyAlignment="1">
      <alignment horizontal="center" vertical="center"/>
    </xf>
    <xf numFmtId="3" fontId="58" fillId="33" borderId="32" xfId="0" applyNumberFormat="1" applyFont="1" applyFill="1" applyBorder="1" applyAlignment="1">
      <alignment horizontal="center" vertical="center"/>
    </xf>
    <xf numFmtId="0" fontId="58" fillId="0" borderId="32" xfId="0" applyFont="1" applyBorder="1" applyAlignment="1">
      <alignment horizontal="center" vertical="center"/>
    </xf>
    <xf numFmtId="3" fontId="64" fillId="33" borderId="32" xfId="0" quotePrefix="1" applyNumberFormat="1" applyFont="1" applyFill="1" applyBorder="1" applyAlignment="1">
      <alignment horizontal="center" vertical="center"/>
    </xf>
    <xf numFmtId="0" fontId="58" fillId="33" borderId="220" xfId="0" applyFont="1" applyFill="1" applyBorder="1" applyAlignment="1">
      <alignment horizontal="center" vertical="center"/>
    </xf>
    <xf numFmtId="0" fontId="52" fillId="0" borderId="221" xfId="0" applyFont="1" applyBorder="1" applyAlignment="1">
      <alignment horizontal="center"/>
    </xf>
    <xf numFmtId="0" fontId="53" fillId="0" borderId="166" xfId="0" applyFont="1" applyBorder="1" applyAlignment="1">
      <alignment horizontal="center"/>
    </xf>
    <xf numFmtId="0" fontId="12" fillId="32" borderId="218" xfId="0" applyFont="1" applyFill="1" applyBorder="1"/>
    <xf numFmtId="0" fontId="25" fillId="29" borderId="16" xfId="0" applyFont="1" applyFill="1" applyBorder="1" applyAlignment="1">
      <alignment horizontal="center"/>
    </xf>
    <xf numFmtId="14" fontId="12" fillId="0" borderId="223" xfId="0" applyNumberFormat="1" applyFont="1" applyBorder="1" applyAlignment="1">
      <alignment horizontal="center" vertical="center"/>
    </xf>
    <xf numFmtId="14" fontId="12" fillId="0" borderId="224" xfId="0" applyNumberFormat="1" applyFont="1" applyBorder="1" applyAlignment="1">
      <alignment horizontal="center" vertical="center"/>
    </xf>
    <xf numFmtId="0" fontId="8" fillId="0" borderId="228" xfId="0" applyFont="1" applyBorder="1" applyAlignment="1">
      <alignment horizontal="center" vertical="center"/>
    </xf>
    <xf numFmtId="0" fontId="0" fillId="0" borderId="229" xfId="0" applyBorder="1" applyAlignment="1">
      <alignment horizontal="center" vertical="center"/>
    </xf>
    <xf numFmtId="0" fontId="0" fillId="0" borderId="230" xfId="0" applyBorder="1"/>
    <xf numFmtId="0" fontId="0" fillId="0" borderId="230" xfId="0" quotePrefix="1" applyBorder="1"/>
    <xf numFmtId="2" fontId="0" fillId="22" borderId="231" xfId="11" applyNumberFormat="1" applyFont="1" applyFill="1" applyBorder="1" applyAlignment="1">
      <alignment horizontal="center"/>
    </xf>
    <xf numFmtId="167" fontId="0" fillId="22" borderId="231" xfId="11" applyNumberFormat="1" applyFont="1" applyFill="1" applyBorder="1" applyAlignment="1">
      <alignment horizontal="center"/>
    </xf>
    <xf numFmtId="168" fontId="0" fillId="22" borderId="231" xfId="11" applyNumberFormat="1" applyFont="1" applyFill="1" applyBorder="1" applyAlignment="1">
      <alignment horizontal="center"/>
    </xf>
    <xf numFmtId="168" fontId="0" fillId="22" borderId="231" xfId="0" applyNumberFormat="1" applyFill="1" applyBorder="1" applyAlignment="1">
      <alignment horizontal="center"/>
    </xf>
    <xf numFmtId="0" fontId="12" fillId="0" borderId="230" xfId="0" applyFont="1" applyBorder="1" applyAlignment="1">
      <alignment horizontal="center"/>
    </xf>
    <xf numFmtId="0" fontId="0" fillId="5" borderId="0" xfId="0" applyFill="1"/>
    <xf numFmtId="14" fontId="38" fillId="0" borderId="225" xfId="0" applyNumberFormat="1" applyFont="1" applyBorder="1" applyAlignment="1">
      <alignment horizontal="center" vertical="center"/>
    </xf>
    <xf numFmtId="176" fontId="8" fillId="22" borderId="12" xfId="0" applyNumberFormat="1" applyFont="1" applyFill="1" applyBorder="1" applyAlignment="1">
      <alignment horizontal="center"/>
    </xf>
    <xf numFmtId="177" fontId="8" fillId="22" borderId="12" xfId="29" applyNumberFormat="1" applyFont="1" applyFill="1" applyBorder="1" applyAlignment="1">
      <alignment horizontal="center" vertical="center"/>
    </xf>
    <xf numFmtId="10" fontId="0" fillId="22" borderId="231" xfId="11" applyNumberFormat="1" applyFont="1" applyFill="1" applyBorder="1" applyAlignment="1">
      <alignment horizontal="center"/>
    </xf>
    <xf numFmtId="9" fontId="8" fillId="0" borderId="77" xfId="0" applyNumberFormat="1" applyFont="1" applyBorder="1" applyAlignment="1">
      <alignment horizontal="center"/>
    </xf>
    <xf numFmtId="1" fontId="0" fillId="0" borderId="77" xfId="0" applyNumberFormat="1" applyBorder="1" applyAlignment="1">
      <alignment horizontal="center"/>
    </xf>
    <xf numFmtId="9" fontId="75" fillId="0" borderId="76" xfId="11" applyFont="1" applyBorder="1"/>
    <xf numFmtId="10" fontId="75" fillId="30" borderId="74" xfId="0" applyNumberFormat="1" applyFont="1" applyFill="1" applyBorder="1"/>
    <xf numFmtId="9" fontId="75" fillId="0" borderId="64" xfId="0" applyNumberFormat="1" applyFont="1" applyBorder="1" applyAlignment="1">
      <alignment horizontal="center"/>
    </xf>
    <xf numFmtId="0" fontId="76" fillId="0" borderId="76" xfId="0" applyFont="1" applyBorder="1" applyAlignment="1">
      <alignment horizontal="left"/>
    </xf>
    <xf numFmtId="1" fontId="76" fillId="0" borderId="77" xfId="0" applyNumberFormat="1" applyFont="1" applyBorder="1" applyAlignment="1">
      <alignment horizontal="center"/>
    </xf>
    <xf numFmtId="0" fontId="76" fillId="0" borderId="71" xfId="0" applyFont="1" applyBorder="1" applyAlignment="1">
      <alignment horizontal="left"/>
    </xf>
    <xf numFmtId="1" fontId="12" fillId="0" borderId="201" xfId="0" applyNumberFormat="1" applyFont="1" applyBorder="1" applyAlignment="1">
      <alignment horizontal="center"/>
    </xf>
    <xf numFmtId="1" fontId="12" fillId="0" borderId="28" xfId="0" applyNumberFormat="1" applyFont="1" applyBorder="1" applyAlignment="1">
      <alignment horizontal="center"/>
    </xf>
    <xf numFmtId="1" fontId="12" fillId="0" borderId="202" xfId="0" applyNumberFormat="1" applyFont="1" applyBorder="1" applyAlignment="1">
      <alignment horizontal="center"/>
    </xf>
    <xf numFmtId="9" fontId="8" fillId="0" borderId="70" xfId="0" applyNumberFormat="1" applyFont="1" applyBorder="1" applyAlignment="1">
      <alignment horizontal="center"/>
    </xf>
    <xf numFmtId="9" fontId="8" fillId="0" borderId="71" xfId="0" applyNumberFormat="1" applyFont="1" applyBorder="1" applyAlignment="1">
      <alignment horizontal="center"/>
    </xf>
    <xf numFmtId="9" fontId="12" fillId="0" borderId="56" xfId="0" applyNumberFormat="1" applyFont="1" applyBorder="1" applyAlignment="1">
      <alignment horizontal="center"/>
    </xf>
    <xf numFmtId="9" fontId="8" fillId="0" borderId="72" xfId="0" applyNumberFormat="1" applyFont="1" applyBorder="1" applyAlignment="1">
      <alignment horizontal="center"/>
    </xf>
    <xf numFmtId="9" fontId="75" fillId="0" borderId="77" xfId="0" applyNumberFormat="1" applyFont="1" applyBorder="1" applyAlignment="1">
      <alignment horizontal="center"/>
    </xf>
    <xf numFmtId="9" fontId="0" fillId="0" borderId="76" xfId="0" applyNumberFormat="1" applyBorder="1" applyAlignment="1">
      <alignment horizontal="center"/>
    </xf>
    <xf numFmtId="9" fontId="75" fillId="0" borderId="76" xfId="0" applyNumberFormat="1" applyFont="1" applyBorder="1" applyAlignment="1">
      <alignment horizontal="center"/>
    </xf>
    <xf numFmtId="9" fontId="8" fillId="0" borderId="76" xfId="0" applyNumberFormat="1" applyFont="1" applyBorder="1" applyAlignment="1">
      <alignment horizontal="center"/>
    </xf>
    <xf numFmtId="9" fontId="75" fillId="0" borderId="71" xfId="0" applyNumberFormat="1" applyFont="1" applyBorder="1" applyAlignment="1">
      <alignment horizontal="center"/>
    </xf>
    <xf numFmtId="1" fontId="0" fillId="0" borderId="0" xfId="0" applyNumberFormat="1" applyAlignment="1">
      <alignment horizontal="center"/>
    </xf>
    <xf numFmtId="0" fontId="10" fillId="0" borderId="0" xfId="6" applyAlignment="1" applyProtection="1"/>
    <xf numFmtId="0" fontId="0" fillId="16" borderId="0" xfId="0" applyFill="1"/>
    <xf numFmtId="0" fontId="41" fillId="0" borderId="0" xfId="0" applyFont="1"/>
    <xf numFmtId="0" fontId="9" fillId="0" borderId="0" xfId="0" applyFont="1"/>
    <xf numFmtId="0" fontId="8" fillId="6" borderId="12" xfId="0" applyFont="1" applyFill="1" applyBorder="1" applyAlignment="1">
      <alignment horizontal="left" vertical="center" wrapText="1"/>
    </xf>
    <xf numFmtId="3" fontId="8" fillId="0" borderId="0" xfId="19" applyNumberFormat="1"/>
    <xf numFmtId="0" fontId="0" fillId="0" borderId="0" xfId="0" applyAlignment="1">
      <alignment horizontal="left"/>
    </xf>
    <xf numFmtId="175" fontId="70" fillId="0" borderId="0" xfId="19" applyNumberFormat="1" applyFont="1"/>
    <xf numFmtId="0" fontId="12" fillId="0" borderId="131" xfId="0" applyFont="1" applyBorder="1" applyAlignment="1">
      <alignment horizontal="center" wrapText="1"/>
    </xf>
    <xf numFmtId="167" fontId="31" fillId="6" borderId="31" xfId="11" applyNumberFormat="1" applyFont="1" applyFill="1" applyBorder="1" applyAlignment="1">
      <alignment horizontal="center" vertical="center"/>
    </xf>
    <xf numFmtId="3" fontId="64" fillId="33" borderId="32" xfId="0" applyNumberFormat="1" applyFont="1" applyFill="1" applyBorder="1" applyAlignment="1">
      <alignment horizontal="center" vertical="center"/>
    </xf>
    <xf numFmtId="2" fontId="71" fillId="41" borderId="0" xfId="11" applyNumberFormat="1" applyFont="1" applyFill="1" applyAlignment="1">
      <alignment horizontal="center"/>
    </xf>
    <xf numFmtId="0" fontId="0" fillId="0" borderId="0" xfId="0" applyAlignment="1">
      <alignment horizontal="center" vertical="center" wrapText="1"/>
    </xf>
    <xf numFmtId="0" fontId="0" fillId="0" borderId="57" xfId="0" applyBorder="1" applyAlignment="1">
      <alignment horizontal="center" vertical="center" wrapText="1"/>
    </xf>
    <xf numFmtId="0" fontId="36" fillId="21" borderId="0" xfId="0" applyFont="1" applyFill="1"/>
    <xf numFmtId="0" fontId="36" fillId="7" borderId="0" xfId="0" applyFont="1" applyFill="1"/>
    <xf numFmtId="0" fontId="36" fillId="10" borderId="0" xfId="0" applyFont="1" applyFill="1"/>
    <xf numFmtId="3" fontId="36" fillId="7" borderId="0" xfId="0" applyNumberFormat="1" applyFont="1" applyFill="1"/>
    <xf numFmtId="10" fontId="36" fillId="0" borderId="0" xfId="0" applyNumberFormat="1" applyFont="1"/>
    <xf numFmtId="10" fontId="36" fillId="0" borderId="0" xfId="11" applyNumberFormat="1" applyFont="1"/>
    <xf numFmtId="9" fontId="71" fillId="41" borderId="0" xfId="11" applyFont="1" applyFill="1" applyAlignment="1">
      <alignment horizontal="center"/>
    </xf>
    <xf numFmtId="10" fontId="70" fillId="0" borderId="0" xfId="11" applyNumberFormat="1" applyFont="1"/>
    <xf numFmtId="10" fontId="71" fillId="41" borderId="0" xfId="11" applyNumberFormat="1" applyFont="1" applyFill="1" applyBorder="1" applyAlignment="1">
      <alignment horizontal="center"/>
    </xf>
    <xf numFmtId="2" fontId="70" fillId="0" borderId="0" xfId="11" applyNumberFormat="1" applyFont="1" applyAlignment="1">
      <alignment horizontal="center"/>
    </xf>
    <xf numFmtId="2" fontId="8" fillId="0" borderId="0" xfId="19" applyNumberFormat="1"/>
    <xf numFmtId="178" fontId="50" fillId="0" borderId="0" xfId="11" applyNumberFormat="1" applyFont="1"/>
    <xf numFmtId="0" fontId="40" fillId="21" borderId="0" xfId="0" applyFont="1" applyFill="1"/>
    <xf numFmtId="9" fontId="8" fillId="0" borderId="0" xfId="11"/>
    <xf numFmtId="172" fontId="0" fillId="0" borderId="0" xfId="0" applyNumberFormat="1" applyAlignment="1">
      <alignment horizontal="center"/>
    </xf>
    <xf numFmtId="3" fontId="0" fillId="19" borderId="0" xfId="0" applyNumberFormat="1" applyFill="1"/>
    <xf numFmtId="1" fontId="50" fillId="35" borderId="245" xfId="0" applyNumberFormat="1" applyFont="1" applyFill="1" applyBorder="1" applyAlignment="1">
      <alignment horizontal="center" vertical="center"/>
    </xf>
    <xf numFmtId="1" fontId="50" fillId="35" borderId="119" xfId="0" applyNumberFormat="1" applyFont="1" applyFill="1" applyBorder="1" applyAlignment="1">
      <alignment horizontal="center" vertical="center"/>
    </xf>
    <xf numFmtId="1" fontId="50" fillId="35" borderId="129" xfId="0" applyNumberFormat="1" applyFont="1" applyFill="1" applyBorder="1" applyAlignment="1">
      <alignment horizontal="center" vertical="center"/>
    </xf>
    <xf numFmtId="1" fontId="50" fillId="35" borderId="142" xfId="0" applyNumberFormat="1" applyFont="1" applyFill="1" applyBorder="1" applyAlignment="1">
      <alignment horizontal="center" vertical="center"/>
    </xf>
    <xf numFmtId="1" fontId="50" fillId="35" borderId="143" xfId="0" applyNumberFormat="1" applyFont="1" applyFill="1" applyBorder="1" applyAlignment="1">
      <alignment horizontal="center" vertical="center"/>
    </xf>
    <xf numFmtId="1" fontId="55" fillId="10" borderId="208" xfId="0" applyNumberFormat="1" applyFont="1" applyFill="1" applyBorder="1" applyAlignment="1">
      <alignment horizontal="center" vertical="center"/>
    </xf>
    <xf numFmtId="3" fontId="5" fillId="21" borderId="128" xfId="24" applyNumberFormat="1" applyFill="1" applyBorder="1" applyAlignment="1">
      <alignment horizontal="center"/>
    </xf>
    <xf numFmtId="1" fontId="50" fillId="10" borderId="33" xfId="0" applyNumberFormat="1" applyFont="1" applyFill="1" applyBorder="1" applyAlignment="1">
      <alignment horizontal="center" vertical="center"/>
    </xf>
    <xf numFmtId="0" fontId="0" fillId="5" borderId="244" xfId="0" applyFill="1" applyBorder="1" applyAlignment="1">
      <alignment horizontal="center"/>
    </xf>
    <xf numFmtId="0" fontId="12" fillId="0" borderId="49" xfId="0" applyFont="1" applyBorder="1"/>
    <xf numFmtId="0" fontId="12" fillId="0" borderId="50" xfId="0" applyFont="1" applyBorder="1"/>
    <xf numFmtId="0" fontId="12" fillId="0" borderId="37" xfId="0" applyFont="1" applyBorder="1"/>
    <xf numFmtId="0" fontId="60" fillId="0" borderId="37" xfId="0" applyFont="1" applyBorder="1"/>
    <xf numFmtId="0" fontId="12" fillId="0" borderId="52" xfId="0" applyFont="1" applyBorder="1"/>
    <xf numFmtId="0" fontId="12" fillId="0" borderId="57" xfId="0" applyFont="1" applyBorder="1"/>
    <xf numFmtId="172" fontId="8" fillId="6" borderId="39" xfId="0" applyNumberFormat="1" applyFont="1" applyFill="1" applyBorder="1" applyAlignment="1">
      <alignment horizontal="center" vertical="center"/>
    </xf>
    <xf numFmtId="9" fontId="8" fillId="6" borderId="39" xfId="11" applyFont="1" applyFill="1" applyBorder="1" applyAlignment="1">
      <alignment horizontal="center" vertical="center"/>
    </xf>
    <xf numFmtId="172" fontId="31" fillId="6" borderId="39" xfId="11" applyNumberFormat="1" applyFont="1" applyFill="1" applyBorder="1" applyAlignment="1">
      <alignment horizontal="center" vertical="center"/>
    </xf>
    <xf numFmtId="9" fontId="31" fillId="6" borderId="39" xfId="11" applyFont="1" applyFill="1" applyBorder="1" applyAlignment="1">
      <alignment horizontal="center" vertical="center"/>
    </xf>
    <xf numFmtId="167" fontId="31" fillId="22" borderId="39" xfId="11" applyNumberFormat="1" applyFont="1" applyFill="1" applyBorder="1" applyAlignment="1">
      <alignment horizontal="center" vertical="center"/>
    </xf>
    <xf numFmtId="9" fontId="31" fillId="5" borderId="39" xfId="11" applyFont="1" applyFill="1" applyBorder="1" applyAlignment="1">
      <alignment horizontal="center" vertical="center"/>
    </xf>
    <xf numFmtId="167" fontId="31" fillId="10" borderId="39" xfId="11" applyNumberFormat="1" applyFont="1" applyFill="1" applyBorder="1" applyAlignment="1">
      <alignment horizontal="center" vertical="center"/>
    </xf>
    <xf numFmtId="166" fontId="8" fillId="22" borderId="12" xfId="0" applyNumberFormat="1" applyFont="1" applyFill="1" applyBorder="1" applyAlignment="1">
      <alignment horizontal="center" vertical="center"/>
    </xf>
    <xf numFmtId="166" fontId="0" fillId="22" borderId="13" xfId="0" applyNumberFormat="1" applyFill="1" applyBorder="1" applyAlignment="1">
      <alignment horizontal="center" vertical="center"/>
    </xf>
    <xf numFmtId="166" fontId="12" fillId="22" borderId="12" xfId="0" applyNumberFormat="1" applyFont="1" applyFill="1" applyBorder="1" applyAlignment="1">
      <alignment horizontal="center" vertical="center"/>
    </xf>
    <xf numFmtId="166" fontId="12" fillId="22" borderId="13" xfId="0" applyNumberFormat="1" applyFont="1" applyFill="1" applyBorder="1" applyAlignment="1">
      <alignment horizontal="center" vertical="center"/>
    </xf>
    <xf numFmtId="2" fontId="8" fillId="22" borderId="39" xfId="0" applyNumberFormat="1" applyFont="1" applyFill="1" applyBorder="1" applyAlignment="1">
      <alignment horizontal="center" vertical="center"/>
    </xf>
    <xf numFmtId="2" fontId="0" fillId="22" borderId="43" xfId="0" applyNumberFormat="1" applyFill="1" applyBorder="1" applyAlignment="1">
      <alignment horizontal="center" vertical="center"/>
    </xf>
    <xf numFmtId="2" fontId="31" fillId="22" borderId="39" xfId="11" applyNumberFormat="1" applyFont="1" applyFill="1" applyBorder="1" applyAlignment="1">
      <alignment horizontal="center" vertical="center"/>
    </xf>
    <xf numFmtId="2" fontId="31" fillId="22" borderId="43" xfId="11" applyNumberFormat="1" applyFont="1" applyFill="1" applyBorder="1" applyAlignment="1">
      <alignment horizontal="center" vertical="center"/>
    </xf>
    <xf numFmtId="0" fontId="12" fillId="6" borderId="161" xfId="0" applyFont="1" applyFill="1" applyBorder="1" applyAlignment="1">
      <alignment vertical="center"/>
    </xf>
    <xf numFmtId="0" fontId="60" fillId="6" borderId="161" xfId="0" applyFont="1" applyFill="1" applyBorder="1" applyAlignment="1">
      <alignment vertical="center"/>
    </xf>
    <xf numFmtId="0" fontId="12" fillId="6" borderId="158" xfId="0" applyFont="1" applyFill="1" applyBorder="1" applyAlignment="1">
      <alignment vertical="center" wrapText="1"/>
    </xf>
    <xf numFmtId="0" fontId="12" fillId="6" borderId="158" xfId="0" applyFont="1" applyFill="1" applyBorder="1" applyAlignment="1">
      <alignment vertical="center"/>
    </xf>
    <xf numFmtId="0" fontId="60" fillId="6" borderId="161" xfId="0" applyFont="1" applyFill="1" applyBorder="1" applyAlignment="1">
      <alignment horizontal="left" vertical="center"/>
    </xf>
    <xf numFmtId="0" fontId="0" fillId="29" borderId="81" xfId="0" applyFill="1" applyBorder="1"/>
    <xf numFmtId="0" fontId="0" fillId="29" borderId="176" xfId="0" applyFill="1" applyBorder="1"/>
    <xf numFmtId="172" fontId="0" fillId="0" borderId="38" xfId="0" applyNumberFormat="1" applyBorder="1" applyAlignment="1">
      <alignment horizontal="center"/>
    </xf>
    <xf numFmtId="172" fontId="0" fillId="0" borderId="87" xfId="0" applyNumberFormat="1" applyBorder="1" applyAlignment="1">
      <alignment horizontal="center" wrapText="1"/>
    </xf>
    <xf numFmtId="0" fontId="23" fillId="7" borderId="12" xfId="0" applyFont="1" applyFill="1" applyBorder="1" applyAlignment="1">
      <alignment horizontal="center"/>
    </xf>
    <xf numFmtId="0" fontId="8" fillId="21" borderId="12" xfId="0" applyFont="1" applyFill="1" applyBorder="1" applyAlignment="1">
      <alignment horizontal="center"/>
    </xf>
    <xf numFmtId="0" fontId="82" fillId="31" borderId="250" xfId="0" applyFont="1" applyFill="1" applyBorder="1"/>
    <xf numFmtId="0" fontId="82" fillId="31" borderId="251" xfId="0" applyFont="1" applyFill="1" applyBorder="1"/>
    <xf numFmtId="0" fontId="82" fillId="31" borderId="252" xfId="0" applyFont="1" applyFill="1" applyBorder="1"/>
    <xf numFmtId="0" fontId="82" fillId="31" borderId="253" xfId="0" applyFont="1" applyFill="1" applyBorder="1"/>
    <xf numFmtId="0" fontId="82" fillId="31" borderId="254" xfId="0" applyFont="1" applyFill="1" applyBorder="1"/>
    <xf numFmtId="0" fontId="82" fillId="31" borderId="255" xfId="0" applyFont="1" applyFill="1" applyBorder="1"/>
    <xf numFmtId="0" fontId="83" fillId="0" borderId="37" xfId="0" applyFont="1" applyBorder="1"/>
    <xf numFmtId="0" fontId="60" fillId="42" borderId="256" xfId="0" applyFont="1" applyFill="1" applyBorder="1"/>
    <xf numFmtId="0" fontId="60" fillId="42" borderId="257" xfId="0" applyFont="1" applyFill="1" applyBorder="1"/>
    <xf numFmtId="0" fontId="60" fillId="42" borderId="38" xfId="0" applyFont="1" applyFill="1" applyBorder="1"/>
    <xf numFmtId="0" fontId="27" fillId="0" borderId="37" xfId="0" applyFont="1" applyBorder="1"/>
    <xf numFmtId="0" fontId="27" fillId="0" borderId="257" xfId="0" applyFont="1" applyBorder="1"/>
    <xf numFmtId="0" fontId="27" fillId="43" borderId="37" xfId="0" applyFont="1" applyFill="1" applyBorder="1"/>
    <xf numFmtId="0" fontId="0" fillId="43" borderId="256" xfId="0" applyFill="1" applyBorder="1"/>
    <xf numFmtId="0" fontId="0" fillId="43" borderId="257" xfId="0" applyFill="1" applyBorder="1"/>
    <xf numFmtId="0" fontId="0" fillId="43" borderId="38" xfId="0" applyFill="1" applyBorder="1" applyAlignment="1">
      <alignment wrapText="1"/>
    </xf>
    <xf numFmtId="0" fontId="8" fillId="0" borderId="0" xfId="0" applyFont="1" applyAlignment="1">
      <alignment vertical="center"/>
    </xf>
    <xf numFmtId="0" fontId="27" fillId="0" borderId="52" xfId="0" applyFont="1" applyBorder="1"/>
    <xf numFmtId="0" fontId="27" fillId="0" borderId="258" xfId="0" applyFont="1" applyBorder="1"/>
    <xf numFmtId="0" fontId="27" fillId="43" borderId="259" xfId="0" applyFont="1" applyFill="1" applyBorder="1"/>
    <xf numFmtId="0" fontId="0" fillId="43" borderId="255" xfId="0" applyFill="1" applyBorder="1" applyAlignment="1">
      <alignment wrapText="1"/>
    </xf>
    <xf numFmtId="0" fontId="0" fillId="42" borderId="264" xfId="0" applyFill="1" applyBorder="1"/>
    <xf numFmtId="0" fontId="12" fillId="42" borderId="265" xfId="0" applyFont="1" applyFill="1" applyBorder="1"/>
    <xf numFmtId="0" fontId="0" fillId="42" borderId="257" xfId="0" applyFill="1" applyBorder="1"/>
    <xf numFmtId="0" fontId="12" fillId="42" borderId="38" xfId="0" applyFont="1" applyFill="1" applyBorder="1" applyAlignment="1">
      <alignment wrapText="1"/>
    </xf>
    <xf numFmtId="0" fontId="0" fillId="46" borderId="257" xfId="0" applyFill="1" applyBorder="1"/>
    <xf numFmtId="0" fontId="0" fillId="26" borderId="257" xfId="0" applyFill="1" applyBorder="1"/>
    <xf numFmtId="0" fontId="0" fillId="42" borderId="256" xfId="0" applyFill="1" applyBorder="1"/>
    <xf numFmtId="0" fontId="0" fillId="43" borderId="271" xfId="0" applyFill="1" applyBorder="1"/>
    <xf numFmtId="0" fontId="0" fillId="43" borderId="260" xfId="0" applyFill="1" applyBorder="1"/>
    <xf numFmtId="0" fontId="12" fillId="42" borderId="256" xfId="0" applyFont="1" applyFill="1" applyBorder="1"/>
    <xf numFmtId="0" fontId="12" fillId="42" borderId="257" xfId="0" applyFont="1" applyFill="1" applyBorder="1"/>
    <xf numFmtId="0" fontId="0" fillId="0" borderId="38" xfId="0" applyBorder="1" applyAlignment="1">
      <alignment wrapText="1"/>
    </xf>
    <xf numFmtId="0" fontId="84" fillId="46" borderId="257" xfId="0" applyFont="1" applyFill="1" applyBorder="1"/>
    <xf numFmtId="10" fontId="0" fillId="43" borderId="38" xfId="0" applyNumberFormat="1" applyFill="1" applyBorder="1" applyAlignment="1">
      <alignment wrapText="1"/>
    </xf>
    <xf numFmtId="0" fontId="28" fillId="0" borderId="0" xfId="0" applyFont="1"/>
    <xf numFmtId="0" fontId="0" fillId="7" borderId="257" xfId="0" applyFill="1" applyBorder="1"/>
    <xf numFmtId="0" fontId="23" fillId="7" borderId="257" xfId="0" applyFont="1" applyFill="1" applyBorder="1"/>
    <xf numFmtId="0" fontId="30" fillId="26" borderId="257" xfId="0" applyFont="1" applyFill="1" applyBorder="1"/>
    <xf numFmtId="0" fontId="30" fillId="46" borderId="257" xfId="0" applyFont="1" applyFill="1" applyBorder="1"/>
    <xf numFmtId="0" fontId="30" fillId="7" borderId="260" xfId="0" applyFont="1" applyFill="1" applyBorder="1"/>
    <xf numFmtId="0" fontId="8" fillId="43" borderId="257" xfId="0" applyFont="1" applyFill="1" applyBorder="1"/>
    <xf numFmtId="0" fontId="8" fillId="42" borderId="256" xfId="0" applyFont="1" applyFill="1" applyBorder="1"/>
    <xf numFmtId="0" fontId="8" fillId="43" borderId="38" xfId="0" applyFont="1" applyFill="1" applyBorder="1" applyAlignment="1">
      <alignment wrapText="1"/>
    </xf>
    <xf numFmtId="0" fontId="84" fillId="7" borderId="257" xfId="0" applyFont="1" applyFill="1" applyBorder="1"/>
    <xf numFmtId="0" fontId="23" fillId="26" borderId="257" xfId="0" applyFont="1" applyFill="1" applyBorder="1"/>
    <xf numFmtId="0" fontId="8" fillId="43" borderId="256" xfId="0" applyFont="1" applyFill="1" applyBorder="1"/>
    <xf numFmtId="0" fontId="23" fillId="46" borderId="260" xfId="0" applyFont="1" applyFill="1" applyBorder="1"/>
    <xf numFmtId="0" fontId="0" fillId="0" borderId="256" xfId="0" applyBorder="1"/>
    <xf numFmtId="0" fontId="0" fillId="0" borderId="257" xfId="0" applyBorder="1"/>
    <xf numFmtId="0" fontId="0" fillId="0" borderId="272" xfId="0" applyBorder="1"/>
    <xf numFmtId="0" fontId="8" fillId="0" borderId="258" xfId="0" applyFont="1" applyBorder="1"/>
    <xf numFmtId="0" fontId="0" fillId="0" borderId="58" xfId="0" applyBorder="1" applyAlignment="1">
      <alignment wrapText="1"/>
    </xf>
    <xf numFmtId="0" fontId="23" fillId="26" borderId="258" xfId="0" applyFont="1" applyFill="1" applyBorder="1"/>
    <xf numFmtId="0" fontId="84" fillId="26" borderId="257" xfId="0" applyFont="1" applyFill="1" applyBorder="1"/>
    <xf numFmtId="0" fontId="33" fillId="0" borderId="0" xfId="0" applyFont="1" applyAlignment="1">
      <alignment horizontal="center" vertical="top" wrapText="1"/>
    </xf>
    <xf numFmtId="0" fontId="0" fillId="0" borderId="44" xfId="0" applyBorder="1" applyAlignment="1">
      <alignment horizontal="left"/>
    </xf>
    <xf numFmtId="0" fontId="0" fillId="0" borderId="45" xfId="0" applyBorder="1" applyAlignment="1">
      <alignment horizontal="left"/>
    </xf>
    <xf numFmtId="0" fontId="8" fillId="14" borderId="44" xfId="0" applyFont="1" applyFill="1" applyBorder="1" applyAlignment="1">
      <alignment horizontal="left"/>
    </xf>
    <xf numFmtId="0" fontId="8" fillId="14" borderId="45" xfId="0" applyFont="1" applyFill="1" applyBorder="1" applyAlignment="1">
      <alignment horizontal="left"/>
    </xf>
    <xf numFmtId="0" fontId="45" fillId="4" borderId="230" xfId="0" applyFont="1" applyFill="1" applyBorder="1" applyAlignment="1">
      <alignment horizontal="center"/>
    </xf>
    <xf numFmtId="0" fontId="45" fillId="4" borderId="12" xfId="0" applyFont="1" applyFill="1" applyBorder="1" applyAlignment="1">
      <alignment horizontal="center"/>
    </xf>
    <xf numFmtId="0" fontId="44" fillId="16" borderId="52" xfId="0" applyFont="1" applyFill="1" applyBorder="1" applyAlignment="1">
      <alignment horizontal="center"/>
    </xf>
    <xf numFmtId="0" fontId="44" fillId="16" borderId="57" xfId="0" applyFont="1" applyFill="1" applyBorder="1" applyAlignment="1">
      <alignment horizontal="center"/>
    </xf>
    <xf numFmtId="0" fontId="44" fillId="16" borderId="58" xfId="0" applyFont="1" applyFill="1" applyBorder="1" applyAlignment="1">
      <alignment horizontal="center"/>
    </xf>
    <xf numFmtId="166" fontId="41" fillId="10" borderId="123" xfId="0" applyNumberFormat="1" applyFont="1" applyFill="1" applyBorder="1" applyAlignment="1">
      <alignment horizontal="center" vertical="center"/>
    </xf>
    <xf numFmtId="166" fontId="41" fillId="10" borderId="104" xfId="0" applyNumberFormat="1" applyFont="1" applyFill="1" applyBorder="1" applyAlignment="1">
      <alignment horizontal="center" vertical="center"/>
    </xf>
    <xf numFmtId="166" fontId="41" fillId="10" borderId="124" xfId="0" applyNumberFormat="1" applyFont="1" applyFill="1" applyBorder="1" applyAlignment="1">
      <alignment horizontal="center" vertical="center"/>
    </xf>
    <xf numFmtId="0" fontId="12" fillId="0" borderId="14" xfId="0" applyFont="1" applyBorder="1" applyAlignment="1">
      <alignment horizontal="center"/>
    </xf>
    <xf numFmtId="0" fontId="12" fillId="0" borderId="15" xfId="0" applyFont="1" applyBorder="1" applyAlignment="1">
      <alignment horizontal="center"/>
    </xf>
    <xf numFmtId="0" fontId="9" fillId="10" borderId="0" xfId="0" applyFont="1" applyFill="1" applyAlignment="1">
      <alignment horizontal="center" vertical="center" wrapText="1"/>
    </xf>
    <xf numFmtId="0" fontId="9" fillId="10" borderId="116" xfId="0" applyFont="1" applyFill="1" applyBorder="1" applyAlignment="1">
      <alignment horizontal="center" vertical="center" wrapText="1"/>
    </xf>
    <xf numFmtId="0" fontId="32" fillId="6" borderId="162" xfId="0" applyFont="1" applyFill="1" applyBorder="1" applyAlignment="1">
      <alignment horizontal="left" vertical="center" wrapText="1"/>
    </xf>
    <xf numFmtId="0" fontId="8" fillId="6" borderId="163" xfId="0" applyFont="1" applyFill="1" applyBorder="1" applyAlignment="1">
      <alignment horizontal="left" vertical="center" wrapText="1"/>
    </xf>
    <xf numFmtId="0" fontId="8" fillId="6" borderId="164" xfId="0" applyFont="1" applyFill="1" applyBorder="1" applyAlignment="1">
      <alignment horizontal="left" vertical="center" wrapText="1"/>
    </xf>
    <xf numFmtId="0" fontId="32" fillId="6" borderId="106" xfId="0" applyFont="1" applyFill="1" applyBorder="1" applyAlignment="1">
      <alignment horizontal="left" vertical="center" wrapText="1"/>
    </xf>
    <xf numFmtId="0" fontId="32" fillId="6" borderId="116" xfId="0" applyFont="1" applyFill="1" applyBorder="1" applyAlignment="1">
      <alignment horizontal="left" vertical="center" wrapText="1"/>
    </xf>
    <xf numFmtId="0" fontId="32" fillId="6" borderId="124" xfId="0" applyFont="1" applyFill="1" applyBorder="1" applyAlignment="1">
      <alignment horizontal="left" vertical="center" wrapText="1"/>
    </xf>
    <xf numFmtId="0" fontId="9" fillId="0" borderId="226" xfId="0" applyFont="1" applyBorder="1" applyAlignment="1">
      <alignment horizontal="center" vertical="center"/>
    </xf>
    <xf numFmtId="0" fontId="9" fillId="0" borderId="50" xfId="0" applyFont="1" applyBorder="1" applyAlignment="1">
      <alignment horizontal="center" vertical="center"/>
    </xf>
    <xf numFmtId="0" fontId="9" fillId="0" borderId="227" xfId="0" applyFont="1" applyBorder="1" applyAlignment="1">
      <alignment horizontal="center" vertical="center"/>
    </xf>
    <xf numFmtId="0" fontId="25" fillId="29" borderId="21" xfId="0" applyFont="1" applyFill="1" applyBorder="1" applyAlignment="1">
      <alignment horizontal="center"/>
    </xf>
    <xf numFmtId="0" fontId="25" fillId="29" borderId="17" xfId="0" applyFont="1" applyFill="1" applyBorder="1" applyAlignment="1">
      <alignment horizontal="center"/>
    </xf>
    <xf numFmtId="0" fontId="25" fillId="29" borderId="16" xfId="0" applyFont="1" applyFill="1" applyBorder="1" applyAlignment="1">
      <alignment horizontal="center"/>
    </xf>
    <xf numFmtId="0" fontId="25" fillId="29" borderId="14" xfId="0" applyFont="1" applyFill="1" applyBorder="1" applyAlignment="1">
      <alignment horizontal="center"/>
    </xf>
    <xf numFmtId="14" fontId="12" fillId="0" borderId="16" xfId="0" applyNumberFormat="1" applyFont="1" applyBorder="1" applyAlignment="1">
      <alignment horizontal="center"/>
    </xf>
    <xf numFmtId="14" fontId="12" fillId="0" borderId="15" xfId="0" applyNumberFormat="1" applyFont="1" applyBorder="1" applyAlignment="1">
      <alignment horizontal="center"/>
    </xf>
    <xf numFmtId="0" fontId="8" fillId="0" borderId="12" xfId="0" applyFont="1" applyBorder="1" applyAlignment="1">
      <alignment horizontal="left"/>
    </xf>
    <xf numFmtId="0" fontId="8" fillId="0" borderId="12" xfId="0" quotePrefix="1" applyFont="1" applyBorder="1" applyAlignment="1">
      <alignment horizontal="left"/>
    </xf>
    <xf numFmtId="0" fontId="33" fillId="6" borderId="12" xfId="0" applyFont="1" applyFill="1" applyBorder="1" applyAlignment="1">
      <alignment horizontal="center" vertical="center" wrapText="1"/>
    </xf>
    <xf numFmtId="0" fontId="45" fillId="28" borderId="19" xfId="0" applyFont="1" applyFill="1" applyBorder="1" applyAlignment="1">
      <alignment horizontal="center" vertical="center" wrapText="1"/>
    </xf>
    <xf numFmtId="0" fontId="45" fillId="28" borderId="12" xfId="0" applyFont="1" applyFill="1" applyBorder="1" applyAlignment="1">
      <alignment horizontal="center" vertical="center" wrapText="1"/>
    </xf>
    <xf numFmtId="0" fontId="45" fillId="28" borderId="222" xfId="0" applyFont="1" applyFill="1" applyBorder="1" applyAlignment="1">
      <alignment horizontal="center" vertical="center" wrapText="1"/>
    </xf>
    <xf numFmtId="0" fontId="45" fillId="28" borderId="231" xfId="0" applyFont="1" applyFill="1" applyBorder="1" applyAlignment="1">
      <alignment horizontal="center" vertical="center" wrapText="1"/>
    </xf>
    <xf numFmtId="0" fontId="45" fillId="4" borderId="34" xfId="0" applyFont="1" applyFill="1" applyBorder="1" applyAlignment="1">
      <alignment horizontal="center"/>
    </xf>
    <xf numFmtId="0" fontId="45" fillId="4" borderId="35" xfId="0" applyFont="1" applyFill="1" applyBorder="1" applyAlignment="1">
      <alignment horizontal="center"/>
    </xf>
    <xf numFmtId="0" fontId="45" fillId="4" borderId="36" xfId="0" applyFont="1" applyFill="1" applyBorder="1" applyAlignment="1">
      <alignment horizontal="center"/>
    </xf>
    <xf numFmtId="0" fontId="12" fillId="6" borderId="16" xfId="11" applyNumberFormat="1" applyFont="1" applyFill="1" applyBorder="1" applyAlignment="1">
      <alignment horizontal="left"/>
    </xf>
    <xf numFmtId="0" fontId="12" fillId="6" borderId="15" xfId="11" applyNumberFormat="1" applyFont="1" applyFill="1" applyBorder="1" applyAlignment="1">
      <alignment horizontal="left"/>
    </xf>
    <xf numFmtId="0" fontId="25" fillId="29" borderId="15" xfId="0" applyFont="1" applyFill="1" applyBorder="1" applyAlignment="1">
      <alignment horizontal="center"/>
    </xf>
    <xf numFmtId="0" fontId="45" fillId="4" borderId="116" xfId="0" applyFont="1" applyFill="1" applyBorder="1" applyAlignment="1">
      <alignment horizontal="center"/>
    </xf>
    <xf numFmtId="0" fontId="45" fillId="4" borderId="165" xfId="0" applyFont="1" applyFill="1" applyBorder="1" applyAlignment="1">
      <alignment horizontal="center"/>
    </xf>
    <xf numFmtId="0" fontId="45" fillId="4" borderId="21" xfId="0" applyFont="1" applyFill="1" applyBorder="1" applyAlignment="1">
      <alignment horizontal="center"/>
    </xf>
    <xf numFmtId="0" fontId="45" fillId="4" borderId="17" xfId="0" applyFont="1" applyFill="1" applyBorder="1" applyAlignment="1">
      <alignment horizontal="center"/>
    </xf>
    <xf numFmtId="0" fontId="45" fillId="4" borderId="18" xfId="0" applyFont="1" applyFill="1" applyBorder="1" applyAlignment="1">
      <alignment horizontal="center"/>
    </xf>
    <xf numFmtId="0" fontId="0" fillId="6" borderId="16" xfId="0" applyFill="1" applyBorder="1" applyAlignment="1">
      <alignment horizontal="center" vertical="center" wrapText="1"/>
    </xf>
    <xf numFmtId="0" fontId="0" fillId="6" borderId="15" xfId="0" applyFill="1" applyBorder="1" applyAlignment="1">
      <alignment horizontal="center" vertical="center" wrapText="1"/>
    </xf>
    <xf numFmtId="0" fontId="25" fillId="29" borderId="14" xfId="0" applyFont="1" applyFill="1" applyBorder="1" applyAlignment="1">
      <alignment horizontal="center" vertical="center" wrapText="1"/>
    </xf>
    <xf numFmtId="0" fontId="25" fillId="29" borderId="232" xfId="0" applyFont="1" applyFill="1" applyBorder="1" applyAlignment="1">
      <alignment horizontal="center" vertical="center" wrapText="1"/>
    </xf>
    <xf numFmtId="0" fontId="0" fillId="6" borderId="232" xfId="0" applyFill="1" applyBorder="1" applyAlignment="1">
      <alignment horizontal="center" vertical="center" wrapText="1"/>
    </xf>
    <xf numFmtId="0" fontId="12" fillId="0" borderId="109" xfId="0" applyFont="1" applyBorder="1" applyAlignment="1">
      <alignment horizontal="left" vertical="center" wrapText="1"/>
    </xf>
    <xf numFmtId="0" fontId="12" fillId="0" borderId="159" xfId="0" applyFont="1" applyBorder="1" applyAlignment="1">
      <alignment horizontal="left" vertical="center" wrapText="1"/>
    </xf>
    <xf numFmtId="0" fontId="12" fillId="0" borderId="160" xfId="0" applyFont="1" applyBorder="1" applyAlignment="1">
      <alignment horizontal="left" vertical="center" wrapText="1"/>
    </xf>
    <xf numFmtId="0" fontId="12" fillId="0" borderId="107" xfId="0" applyFont="1" applyBorder="1" applyAlignment="1">
      <alignment horizontal="left" vertical="center" wrapText="1"/>
    </xf>
    <xf numFmtId="0" fontId="12" fillId="0" borderId="0" xfId="0" applyFont="1" applyAlignment="1">
      <alignment horizontal="left" vertical="center" wrapText="1"/>
    </xf>
    <xf numFmtId="0" fontId="12" fillId="0" borderId="10" xfId="0" applyFont="1" applyBorder="1" applyAlignment="1">
      <alignment horizontal="left" vertical="center" wrapText="1"/>
    </xf>
    <xf numFmtId="0" fontId="12" fillId="0" borderId="106" xfId="0" applyFont="1" applyBorder="1" applyAlignment="1">
      <alignment horizontal="left" vertical="center" wrapText="1"/>
    </xf>
    <xf numFmtId="0" fontId="12" fillId="0" borderId="116" xfId="0" applyFont="1" applyBorder="1" applyAlignment="1">
      <alignment horizontal="left" vertical="center" wrapText="1"/>
    </xf>
    <xf numFmtId="0" fontId="12" fillId="0" borderId="165" xfId="0" applyFont="1" applyBorder="1" applyAlignment="1">
      <alignment horizontal="left" vertical="center" wrapText="1"/>
    </xf>
    <xf numFmtId="0" fontId="19" fillId="0" borderId="230" xfId="0" applyFont="1" applyBorder="1" applyAlignment="1">
      <alignment horizontal="center" wrapText="1"/>
    </xf>
    <xf numFmtId="0" fontId="19" fillId="0" borderId="16" xfId="0" applyFont="1" applyBorder="1" applyAlignment="1">
      <alignment horizontal="center" wrapText="1"/>
    </xf>
    <xf numFmtId="0" fontId="19" fillId="0" borderId="230" xfId="0" applyFont="1" applyBorder="1" applyAlignment="1">
      <alignment horizontal="center" vertical="center" wrapText="1"/>
    </xf>
    <xf numFmtId="0" fontId="19" fillId="0" borderId="16" xfId="0" applyFont="1" applyBorder="1" applyAlignment="1">
      <alignment horizontal="center" vertical="center" wrapText="1"/>
    </xf>
    <xf numFmtId="0" fontId="45" fillId="4" borderId="233" xfId="0" applyFont="1" applyFill="1" applyBorder="1" applyAlignment="1">
      <alignment horizontal="center"/>
    </xf>
    <xf numFmtId="0" fontId="44" fillId="16" borderId="37" xfId="0" applyFont="1" applyFill="1" applyBorder="1" applyAlignment="1">
      <alignment horizontal="center"/>
    </xf>
    <xf numFmtId="0" fontId="44" fillId="16" borderId="0" xfId="0" applyFont="1" applyFill="1" applyAlignment="1">
      <alignment horizontal="center"/>
    </xf>
    <xf numFmtId="0" fontId="44" fillId="16" borderId="38" xfId="0" applyFont="1" applyFill="1" applyBorder="1" applyAlignment="1">
      <alignment horizontal="center"/>
    </xf>
    <xf numFmtId="0" fontId="0" fillId="0" borderId="16" xfId="0" applyBorder="1" applyAlignment="1">
      <alignment horizontal="center" vertical="center"/>
    </xf>
    <xf numFmtId="0" fontId="0" fillId="0" borderId="15" xfId="0" applyBorder="1" applyAlignment="1">
      <alignment horizontal="center" vertical="center"/>
    </xf>
    <xf numFmtId="0" fontId="8" fillId="6" borderId="173" xfId="0" applyFont="1" applyFill="1" applyBorder="1" applyAlignment="1">
      <alignment horizontal="left" vertical="center" wrapText="1"/>
    </xf>
    <xf numFmtId="0" fontId="8" fillId="6" borderId="174" xfId="0" applyFont="1" applyFill="1" applyBorder="1" applyAlignment="1">
      <alignment horizontal="left" vertical="center" wrapText="1"/>
    </xf>
    <xf numFmtId="0" fontId="8" fillId="6" borderId="175" xfId="0" applyFont="1" applyFill="1" applyBorder="1" applyAlignment="1">
      <alignment horizontal="left" vertical="center" wrapText="1"/>
    </xf>
    <xf numFmtId="0" fontId="8" fillId="6" borderId="170" xfId="0" applyFont="1" applyFill="1" applyBorder="1" applyAlignment="1">
      <alignment horizontal="left" vertical="center" wrapText="1"/>
    </xf>
    <xf numFmtId="0" fontId="8" fillId="6" borderId="171" xfId="0" applyFont="1" applyFill="1" applyBorder="1" applyAlignment="1">
      <alignment horizontal="left" vertical="center" wrapText="1"/>
    </xf>
    <xf numFmtId="0" fontId="8" fillId="6" borderId="172" xfId="0" applyFont="1" applyFill="1" applyBorder="1" applyAlignment="1">
      <alignment horizontal="left" vertical="center" wrapText="1"/>
    </xf>
    <xf numFmtId="0" fontId="8" fillId="0" borderId="12" xfId="0" applyFont="1" applyBorder="1" applyAlignment="1">
      <alignment horizontal="left" vertical="center"/>
    </xf>
    <xf numFmtId="0" fontId="45" fillId="4" borderId="109" xfId="0" applyFont="1" applyFill="1" applyBorder="1" applyAlignment="1">
      <alignment horizontal="center"/>
    </xf>
    <xf numFmtId="0" fontId="45" fillId="4" borderId="159" xfId="0" applyFont="1" applyFill="1" applyBorder="1" applyAlignment="1">
      <alignment horizontal="center"/>
    </xf>
    <xf numFmtId="0" fontId="45" fillId="4" borderId="160" xfId="0" applyFont="1" applyFill="1" applyBorder="1" applyAlignment="1">
      <alignment horizontal="center"/>
    </xf>
    <xf numFmtId="0" fontId="45" fillId="4" borderId="9" xfId="0" applyFont="1" applyFill="1" applyBorder="1" applyAlignment="1">
      <alignment horizontal="center" wrapText="1"/>
    </xf>
    <xf numFmtId="0" fontId="45" fillId="4" borderId="0" xfId="0" applyFont="1" applyFill="1" applyAlignment="1">
      <alignment horizontal="center"/>
    </xf>
    <xf numFmtId="0" fontId="45" fillId="4" borderId="104" xfId="0" applyFont="1" applyFill="1" applyBorder="1" applyAlignment="1">
      <alignment horizontal="center"/>
    </xf>
    <xf numFmtId="0" fontId="25" fillId="29" borderId="115" xfId="0" applyFont="1" applyFill="1" applyBorder="1" applyAlignment="1">
      <alignment horizontal="center"/>
    </xf>
    <xf numFmtId="0" fontId="25" fillId="29" borderId="103" xfId="0" applyFont="1" applyFill="1" applyBorder="1" applyAlignment="1">
      <alignment horizontal="center"/>
    </xf>
    <xf numFmtId="0" fontId="25" fillId="29" borderId="166" xfId="0" applyFont="1" applyFill="1" applyBorder="1" applyAlignment="1">
      <alignment horizontal="center"/>
    </xf>
    <xf numFmtId="0" fontId="25" fillId="29" borderId="106" xfId="0" applyFont="1" applyFill="1" applyBorder="1" applyAlignment="1">
      <alignment horizontal="center"/>
    </xf>
    <xf numFmtId="0" fontId="25" fillId="29" borderId="116" xfId="0" applyFont="1" applyFill="1" applyBorder="1" applyAlignment="1">
      <alignment horizontal="center"/>
    </xf>
    <xf numFmtId="0" fontId="25" fillId="29" borderId="124" xfId="0" applyFont="1" applyFill="1" applyBorder="1" applyAlignment="1">
      <alignment horizontal="center"/>
    </xf>
    <xf numFmtId="167" fontId="43" fillId="10" borderId="246" xfId="11" applyNumberFormat="1" applyFont="1" applyFill="1" applyBorder="1" applyAlignment="1">
      <alignment horizontal="center" vertical="center"/>
    </xf>
    <xf numFmtId="0" fontId="12" fillId="6" borderId="236" xfId="11" applyNumberFormat="1" applyFont="1" applyFill="1" applyBorder="1" applyAlignment="1">
      <alignment horizontal="left" vertical="center"/>
    </xf>
    <xf numFmtId="0" fontId="12" fillId="6" borderId="237" xfId="11" applyNumberFormat="1" applyFont="1" applyFill="1" applyBorder="1" applyAlignment="1">
      <alignment horizontal="left" vertical="center"/>
    </xf>
    <xf numFmtId="0" fontId="12" fillId="6" borderId="238" xfId="11" applyNumberFormat="1" applyFont="1" applyFill="1" applyBorder="1" applyAlignment="1">
      <alignment horizontal="left" vertical="center"/>
    </xf>
    <xf numFmtId="0" fontId="12" fillId="6" borderId="0" xfId="11" applyNumberFormat="1" applyFont="1" applyFill="1" applyBorder="1" applyAlignment="1">
      <alignment horizontal="left" vertical="center"/>
    </xf>
    <xf numFmtId="0" fontId="12" fillId="6" borderId="21" xfId="11" applyNumberFormat="1" applyFont="1" applyFill="1" applyBorder="1" applyAlignment="1">
      <alignment horizontal="left" vertical="center"/>
    </xf>
    <xf numFmtId="0" fontId="12" fillId="6" borderId="17" xfId="11" applyNumberFormat="1" applyFont="1" applyFill="1" applyBorder="1" applyAlignment="1">
      <alignment horizontal="left" vertical="center"/>
    </xf>
    <xf numFmtId="0" fontId="12" fillId="6" borderId="239" xfId="11" applyNumberFormat="1" applyFont="1" applyFill="1" applyBorder="1" applyAlignment="1">
      <alignment horizontal="left" vertical="center"/>
    </xf>
    <xf numFmtId="0" fontId="12" fillId="6" borderId="240" xfId="11" applyNumberFormat="1" applyFont="1" applyFill="1" applyBorder="1" applyAlignment="1">
      <alignment horizontal="left" vertical="center"/>
    </xf>
    <xf numFmtId="0" fontId="12" fillId="6" borderId="18" xfId="11" applyNumberFormat="1" applyFont="1" applyFill="1" applyBorder="1" applyAlignment="1">
      <alignment horizontal="left" vertical="center"/>
    </xf>
    <xf numFmtId="9" fontId="8" fillId="6" borderId="222" xfId="11" applyFont="1" applyFill="1" applyBorder="1" applyAlignment="1">
      <alignment horizontal="center" vertical="center"/>
    </xf>
    <xf numFmtId="9" fontId="8" fillId="6" borderId="241" xfId="11" applyFont="1" applyFill="1" applyBorder="1" applyAlignment="1">
      <alignment horizontal="center" vertical="center"/>
    </xf>
    <xf numFmtId="9" fontId="8" fillId="6" borderId="19" xfId="11" applyFont="1" applyFill="1" applyBorder="1" applyAlignment="1">
      <alignment horizontal="center" vertical="center"/>
    </xf>
    <xf numFmtId="9" fontId="8" fillId="6" borderId="239" xfId="11" applyFont="1" applyFill="1" applyBorder="1" applyAlignment="1">
      <alignment horizontal="center" vertical="center"/>
    </xf>
    <xf numFmtId="9" fontId="8" fillId="6" borderId="240" xfId="11" applyFont="1" applyFill="1" applyBorder="1" applyAlignment="1">
      <alignment horizontal="center" vertical="center"/>
    </xf>
    <xf numFmtId="9" fontId="8" fillId="6" borderId="18" xfId="11" applyFont="1" applyFill="1" applyBorder="1" applyAlignment="1">
      <alignment horizontal="center" vertical="center"/>
    </xf>
    <xf numFmtId="0" fontId="45" fillId="4" borderId="158" xfId="0" applyFont="1" applyFill="1" applyBorder="1" applyAlignment="1">
      <alignment horizontal="center"/>
    </xf>
    <xf numFmtId="0" fontId="45" fillId="4" borderId="103" xfId="0" applyFont="1" applyFill="1" applyBorder="1" applyAlignment="1">
      <alignment horizontal="center"/>
    </xf>
    <xf numFmtId="0" fontId="8" fillId="6" borderId="167" xfId="0" applyFont="1" applyFill="1" applyBorder="1" applyAlignment="1">
      <alignment horizontal="left" vertical="center" wrapText="1"/>
    </xf>
    <xf numFmtId="0" fontId="8" fillId="6" borderId="168" xfId="0" applyFont="1" applyFill="1" applyBorder="1" applyAlignment="1">
      <alignment horizontal="left" vertical="center" wrapText="1"/>
    </xf>
    <xf numFmtId="0" fontId="8" fillId="6" borderId="169" xfId="0" applyFont="1" applyFill="1" applyBorder="1" applyAlignment="1">
      <alignment horizontal="left" vertical="center" wrapText="1"/>
    </xf>
    <xf numFmtId="0" fontId="9" fillId="6" borderId="246" xfId="0" applyFont="1" applyFill="1" applyBorder="1" applyAlignment="1">
      <alignment horizontal="center" vertical="center" wrapText="1"/>
    </xf>
    <xf numFmtId="0" fontId="9" fillId="6" borderId="108" xfId="0" applyFont="1" applyFill="1" applyBorder="1" applyAlignment="1">
      <alignment horizontal="center" vertical="center" wrapText="1"/>
    </xf>
    <xf numFmtId="0" fontId="25" fillId="7" borderId="47" xfId="0" applyFont="1" applyFill="1" applyBorder="1" applyAlignment="1">
      <alignment horizontal="center" vertical="center"/>
    </xf>
    <xf numFmtId="0" fontId="45" fillId="4" borderId="39" xfId="0" applyFont="1" applyFill="1" applyBorder="1" applyAlignment="1">
      <alignment horizontal="center"/>
    </xf>
    <xf numFmtId="0" fontId="45" fillId="4" borderId="43" xfId="0" applyFont="1" applyFill="1" applyBorder="1" applyAlignment="1">
      <alignment horizontal="center"/>
    </xf>
    <xf numFmtId="0" fontId="8" fillId="0" borderId="138" xfId="0" applyFont="1" applyBorder="1" applyAlignment="1">
      <alignment horizontal="left" vertical="center" wrapText="1"/>
    </xf>
    <xf numFmtId="0" fontId="65" fillId="0" borderId="133" xfId="0" applyFont="1" applyBorder="1" applyAlignment="1">
      <alignment horizontal="left" vertical="center"/>
    </xf>
    <xf numFmtId="0" fontId="65" fillId="0" borderId="134" xfId="0" applyFont="1" applyBorder="1" applyAlignment="1">
      <alignment horizontal="left" vertical="center"/>
    </xf>
    <xf numFmtId="0" fontId="65" fillId="0" borderId="139" xfId="0" applyFont="1" applyBorder="1" applyAlignment="1">
      <alignment horizontal="left" vertical="center"/>
    </xf>
    <xf numFmtId="0" fontId="65" fillId="0" borderId="0" xfId="0" applyFont="1" applyAlignment="1">
      <alignment horizontal="left" vertical="center"/>
    </xf>
    <xf numFmtId="0" fontId="65" fillId="0" borderId="135" xfId="0" applyFont="1" applyBorder="1" applyAlignment="1">
      <alignment horizontal="left" vertical="center"/>
    </xf>
    <xf numFmtId="0" fontId="65" fillId="0" borderId="140" xfId="0" applyFont="1" applyBorder="1" applyAlignment="1">
      <alignment horizontal="left" vertical="center"/>
    </xf>
    <xf numFmtId="0" fontId="65" fillId="0" borderId="136" xfId="0" applyFont="1" applyBorder="1" applyAlignment="1">
      <alignment horizontal="left" vertical="center"/>
    </xf>
    <xf numFmtId="0" fontId="65" fillId="0" borderId="137" xfId="0" applyFont="1" applyBorder="1" applyAlignment="1">
      <alignment horizontal="left" vertical="center"/>
    </xf>
    <xf numFmtId="0" fontId="8" fillId="0" borderId="133" xfId="0" applyFont="1" applyBorder="1" applyAlignment="1">
      <alignment horizontal="left" vertical="center"/>
    </xf>
    <xf numFmtId="0" fontId="8" fillId="0" borderId="134" xfId="0" applyFont="1" applyBorder="1" applyAlignment="1">
      <alignment horizontal="left" vertical="center"/>
    </xf>
    <xf numFmtId="0" fontId="8" fillId="0" borderId="139" xfId="0" applyFont="1" applyBorder="1" applyAlignment="1">
      <alignment horizontal="left" vertical="center"/>
    </xf>
    <xf numFmtId="0" fontId="0" fillId="0" borderId="0" xfId="0" applyAlignment="1">
      <alignment horizontal="left" vertical="center"/>
    </xf>
    <xf numFmtId="0" fontId="8" fillId="0" borderId="135" xfId="0" applyFont="1" applyBorder="1" applyAlignment="1">
      <alignment horizontal="left" vertical="center"/>
    </xf>
    <xf numFmtId="0" fontId="8" fillId="0" borderId="140" xfId="0" applyFont="1" applyBorder="1" applyAlignment="1">
      <alignment horizontal="left" vertical="center"/>
    </xf>
    <xf numFmtId="0" fontId="8" fillId="0" borderId="136" xfId="0" applyFont="1" applyBorder="1" applyAlignment="1">
      <alignment horizontal="left" vertical="center"/>
    </xf>
    <xf numFmtId="0" fontId="8" fillId="0" borderId="137" xfId="0" applyFont="1" applyBorder="1" applyAlignment="1">
      <alignment horizontal="left" vertical="center"/>
    </xf>
    <xf numFmtId="0" fontId="25" fillId="29" borderId="39" xfId="0" applyFont="1" applyFill="1" applyBorder="1" applyAlignment="1">
      <alignment horizontal="center"/>
    </xf>
    <xf numFmtId="0" fontId="0" fillId="0" borderId="9" xfId="0" applyBorder="1" applyAlignment="1">
      <alignment vertical="top" wrapText="1"/>
    </xf>
    <xf numFmtId="0" fontId="8" fillId="0" borderId="2" xfId="0" applyFont="1" applyBorder="1" applyAlignment="1">
      <alignment horizontal="left" vertical="top" wrapText="1"/>
    </xf>
    <xf numFmtId="0" fontId="8" fillId="0" borderId="42" xfId="0" applyFont="1" applyBorder="1" applyAlignment="1">
      <alignment horizontal="left" vertical="top" wrapText="1"/>
    </xf>
    <xf numFmtId="0" fontId="0" fillId="0" borderId="195" xfId="0" applyBorder="1" applyAlignment="1">
      <alignment horizontal="left" vertical="top" wrapText="1"/>
    </xf>
    <xf numFmtId="0" fontId="8" fillId="0" borderId="33" xfId="0" applyFont="1" applyBorder="1" applyAlignment="1">
      <alignment horizontal="left" vertical="top" wrapText="1"/>
    </xf>
    <xf numFmtId="0" fontId="8" fillId="0" borderId="40" xfId="0" applyFont="1" applyBorder="1" applyAlignment="1">
      <alignment horizontal="left" vertical="top" wrapText="1"/>
    </xf>
    <xf numFmtId="0" fontId="0" fillId="0" borderId="196" xfId="0" applyBorder="1" applyAlignment="1">
      <alignment horizontal="left" vertical="top" wrapText="1"/>
    </xf>
    <xf numFmtId="0" fontId="0" fillId="0" borderId="197" xfId="0" applyBorder="1" applyAlignment="1">
      <alignment horizontal="left" vertical="top" wrapText="1"/>
    </xf>
    <xf numFmtId="0" fontId="0" fillId="0" borderId="198" xfId="0" applyBorder="1" applyAlignment="1">
      <alignment horizontal="left" vertical="top" wrapText="1"/>
    </xf>
    <xf numFmtId="0" fontId="45" fillId="4" borderId="192" xfId="0" applyFont="1" applyFill="1" applyBorder="1" applyAlignment="1">
      <alignment horizontal="center"/>
    </xf>
    <xf numFmtId="0" fontId="0" fillId="0" borderId="193" xfId="0" applyBorder="1" applyAlignment="1">
      <alignment horizontal="left" vertical="center" wrapText="1"/>
    </xf>
    <xf numFmtId="0" fontId="65" fillId="0" borderId="9" xfId="0" applyFont="1" applyBorder="1" applyAlignment="1">
      <alignment horizontal="left" vertical="center"/>
    </xf>
    <xf numFmtId="0" fontId="65" fillId="0" borderId="194" xfId="0" applyFont="1" applyBorder="1" applyAlignment="1">
      <alignment horizontal="left" vertical="center"/>
    </xf>
    <xf numFmtId="0" fontId="59" fillId="6" borderId="39" xfId="0" applyFont="1" applyFill="1" applyBorder="1" applyAlignment="1">
      <alignment horizontal="center"/>
    </xf>
    <xf numFmtId="0" fontId="25" fillId="6" borderId="39" xfId="0" applyFont="1" applyFill="1" applyBorder="1" applyAlignment="1">
      <alignment horizontal="center"/>
    </xf>
    <xf numFmtId="0" fontId="59" fillId="6" borderId="41" xfId="0" applyFont="1" applyFill="1" applyBorder="1" applyAlignment="1">
      <alignment horizontal="center"/>
    </xf>
    <xf numFmtId="0" fontId="25" fillId="6" borderId="41" xfId="0" applyFont="1" applyFill="1" applyBorder="1" applyAlignment="1">
      <alignment horizontal="center"/>
    </xf>
    <xf numFmtId="0" fontId="44" fillId="16" borderId="9" xfId="0" applyFont="1" applyFill="1" applyBorder="1" applyAlignment="1">
      <alignment horizontal="center"/>
    </xf>
    <xf numFmtId="0" fontId="44" fillId="16" borderId="10" xfId="0" applyFont="1" applyFill="1" applyBorder="1" applyAlignment="1">
      <alignment horizontal="center"/>
    </xf>
    <xf numFmtId="0" fontId="25" fillId="29" borderId="43" xfId="0" applyFont="1" applyFill="1" applyBorder="1" applyAlignment="1">
      <alignment horizontal="center"/>
    </xf>
    <xf numFmtId="0" fontId="45" fillId="28" borderId="192" xfId="0" applyFont="1" applyFill="1" applyBorder="1" applyAlignment="1">
      <alignment horizontal="center"/>
    </xf>
    <xf numFmtId="0" fontId="45" fillId="28" borderId="39" xfId="0" applyFont="1" applyFill="1" applyBorder="1" applyAlignment="1">
      <alignment horizontal="center"/>
    </xf>
    <xf numFmtId="0" fontId="8" fillId="0" borderId="44" xfId="0" applyFont="1" applyBorder="1" applyAlignment="1">
      <alignment horizontal="left"/>
    </xf>
    <xf numFmtId="0" fontId="8" fillId="0" borderId="45" xfId="0" applyFont="1" applyBorder="1" applyAlignment="1">
      <alignment horizontal="left"/>
    </xf>
    <xf numFmtId="0" fontId="8" fillId="0" borderId="44" xfId="0" applyFont="1" applyBorder="1" applyAlignment="1">
      <alignment horizontal="left" indent="1"/>
    </xf>
    <xf numFmtId="0" fontId="8" fillId="0" borderId="45" xfId="0" applyFont="1" applyBorder="1" applyAlignment="1">
      <alignment horizontal="left" indent="1"/>
    </xf>
    <xf numFmtId="0" fontId="25" fillId="29" borderId="192" xfId="0" applyFont="1" applyFill="1" applyBorder="1" applyAlignment="1">
      <alignment horizontal="center"/>
    </xf>
    <xf numFmtId="0" fontId="0" fillId="0" borderId="9" xfId="0" applyBorder="1" applyAlignment="1">
      <alignment horizontal="left" vertical="center"/>
    </xf>
    <xf numFmtId="0" fontId="0" fillId="0" borderId="194" xfId="0" applyBorder="1" applyAlignment="1">
      <alignment horizontal="left" vertical="center"/>
    </xf>
    <xf numFmtId="0" fontId="12" fillId="0" borderId="44" xfId="0" applyFont="1" applyBorder="1" applyAlignment="1">
      <alignment horizontal="left"/>
    </xf>
    <xf numFmtId="0" fontId="12" fillId="0" borderId="45" xfId="0" applyFont="1" applyBorder="1" applyAlignment="1">
      <alignment horizontal="left"/>
    </xf>
    <xf numFmtId="0" fontId="29" fillId="4" borderId="37" xfId="0" applyFont="1" applyFill="1" applyBorder="1" applyAlignment="1">
      <alignment horizontal="center"/>
    </xf>
    <xf numFmtId="0" fontId="29" fillId="4" borderId="0" xfId="0" applyFont="1" applyFill="1" applyAlignment="1">
      <alignment horizontal="center"/>
    </xf>
    <xf numFmtId="0" fontId="29" fillId="4" borderId="38" xfId="0" applyFont="1" applyFill="1" applyBorder="1" applyAlignment="1">
      <alignment horizontal="center"/>
    </xf>
    <xf numFmtId="0" fontId="44" fillId="4" borderId="0" xfId="0" applyFont="1" applyFill="1" applyAlignment="1">
      <alignment horizontal="center"/>
    </xf>
    <xf numFmtId="0" fontId="29" fillId="16" borderId="37" xfId="0" applyFont="1" applyFill="1" applyBorder="1" applyAlignment="1">
      <alignment horizontal="center"/>
    </xf>
    <xf numFmtId="0" fontId="29" fillId="16" borderId="0" xfId="0" applyFont="1" applyFill="1" applyAlignment="1">
      <alignment horizontal="center"/>
    </xf>
    <xf numFmtId="0" fontId="44" fillId="4" borderId="49" xfId="0" applyFont="1" applyFill="1" applyBorder="1" applyAlignment="1">
      <alignment horizontal="center"/>
    </xf>
    <xf numFmtId="0" fontId="44" fillId="4" borderId="50" xfId="0" applyFont="1" applyFill="1" applyBorder="1" applyAlignment="1">
      <alignment horizontal="center"/>
    </xf>
    <xf numFmtId="0" fontId="9" fillId="0" borderId="54" xfId="0" applyFont="1" applyBorder="1" applyAlignment="1">
      <alignment horizontal="center" vertical="center"/>
    </xf>
    <xf numFmtId="0" fontId="9" fillId="0" borderId="56" xfId="0" applyFont="1" applyBorder="1" applyAlignment="1">
      <alignment horizontal="center" vertical="center"/>
    </xf>
    <xf numFmtId="0" fontId="29" fillId="4" borderId="54" xfId="0" applyFont="1" applyFill="1" applyBorder="1" applyAlignment="1">
      <alignment horizontal="center"/>
    </xf>
    <xf numFmtId="0" fontId="29" fillId="4" borderId="55" xfId="0" applyFont="1" applyFill="1" applyBorder="1" applyAlignment="1">
      <alignment horizontal="center"/>
    </xf>
    <xf numFmtId="0" fontId="29" fillId="4" borderId="56" xfId="0" applyFont="1" applyFill="1" applyBorder="1" applyAlignment="1">
      <alignment horizontal="center"/>
    </xf>
    <xf numFmtId="0" fontId="0" fillId="0" borderId="79" xfId="0" applyBorder="1" applyAlignment="1">
      <alignment horizontal="center" vertical="center" wrapText="1"/>
    </xf>
    <xf numFmtId="0" fontId="0" fillId="0" borderId="28" xfId="0" applyBorder="1" applyAlignment="1">
      <alignment horizontal="center" vertical="center" wrapText="1"/>
    </xf>
    <xf numFmtId="0" fontId="32" fillId="0" borderId="79" xfId="0" applyFont="1" applyBorder="1" applyAlignment="1">
      <alignment horizontal="center" vertical="center" wrapText="1"/>
    </xf>
    <xf numFmtId="0" fontId="0" fillId="0" borderId="242" xfId="0" applyBorder="1" applyAlignment="1">
      <alignment horizontal="center" vertical="center" wrapText="1"/>
    </xf>
    <xf numFmtId="0" fontId="0" fillId="0" borderId="80" xfId="0" applyBorder="1" applyAlignment="1">
      <alignment horizontal="center" vertical="center" wrapText="1"/>
    </xf>
    <xf numFmtId="0" fontId="0" fillId="0" borderId="53" xfId="0" applyBorder="1" applyAlignment="1">
      <alignment horizontal="center" vertical="center" wrapText="1"/>
    </xf>
    <xf numFmtId="0" fontId="29" fillId="4" borderId="49" xfId="0" applyFont="1" applyFill="1" applyBorder="1" applyAlignment="1">
      <alignment horizontal="center"/>
    </xf>
    <xf numFmtId="0" fontId="29" fillId="4" borderId="50" xfId="0" applyFont="1" applyFill="1" applyBorder="1" applyAlignment="1">
      <alignment horizontal="center"/>
    </xf>
    <xf numFmtId="0" fontId="44" fillId="4" borderId="55" xfId="0" applyFont="1" applyFill="1" applyBorder="1" applyAlignment="1">
      <alignment horizontal="center"/>
    </xf>
    <xf numFmtId="0" fontId="44" fillId="4" borderId="56" xfId="0" applyFont="1" applyFill="1" applyBorder="1" applyAlignment="1">
      <alignment horizontal="center"/>
    </xf>
    <xf numFmtId="0" fontId="12" fillId="12" borderId="54" xfId="0" applyFont="1" applyFill="1" applyBorder="1" applyAlignment="1">
      <alignment horizontal="center"/>
    </xf>
    <xf numFmtId="0" fontId="12" fillId="12" borderId="56" xfId="0" applyFont="1" applyFill="1" applyBorder="1" applyAlignment="1">
      <alignment horizontal="center"/>
    </xf>
    <xf numFmtId="0" fontId="0" fillId="0" borderId="64" xfId="0" applyBorder="1" applyAlignment="1">
      <alignment horizontal="center"/>
    </xf>
    <xf numFmtId="0" fontId="0" fillId="0" borderId="65" xfId="0" applyBorder="1" applyAlignment="1">
      <alignment horizontal="center"/>
    </xf>
    <xf numFmtId="0" fontId="12" fillId="12" borderId="55" xfId="0" applyFont="1" applyFill="1" applyBorder="1" applyAlignment="1">
      <alignment horizontal="center"/>
    </xf>
    <xf numFmtId="0" fontId="10" fillId="0" borderId="203" xfId="6" applyBorder="1" applyAlignment="1" applyProtection="1">
      <alignment horizontal="center"/>
    </xf>
    <xf numFmtId="0" fontId="10" fillId="0" borderId="204" xfId="6" applyBorder="1" applyAlignment="1" applyProtection="1">
      <alignment horizontal="center"/>
    </xf>
    <xf numFmtId="0" fontId="42" fillId="0" borderId="201" xfId="0" applyFont="1" applyBorder="1" applyAlignment="1">
      <alignment horizontal="center"/>
    </xf>
    <xf numFmtId="0" fontId="42" fillId="0" borderId="202" xfId="0" applyFont="1" applyBorder="1" applyAlignment="1">
      <alignment horizontal="center"/>
    </xf>
    <xf numFmtId="0" fontId="8" fillId="0" borderId="64" xfId="0" applyFont="1" applyBorder="1" applyAlignment="1">
      <alignment horizontal="center"/>
    </xf>
    <xf numFmtId="0" fontId="8" fillId="0" borderId="66" xfId="0" applyFont="1" applyBorder="1" applyAlignment="1">
      <alignment horizontal="center"/>
    </xf>
    <xf numFmtId="10" fontId="12" fillId="0" borderId="28" xfId="11" applyNumberFormat="1" applyFont="1" applyBorder="1" applyAlignment="1">
      <alignment horizontal="center"/>
    </xf>
    <xf numFmtId="0" fontId="12" fillId="22" borderId="61" xfId="0" applyFont="1" applyFill="1" applyBorder="1" applyAlignment="1">
      <alignment horizontal="center"/>
    </xf>
    <xf numFmtId="0" fontId="12" fillId="22" borderId="62" xfId="0" applyFont="1" applyFill="1" applyBorder="1" applyAlignment="1">
      <alignment horizontal="center"/>
    </xf>
    <xf numFmtId="0" fontId="12" fillId="22" borderId="63" xfId="0" applyFont="1" applyFill="1" applyBorder="1" applyAlignment="1">
      <alignment horizontal="center"/>
    </xf>
    <xf numFmtId="0" fontId="12" fillId="22" borderId="243" xfId="0" applyFont="1" applyFill="1" applyBorder="1" applyAlignment="1">
      <alignment horizontal="center"/>
    </xf>
    <xf numFmtId="0" fontId="0" fillId="0" borderId="67" xfId="0" applyBorder="1" applyAlignment="1">
      <alignment horizontal="center" wrapText="1"/>
    </xf>
    <xf numFmtId="0" fontId="0" fillId="0" borderId="68" xfId="0" applyBorder="1" applyAlignment="1">
      <alignment horizontal="center"/>
    </xf>
    <xf numFmtId="0" fontId="10" fillId="0" borderId="64" xfId="6" applyBorder="1" applyAlignment="1" applyProtection="1">
      <alignment horizontal="center"/>
    </xf>
    <xf numFmtId="0" fontId="10" fillId="0" borderId="65" xfId="6" applyBorder="1" applyAlignment="1" applyProtection="1">
      <alignment horizontal="center"/>
    </xf>
    <xf numFmtId="0" fontId="12" fillId="0" borderId="64" xfId="0" applyFont="1" applyBorder="1" applyAlignment="1">
      <alignment horizontal="center"/>
    </xf>
    <xf numFmtId="0" fontId="12" fillId="0" borderId="66" xfId="0" applyFont="1" applyBorder="1" applyAlignment="1">
      <alignment horizontal="center"/>
    </xf>
    <xf numFmtId="0" fontId="12" fillId="0" borderId="203" xfId="0" applyFont="1" applyBorder="1" applyAlignment="1">
      <alignment horizontal="center"/>
    </xf>
    <xf numFmtId="0" fontId="12" fillId="0" borderId="133" xfId="0" applyFont="1" applyBorder="1" applyAlignment="1">
      <alignment horizontal="center"/>
    </xf>
    <xf numFmtId="10" fontId="12" fillId="0" borderId="64" xfId="11" applyNumberFormat="1" applyFont="1" applyBorder="1" applyAlignment="1">
      <alignment horizontal="center"/>
    </xf>
    <xf numFmtId="10" fontId="12" fillId="0" borderId="66" xfId="11" applyNumberFormat="1" applyFont="1" applyBorder="1" applyAlignment="1">
      <alignment horizontal="center"/>
    </xf>
    <xf numFmtId="10" fontId="12" fillId="0" borderId="65" xfId="11" applyNumberFormat="1" applyFont="1" applyBorder="1" applyAlignment="1">
      <alignment horizontal="center"/>
    </xf>
    <xf numFmtId="0" fontId="49" fillId="16" borderId="37" xfId="0" applyFont="1" applyFill="1" applyBorder="1" applyAlignment="1">
      <alignment horizontal="center" vertical="center"/>
    </xf>
    <xf numFmtId="0" fontId="49" fillId="16" borderId="0" xfId="0" applyFont="1" applyFill="1" applyAlignment="1">
      <alignment horizontal="center" vertical="center"/>
    </xf>
    <xf numFmtId="0" fontId="44" fillId="4" borderId="51" xfId="0" applyFont="1" applyFill="1" applyBorder="1" applyAlignment="1">
      <alignment horizontal="center"/>
    </xf>
    <xf numFmtId="0" fontId="29" fillId="4" borderId="54" xfId="0" applyFont="1" applyFill="1" applyBorder="1" applyAlignment="1">
      <alignment horizontal="center" vertical="center"/>
    </xf>
    <xf numFmtId="0" fontId="29" fillId="4" borderId="55" xfId="0" applyFont="1" applyFill="1" applyBorder="1" applyAlignment="1">
      <alignment horizontal="center" vertical="center"/>
    </xf>
    <xf numFmtId="0" fontId="29" fillId="4" borderId="56" xfId="0" applyFont="1" applyFill="1" applyBorder="1" applyAlignment="1">
      <alignment horizontal="center" vertical="center"/>
    </xf>
    <xf numFmtId="0" fontId="44" fillId="4" borderId="234" xfId="0" applyFont="1" applyFill="1" applyBorder="1" applyAlignment="1">
      <alignment horizontal="center"/>
    </xf>
    <xf numFmtId="0" fontId="44" fillId="4" borderId="235" xfId="0" applyFont="1" applyFill="1" applyBorder="1" applyAlignment="1">
      <alignment horizontal="center"/>
    </xf>
    <xf numFmtId="0" fontId="49" fillId="16" borderId="52" xfId="0" applyFont="1" applyFill="1" applyBorder="1" applyAlignment="1">
      <alignment horizontal="center" vertical="center"/>
    </xf>
    <xf numFmtId="0" fontId="49" fillId="16" borderId="57" xfId="0" applyFont="1" applyFill="1" applyBorder="1" applyAlignment="1">
      <alignment horizontal="center" vertical="center"/>
    </xf>
    <xf numFmtId="10" fontId="12" fillId="0" borderId="203" xfId="11" applyNumberFormat="1" applyFont="1" applyBorder="1" applyAlignment="1">
      <alignment horizontal="center"/>
    </xf>
    <xf numFmtId="10" fontId="12" fillId="0" borderId="133" xfId="11" applyNumberFormat="1" applyFont="1" applyBorder="1" applyAlignment="1">
      <alignment horizontal="center"/>
    </xf>
    <xf numFmtId="10" fontId="12" fillId="0" borderId="204" xfId="11" applyNumberFormat="1" applyFont="1" applyBorder="1" applyAlignment="1">
      <alignment horizontal="center"/>
    </xf>
    <xf numFmtId="0" fontId="12" fillId="22" borderId="59" xfId="0" applyFont="1" applyFill="1" applyBorder="1" applyAlignment="1">
      <alignment horizontal="center"/>
    </xf>
    <xf numFmtId="0" fontId="12" fillId="22" borderId="60" xfId="0" applyFont="1" applyFill="1" applyBorder="1" applyAlignment="1">
      <alignment horizontal="center"/>
    </xf>
    <xf numFmtId="0" fontId="79" fillId="0" borderId="93" xfId="0" applyFont="1" applyBorder="1" applyAlignment="1">
      <alignment horizontal="center" vertical="center" wrapText="1"/>
    </xf>
    <xf numFmtId="0" fontId="33" fillId="0" borderId="94" xfId="0" applyFont="1" applyBorder="1" applyAlignment="1">
      <alignment horizontal="center" vertical="center" wrapText="1"/>
    </xf>
    <xf numFmtId="0" fontId="33" fillId="0" borderId="95" xfId="0" applyFont="1" applyBorder="1" applyAlignment="1">
      <alignment horizontal="center" vertical="center" wrapText="1"/>
    </xf>
    <xf numFmtId="0" fontId="48" fillId="4" borderId="46" xfId="0" applyFont="1" applyFill="1" applyBorder="1" applyAlignment="1">
      <alignment horizontal="center"/>
    </xf>
    <xf numFmtId="0" fontId="63" fillId="0" borderId="93" xfId="0" applyFont="1" applyBorder="1" applyAlignment="1">
      <alignment horizontal="center" vertical="center" wrapText="1"/>
    </xf>
    <xf numFmtId="0" fontId="21" fillId="0" borderId="94" xfId="0" applyFont="1" applyBorder="1" applyAlignment="1">
      <alignment horizontal="center" vertical="center" wrapText="1"/>
    </xf>
    <xf numFmtId="0" fontId="21" fillId="0" borderId="95" xfId="0" applyFont="1" applyBorder="1" applyAlignment="1">
      <alignment horizontal="center" vertical="center" wrapText="1"/>
    </xf>
    <xf numFmtId="0" fontId="8" fillId="34" borderId="187" xfId="0" applyFont="1" applyFill="1" applyBorder="1" applyAlignment="1">
      <alignment horizontal="center" vertical="center" wrapText="1"/>
    </xf>
    <xf numFmtId="0" fontId="67" fillId="0" borderId="46" xfId="0" applyFont="1" applyBorder="1" applyAlignment="1">
      <alignment horizontal="center" vertical="center" wrapText="1"/>
    </xf>
    <xf numFmtId="0" fontId="67" fillId="0" borderId="188" xfId="0" applyFont="1" applyBorder="1" applyAlignment="1">
      <alignment horizontal="center" vertical="center" wrapText="1"/>
    </xf>
    <xf numFmtId="0" fontId="25" fillId="4" borderId="184" xfId="21" applyFont="1" applyFill="1" applyBorder="1" applyAlignment="1">
      <alignment horizontal="center" vertical="center"/>
    </xf>
    <xf numFmtId="0" fontId="25" fillId="4" borderId="185" xfId="21" applyFont="1" applyFill="1" applyBorder="1" applyAlignment="1">
      <alignment horizontal="center" vertical="center"/>
    </xf>
    <xf numFmtId="0" fontId="25" fillId="4" borderId="186" xfId="21" applyFont="1" applyFill="1" applyBorder="1" applyAlignment="1">
      <alignment horizontal="center" vertical="center"/>
    </xf>
    <xf numFmtId="0" fontId="8" fillId="40" borderId="187" xfId="0" applyFont="1" applyFill="1" applyBorder="1" applyAlignment="1">
      <alignment horizontal="center" vertical="center" wrapText="1"/>
    </xf>
    <xf numFmtId="0" fontId="8" fillId="39" borderId="187" xfId="0" applyFont="1" applyFill="1" applyBorder="1" applyAlignment="1">
      <alignment horizontal="center" vertical="center" wrapText="1"/>
    </xf>
    <xf numFmtId="0" fontId="8" fillId="39" borderId="189" xfId="0" applyFont="1" applyFill="1" applyBorder="1" applyAlignment="1">
      <alignment horizontal="center" vertical="center" wrapText="1"/>
    </xf>
    <xf numFmtId="0" fontId="67" fillId="0" borderId="190" xfId="0" applyFont="1" applyBorder="1" applyAlignment="1">
      <alignment horizontal="center" vertical="center" wrapText="1"/>
    </xf>
    <xf numFmtId="0" fontId="67" fillId="0" borderId="191" xfId="0" applyFont="1" applyBorder="1" applyAlignment="1">
      <alignment horizontal="center" vertical="center" wrapText="1"/>
    </xf>
    <xf numFmtId="0" fontId="8" fillId="34" borderId="181" xfId="0" applyFont="1" applyFill="1" applyBorder="1" applyAlignment="1">
      <alignment horizontal="center"/>
    </xf>
    <xf numFmtId="0" fontId="8" fillId="34" borderId="182" xfId="0" applyFont="1" applyFill="1" applyBorder="1" applyAlignment="1">
      <alignment horizontal="center"/>
    </xf>
    <xf numFmtId="0" fontId="8" fillId="34" borderId="130" xfId="0" applyFont="1" applyFill="1" applyBorder="1" applyAlignment="1">
      <alignment horizontal="center"/>
    </xf>
    <xf numFmtId="0" fontId="8" fillId="34" borderId="122" xfId="0" applyFont="1" applyFill="1" applyBorder="1" applyAlignment="1">
      <alignment horizontal="center"/>
    </xf>
    <xf numFmtId="0" fontId="61" fillId="0" borderId="98" xfId="24" applyFont="1" applyBorder="1" applyAlignment="1">
      <alignment horizontal="center" vertical="center"/>
    </xf>
    <xf numFmtId="0" fontId="61" fillId="0" borderId="100" xfId="24" applyFont="1" applyBorder="1" applyAlignment="1">
      <alignment horizontal="center" vertical="center"/>
    </xf>
    <xf numFmtId="0" fontId="51" fillId="31" borderId="0" xfId="0" applyFont="1" applyFill="1" applyAlignment="1">
      <alignment horizontal="left" vertical="center"/>
    </xf>
    <xf numFmtId="0" fontId="51" fillId="31" borderId="116" xfId="0" applyFont="1" applyFill="1" applyBorder="1" applyAlignment="1">
      <alignment horizontal="left" vertical="center"/>
    </xf>
    <xf numFmtId="0" fontId="52" fillId="0" borderId="98" xfId="0" applyFont="1" applyBorder="1" applyAlignment="1">
      <alignment horizontal="center" vertical="center"/>
    </xf>
    <xf numFmtId="0" fontId="52" fillId="0" borderId="101" xfId="0" applyFont="1" applyBorder="1" applyAlignment="1">
      <alignment horizontal="center" vertical="center"/>
    </xf>
    <xf numFmtId="0" fontId="52" fillId="0" borderId="100" xfId="0" applyFont="1" applyBorder="1" applyAlignment="1">
      <alignment horizontal="center" vertical="center"/>
    </xf>
    <xf numFmtId="0" fontId="12" fillId="0" borderId="107" xfId="0" applyFont="1" applyBorder="1" applyAlignment="1">
      <alignment horizontal="center" vertical="center" wrapText="1"/>
    </xf>
    <xf numFmtId="0" fontId="52" fillId="0" borderId="108" xfId="0" applyFont="1" applyBorder="1" applyAlignment="1">
      <alignment horizontal="center" vertical="center" wrapText="1"/>
    </xf>
    <xf numFmtId="0" fontId="52" fillId="0" borderId="105" xfId="0" applyFont="1" applyBorder="1" applyAlignment="1">
      <alignment horizontal="center" vertical="center" wrapText="1"/>
    </xf>
    <xf numFmtId="0" fontId="57" fillId="26" borderId="107" xfId="0" applyFont="1" applyFill="1" applyBorder="1" applyAlignment="1">
      <alignment horizontal="center"/>
    </xf>
    <xf numFmtId="0" fontId="57" fillId="26" borderId="0" xfId="0" applyFont="1" applyFill="1" applyAlignment="1">
      <alignment horizontal="center"/>
    </xf>
    <xf numFmtId="0" fontId="57" fillId="26" borderId="115" xfId="0" applyFont="1" applyFill="1" applyBorder="1" applyAlignment="1">
      <alignment horizontal="center"/>
    </xf>
    <xf numFmtId="0" fontId="57" fillId="26" borderId="103" xfId="0" applyFont="1" applyFill="1" applyBorder="1" applyAlignment="1">
      <alignment horizontal="center"/>
    </xf>
    <xf numFmtId="0" fontId="57" fillId="26" borderId="166" xfId="0" applyFont="1" applyFill="1" applyBorder="1" applyAlignment="1">
      <alignment horizontal="center"/>
    </xf>
    <xf numFmtId="0" fontId="50" fillId="10" borderId="181" xfId="0" applyFont="1" applyFill="1" applyBorder="1" applyAlignment="1">
      <alignment horizontal="center"/>
    </xf>
    <xf numFmtId="0" fontId="50" fillId="10" borderId="182" xfId="0" applyFont="1" applyFill="1" applyBorder="1" applyAlignment="1">
      <alignment horizontal="center"/>
    </xf>
    <xf numFmtId="0" fontId="50" fillId="10" borderId="151" xfId="0" applyFont="1" applyFill="1" applyBorder="1" applyAlignment="1">
      <alignment horizontal="center"/>
    </xf>
    <xf numFmtId="0" fontId="50" fillId="34" borderId="181" xfId="0" applyFont="1" applyFill="1" applyBorder="1" applyAlignment="1">
      <alignment horizontal="center"/>
    </xf>
    <xf numFmtId="0" fontId="50" fillId="34" borderId="182" xfId="0" applyFont="1" applyFill="1" applyBorder="1" applyAlignment="1">
      <alignment horizontal="center"/>
    </xf>
    <xf numFmtId="0" fontId="50" fillId="34" borderId="151" xfId="0" applyFont="1" applyFill="1" applyBorder="1" applyAlignment="1">
      <alignment horizontal="center"/>
    </xf>
    <xf numFmtId="0" fontId="52" fillId="0" borderId="105" xfId="0" applyFont="1" applyBorder="1" applyAlignment="1">
      <alignment horizontal="center" vertical="center"/>
    </xf>
    <xf numFmtId="0" fontId="52" fillId="0" borderId="108" xfId="0" applyFont="1" applyBorder="1" applyAlignment="1">
      <alignment horizontal="center" vertical="center"/>
    </xf>
    <xf numFmtId="0" fontId="52" fillId="0" borderId="183" xfId="0" applyFont="1" applyBorder="1" applyAlignment="1">
      <alignment horizontal="center" vertical="center"/>
    </xf>
    <xf numFmtId="0" fontId="52" fillId="0" borderId="141" xfId="0" applyFont="1" applyBorder="1" applyAlignment="1">
      <alignment horizontal="center" vertical="center"/>
    </xf>
    <xf numFmtId="0" fontId="52" fillId="0" borderId="97" xfId="0" applyFont="1" applyBorder="1" applyAlignment="1">
      <alignment horizontal="center" vertical="center"/>
    </xf>
    <xf numFmtId="0" fontId="51" fillId="31" borderId="49" xfId="0" applyFont="1" applyFill="1" applyBorder="1" applyAlignment="1">
      <alignment readingOrder="1"/>
    </xf>
    <xf numFmtId="0" fontId="51" fillId="31" borderId="50" xfId="0" applyFont="1" applyFill="1" applyBorder="1" applyAlignment="1">
      <alignment readingOrder="1"/>
    </xf>
    <xf numFmtId="0" fontId="51" fillId="31" borderId="51" xfId="0" applyFont="1" applyFill="1" applyBorder="1" applyAlignment="1">
      <alignment readingOrder="1"/>
    </xf>
    <xf numFmtId="0" fontId="27" fillId="0" borderId="38" xfId="0" applyFont="1" applyBorder="1" applyAlignment="1">
      <alignment wrapText="1"/>
    </xf>
    <xf numFmtId="0" fontId="27" fillId="0" borderId="58" xfId="0" applyFont="1" applyBorder="1" applyAlignment="1">
      <alignment wrapText="1"/>
    </xf>
    <xf numFmtId="0" fontId="72" fillId="5" borderId="0" xfId="0" applyFont="1" applyFill="1" applyAlignment="1">
      <alignment horizontal="center"/>
    </xf>
    <xf numFmtId="0" fontId="37" fillId="0" borderId="0" xfId="0" applyFont="1" applyAlignment="1">
      <alignment horizontal="center"/>
    </xf>
    <xf numFmtId="0" fontId="9" fillId="0" borderId="0" xfId="0" applyFont="1" applyAlignment="1">
      <alignment horizontal="center"/>
    </xf>
    <xf numFmtId="0" fontId="41" fillId="0" borderId="0" xfId="0" applyFont="1" applyAlignment="1">
      <alignment horizontal="center"/>
    </xf>
    <xf numFmtId="0" fontId="12" fillId="0" borderId="3" xfId="0" applyFont="1" applyBorder="1" applyAlignment="1">
      <alignment horizontal="center"/>
    </xf>
    <xf numFmtId="0" fontId="12" fillId="0" borderId="2" xfId="0" applyFont="1" applyBorder="1" applyAlignment="1">
      <alignment horizontal="center"/>
    </xf>
    <xf numFmtId="0" fontId="12" fillId="0" borderId="22" xfId="0" applyFont="1" applyBorder="1" applyAlignment="1">
      <alignment horizontal="center"/>
    </xf>
    <xf numFmtId="0" fontId="12" fillId="0" borderId="5" xfId="0" applyFont="1" applyBorder="1" applyAlignment="1">
      <alignment horizontal="center"/>
    </xf>
    <xf numFmtId="0" fontId="12" fillId="0" borderId="23" xfId="0" applyFont="1" applyBorder="1" applyAlignment="1">
      <alignment horizontal="center"/>
    </xf>
    <xf numFmtId="0" fontId="33" fillId="0" borderId="0" xfId="0" applyFont="1" applyAlignment="1">
      <alignment horizontal="center"/>
    </xf>
    <xf numFmtId="0" fontId="21" fillId="0" borderId="0" xfId="0" applyFont="1" applyAlignment="1">
      <alignment horizontal="center"/>
    </xf>
    <xf numFmtId="0" fontId="33" fillId="17" borderId="0" xfId="0" applyFont="1" applyFill="1" applyAlignment="1">
      <alignment horizontal="center"/>
    </xf>
    <xf numFmtId="4" fontId="33" fillId="17" borderId="0" xfId="0" applyNumberFormat="1" applyFont="1" applyFill="1" applyAlignment="1">
      <alignment horizontal="center"/>
    </xf>
    <xf numFmtId="0" fontId="10" fillId="0" borderId="0" xfId="6" applyAlignment="1" applyProtection="1">
      <alignment horizontal="center"/>
    </xf>
    <xf numFmtId="0" fontId="8" fillId="0" borderId="0" xfId="0" applyFont="1" applyAlignment="1">
      <alignment horizontal="left" vertical="top" wrapText="1"/>
    </xf>
    <xf numFmtId="0" fontId="0" fillId="0" borderId="0" xfId="0" applyAlignment="1">
      <alignment horizontal="left" vertical="top" wrapText="1"/>
    </xf>
    <xf numFmtId="0" fontId="82" fillId="31" borderId="247" xfId="0" applyFont="1" applyFill="1" applyBorder="1" applyAlignment="1"/>
    <xf numFmtId="0" fontId="82" fillId="31" borderId="248" xfId="0" applyFont="1" applyFill="1" applyBorder="1" applyAlignment="1"/>
    <xf numFmtId="0" fontId="82" fillId="31" borderId="249" xfId="0" applyFont="1" applyFill="1" applyBorder="1" applyAlignment="1"/>
    <xf numFmtId="0" fontId="82" fillId="31" borderId="250" xfId="0" applyFont="1" applyFill="1" applyBorder="1" applyAlignment="1"/>
    <xf numFmtId="0" fontId="82" fillId="31" borderId="252" xfId="0" applyFont="1" applyFill="1" applyBorder="1" applyAlignment="1"/>
    <xf numFmtId="0" fontId="82" fillId="31" borderId="261" xfId="0" applyFont="1" applyFill="1" applyBorder="1" applyAlignment="1"/>
    <xf numFmtId="0" fontId="82" fillId="31" borderId="262" xfId="0" applyFont="1" applyFill="1" applyBorder="1" applyAlignment="1"/>
    <xf numFmtId="0" fontId="82" fillId="31" borderId="263" xfId="0" applyFont="1" applyFill="1" applyBorder="1" applyAlignment="1"/>
    <xf numFmtId="0" fontId="30" fillId="39" borderId="266" xfId="0" applyFont="1" applyFill="1" applyBorder="1" applyAlignment="1"/>
    <xf numFmtId="0" fontId="30" fillId="39" borderId="267" xfId="0" applyFont="1" applyFill="1" applyBorder="1" applyAlignment="1"/>
    <xf numFmtId="0" fontId="30" fillId="39" borderId="268" xfId="0" applyFont="1" applyFill="1" applyBorder="1" applyAlignment="1"/>
    <xf numFmtId="0" fontId="30" fillId="45" borderId="30" xfId="0" applyFont="1" applyFill="1" applyBorder="1" applyAlignment="1"/>
    <xf numFmtId="0" fontId="30" fillId="45" borderId="0" xfId="0" applyFont="1" applyFill="1" applyAlignment="1"/>
    <xf numFmtId="0" fontId="30" fillId="45" borderId="104" xfId="0" applyFont="1" applyFill="1" applyBorder="1" applyAlignment="1"/>
    <xf numFmtId="0" fontId="0" fillId="44" borderId="269" xfId="0" applyFill="1" applyBorder="1" applyAlignment="1"/>
    <xf numFmtId="0" fontId="0" fillId="44" borderId="130" xfId="0" applyFill="1" applyBorder="1" applyAlignment="1"/>
    <xf numFmtId="0" fontId="0" fillId="44" borderId="270" xfId="0" applyFill="1" applyBorder="1" applyAlignment="1"/>
  </cellXfs>
  <cellStyles count="30">
    <cellStyle name="blp_title_header_row_left" xfId="1" xr:uid="{00000000-0005-0000-0000-000000000000}"/>
    <cellStyle name="fa_column_header_bottom_left 2" xfId="2" xr:uid="{00000000-0005-0000-0000-000002000000}"/>
    <cellStyle name="fa_column_header_top_left 2" xfId="3" xr:uid="{00000000-0005-0000-0000-000003000000}"/>
    <cellStyle name="fa_row_header_bold 2" xfId="4" xr:uid="{00000000-0005-0000-0000-000004000000}"/>
    <cellStyle name="fa_row_header_standard 2" xfId="5" xr:uid="{00000000-0005-0000-0000-000005000000}"/>
    <cellStyle name="Hiperligação" xfId="6" builtinId="8"/>
    <cellStyle name="Moneda 2" xfId="7" xr:uid="{00000000-0005-0000-0000-000007000000}"/>
    <cellStyle name="Moneda 2 2" xfId="8" xr:uid="{00000000-0005-0000-0000-000008000000}"/>
    <cellStyle name="Normal" xfId="0" builtinId="0"/>
    <cellStyle name="Normal 2" xfId="9" xr:uid="{00000000-0005-0000-0000-00000A000000}"/>
    <cellStyle name="Normal 2 2" xfId="10" xr:uid="{00000000-0005-0000-0000-00000B000000}"/>
    <cellStyle name="Normal 2 3" xfId="15" xr:uid="{00000000-0005-0000-0000-00000C000000}"/>
    <cellStyle name="Normal 2 3 2" xfId="22" xr:uid="{00000000-0005-0000-0000-00000D000000}"/>
    <cellStyle name="Normal 2 4" xfId="16" xr:uid="{00000000-0005-0000-0000-00000E000000}"/>
    <cellStyle name="Normal 3" xfId="19" xr:uid="{00000000-0005-0000-0000-00000F000000}"/>
    <cellStyle name="Normal 3 2" xfId="21" xr:uid="{00000000-0005-0000-0000-000010000000}"/>
    <cellStyle name="Normal 3 3" xfId="24" xr:uid="{00000000-0005-0000-0000-000011000000}"/>
    <cellStyle name="Normal 5" xfId="25" xr:uid="{00000000-0005-0000-0000-000012000000}"/>
    <cellStyle name="Normal 9" xfId="28" xr:uid="{00000000-0005-0000-0000-000013000000}"/>
    <cellStyle name="Percentagem" xfId="11" builtinId="5"/>
    <cellStyle name="Porcentaje 2" xfId="12" xr:uid="{00000000-0005-0000-0000-000015000000}"/>
    <cellStyle name="Porcentaje 2 2" xfId="13" xr:uid="{00000000-0005-0000-0000-000016000000}"/>
    <cellStyle name="Porcentaje 2 2 2" xfId="20" xr:uid="{00000000-0005-0000-0000-000017000000}"/>
    <cellStyle name="Porcentaje 2 3" xfId="18" xr:uid="{00000000-0005-0000-0000-000018000000}"/>
    <cellStyle name="Porcentaje 2 4" xfId="23" xr:uid="{00000000-0005-0000-0000-000019000000}"/>
    <cellStyle name="Porcentaje 3" xfId="14" xr:uid="{00000000-0005-0000-0000-00001A000000}"/>
    <cellStyle name="Porcentaje 3 2" xfId="17" xr:uid="{00000000-0005-0000-0000-00001B000000}"/>
    <cellStyle name="Porcentaje 4 2" xfId="27" xr:uid="{00000000-0005-0000-0000-00001C000000}"/>
    <cellStyle name="Porcentaje 5" xfId="26" xr:uid="{00000000-0005-0000-0000-00001D000000}"/>
    <cellStyle name="Vírgula" xfId="29" builtinId="3"/>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fill>
        <patternFill>
          <bgColor rgb="FF00B050"/>
        </patternFill>
      </fill>
    </dxf>
    <dxf>
      <fill>
        <patternFill>
          <bgColor rgb="FFFF0000"/>
        </patternFill>
      </fill>
    </dxf>
    <dxf>
      <fill>
        <patternFill patternType="solid">
          <bgColor rgb="FF00B050"/>
        </patternFill>
      </fill>
    </dxf>
    <dxf>
      <fill>
        <patternFill patternType="solid">
          <bgColor rgb="FFFF0000"/>
        </patternFill>
      </fill>
    </dxf>
    <dxf>
      <fill>
        <patternFill patternType="solid">
          <bgColor rgb="FF00B050"/>
        </patternFill>
      </fill>
    </dxf>
    <dxf>
      <fill>
        <patternFill patternType="solid">
          <bgColor rgb="FFFF0000"/>
        </patternFill>
      </fill>
    </dxf>
  </dxfs>
  <tableStyles count="1" defaultTableStyle="TableStyleMedium9" defaultPivotStyle="PivotStyleLight16">
    <tableStyle name="Invisible" pivot="0" table="0" count="0" xr9:uid="{00000000-0011-0000-FFFF-FFFF00000000}"/>
  </tableStyles>
  <colors>
    <mruColors>
      <color rgb="FF1F497D"/>
      <color rgb="FF1B7087"/>
      <color rgb="FFC5D9F1"/>
      <color rgb="FF3174C5"/>
      <color rgb="FF63CB97"/>
      <color rgb="FFFF3399"/>
      <color rgb="FFE838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SupportingPropertyBagStructure" Target="richData/rdsupportingpropertybagstructure.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ichStyles" Target="richData/richStyles.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17/06/relationships/rdRichValueStructure" Target="richData/rdrichvaluestructure.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microsoft.com/office/2017/06/relationships/rdRichValueTypes" Target="richData/rdRichValueTypes.xml"/><Relationship Id="rId30" Type="http://schemas.openxmlformats.org/officeDocument/2006/relationships/customXml" Target="../customXml/item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Sheet1!$B$1</c:f>
              <c:strCache>
                <c:ptCount val="1"/>
                <c:pt idx="0">
                  <c:v>Net Sales</c:v>
                </c:pt>
              </c:strCache>
            </c:strRef>
          </c:tx>
          <c:spPr>
            <a:ln w="28575" cap="rnd">
              <a:solidFill>
                <a:schemeClr val="accent1"/>
              </a:solidFill>
              <a:round/>
            </a:ln>
            <a:effectLst/>
          </c:spPr>
          <c:marker>
            <c:symbol val="none"/>
          </c:marker>
          <c:val>
            <c:numRef>
              <c:f>Sheet1!$B$2:$B$40</c:f>
              <c:numCache>
                <c:formatCode>#,##0</c:formatCode>
                <c:ptCount val="39"/>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pt idx="12">
                  <c:v>202777</c:v>
                </c:pt>
              </c:numCache>
            </c:numRef>
          </c:val>
          <c:smooth val="0"/>
          <c:extLst>
            <c:ext xmlns:c16="http://schemas.microsoft.com/office/drawing/2014/chart" uri="{C3380CC4-5D6E-409C-BE32-E72D297353CC}">
              <c16:uniqueId val="{00000000-AE9F-4FA6-8F12-9DE20D2F7C9E}"/>
            </c:ext>
          </c:extLst>
        </c:ser>
        <c:ser>
          <c:idx val="1"/>
          <c:order val="1"/>
          <c:tx>
            <c:strRef>
              <c:f>Sheet1!$C$1</c:f>
              <c:strCache>
                <c:ptCount val="1"/>
                <c:pt idx="0">
                  <c:v>Forecast(Net Sales)</c:v>
                </c:pt>
              </c:strCache>
            </c:strRef>
          </c:tx>
          <c:spPr>
            <a:ln w="25400" cap="rnd">
              <a:solidFill>
                <a:schemeClr val="accent2"/>
              </a:solidFill>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Sheet1!$C$2:$C$40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1-AE9F-4FA6-8F12-9DE20D2F7C9E}"/>
            </c:ext>
          </c:extLst>
        </c:ser>
        <c:ser>
          <c:idx val="2"/>
          <c:order val="2"/>
          <c:tx>
            <c:strRef>
              <c:f>Sheet1!$D$1</c:f>
              <c:strCache>
                <c:ptCount val="1"/>
                <c:pt idx="0">
                  <c:v>Lower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Sheet1!$D$2:$D$40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2-AE9F-4FA6-8F12-9DE20D2F7C9E}"/>
            </c:ext>
          </c:extLst>
        </c:ser>
        <c:ser>
          <c:idx val="3"/>
          <c:order val="3"/>
          <c:tx>
            <c:strRef>
              <c:f>Sheet1!$E$1</c:f>
              <c:strCache>
                <c:ptCount val="1"/>
                <c:pt idx="0">
                  <c:v>Upper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Sheet1!$E$2:$E$40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3-AE9F-4FA6-8F12-9DE20D2F7C9E}"/>
            </c:ext>
          </c:extLst>
        </c:ser>
        <c:dLbls>
          <c:showLegendKey val="0"/>
          <c:showVal val="0"/>
          <c:showCatName val="0"/>
          <c:showSerName val="0"/>
          <c:showPercent val="0"/>
          <c:showBubbleSize val="0"/>
        </c:dLbls>
        <c:smooth val="0"/>
        <c:axId val="515845535"/>
        <c:axId val="515844095"/>
      </c:lineChart>
      <c:catAx>
        <c:axId val="515845535"/>
        <c:scaling>
          <c:orientation val="minMax"/>
        </c:scaling>
        <c:delete val="1"/>
        <c:axPos val="b"/>
        <c:majorTickMark val="none"/>
        <c:minorTickMark val="none"/>
        <c:tickLblPos val="low"/>
        <c:crossAx val="515844095"/>
        <c:crosses val="autoZero"/>
        <c:auto val="1"/>
        <c:lblAlgn val="ctr"/>
        <c:lblOffset val="100"/>
        <c:noMultiLvlLbl val="0"/>
      </c:catAx>
      <c:valAx>
        <c:axId val="515844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Sheet2!$B$1</c:f>
              <c:strCache>
                <c:ptCount val="1"/>
                <c:pt idx="0">
                  <c:v>Debt</c:v>
                </c:pt>
              </c:strCache>
            </c:strRef>
          </c:tx>
          <c:spPr>
            <a:ln w="28575" cap="rnd">
              <a:solidFill>
                <a:schemeClr val="accent1"/>
              </a:solidFill>
              <a:round/>
            </a:ln>
            <a:effectLst/>
          </c:spPr>
          <c:marker>
            <c:symbol val="none"/>
          </c:marker>
          <c:val>
            <c:numRef>
              <c:f>Sheet2!$B$2:$B$40</c:f>
              <c:numCache>
                <c:formatCode>#,##0</c:formatCode>
                <c:ptCount val="39"/>
                <c:pt idx="0">
                  <c:v>4393.3999999999996</c:v>
                </c:pt>
                <c:pt idx="1">
                  <c:v>4791</c:v>
                </c:pt>
                <c:pt idx="2">
                  <c:v>4213.8</c:v>
                </c:pt>
                <c:pt idx="3">
                  <c:v>5913.8</c:v>
                </c:pt>
                <c:pt idx="4">
                  <c:v>4464.8</c:v>
                </c:pt>
                <c:pt idx="5">
                  <c:v>17391</c:v>
                </c:pt>
                <c:pt idx="6">
                  <c:v>19163</c:v>
                </c:pt>
                <c:pt idx="7">
                  <c:v>17660.400000000001</c:v>
                </c:pt>
                <c:pt idx="8">
                  <c:v>38746.400000000009</c:v>
                </c:pt>
                <c:pt idx="9">
                  <c:v>48289.9</c:v>
                </c:pt>
                <c:pt idx="10">
                  <c:v>60783.9</c:v>
                </c:pt>
                <c:pt idx="11">
                  <c:v>57926.1</c:v>
                </c:pt>
              </c:numCache>
            </c:numRef>
          </c:val>
          <c:smooth val="0"/>
          <c:extLst>
            <c:ext xmlns:c16="http://schemas.microsoft.com/office/drawing/2014/chart" uri="{C3380CC4-5D6E-409C-BE32-E72D297353CC}">
              <c16:uniqueId val="{00000000-AB5A-469C-8182-A71E508CF54B}"/>
            </c:ext>
          </c:extLst>
        </c:ser>
        <c:ser>
          <c:idx val="1"/>
          <c:order val="1"/>
          <c:tx>
            <c:strRef>
              <c:f>Sheet2!$C$1</c:f>
              <c:strCache>
                <c:ptCount val="1"/>
                <c:pt idx="0">
                  <c:v>Forecast(Debt)</c:v>
                </c:pt>
              </c:strCache>
            </c:strRef>
          </c:tx>
          <c:spPr>
            <a:ln w="25400" cap="rnd">
              <a:solidFill>
                <a:schemeClr val="accent2"/>
              </a:solidFill>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Sheet2!$C$2:$C$40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1-AB5A-469C-8182-A71E508CF54B}"/>
            </c:ext>
          </c:extLst>
        </c:ser>
        <c:ser>
          <c:idx val="2"/>
          <c:order val="2"/>
          <c:tx>
            <c:strRef>
              <c:f>Sheet2!$D$1</c:f>
              <c:strCache>
                <c:ptCount val="1"/>
                <c:pt idx="0">
                  <c:v>Lower Confidence Bound(Debt)</c:v>
                </c:pt>
              </c:strCache>
            </c:strRef>
          </c:tx>
          <c:spPr>
            <a:ln w="12700" cap="rnd">
              <a:solidFill>
                <a:srgbClr val="C0504D"/>
              </a:solidFill>
              <a:prstDash val="solid"/>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Sheet2!$D$2:$D$40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2-AB5A-469C-8182-A71E508CF54B}"/>
            </c:ext>
          </c:extLst>
        </c:ser>
        <c:ser>
          <c:idx val="3"/>
          <c:order val="3"/>
          <c:tx>
            <c:strRef>
              <c:f>Sheet2!$E$1</c:f>
              <c:strCache>
                <c:ptCount val="1"/>
                <c:pt idx="0">
                  <c:v>Upper Confidence Bound(Debt)</c:v>
                </c:pt>
              </c:strCache>
            </c:strRef>
          </c:tx>
          <c:spPr>
            <a:ln w="12700" cap="rnd">
              <a:solidFill>
                <a:srgbClr val="C0504D"/>
              </a:solidFill>
              <a:prstDash val="solid"/>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Sheet2!$E$2:$E$40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3-AB5A-469C-8182-A71E508CF54B}"/>
            </c:ext>
          </c:extLst>
        </c:ser>
        <c:dLbls>
          <c:showLegendKey val="0"/>
          <c:showVal val="0"/>
          <c:showCatName val="0"/>
          <c:showSerName val="0"/>
          <c:showPercent val="0"/>
          <c:showBubbleSize val="0"/>
        </c:dLbls>
        <c:smooth val="0"/>
        <c:axId val="537626159"/>
        <c:axId val="537626639"/>
      </c:lineChart>
      <c:catAx>
        <c:axId val="537626159"/>
        <c:scaling>
          <c:orientation val="minMax"/>
        </c:scaling>
        <c:delete val="1"/>
        <c:axPos val="b"/>
        <c:majorTickMark val="none"/>
        <c:minorTickMark val="none"/>
        <c:tickLblPos val="low"/>
        <c:crossAx val="537626639"/>
        <c:crosses val="autoZero"/>
        <c:auto val="1"/>
        <c:lblAlgn val="ctr"/>
        <c:lblOffset val="100"/>
        <c:noMultiLvlLbl val="0"/>
      </c:catAx>
      <c:valAx>
        <c:axId val="53762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2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Segments!$D$4</c:f>
              <c:strCache>
                <c:ptCount val="1"/>
                <c:pt idx="0">
                  <c:v>2023</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54-4C57-A8E6-83FAB8687C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54-4C57-A8E6-83FAB8687C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54-4C57-A8E6-83FAB8687CE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F54-4C57-A8E6-83FAB8687CE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F54-4C57-A8E6-83FAB8687CE4}"/>
              </c:ext>
            </c:extLst>
          </c:dPt>
          <c:cat>
            <c:strRef>
              <c:f>Segments!$C$5:$C$9</c:f>
              <c:strCache>
                <c:ptCount val="5"/>
                <c:pt idx="0">
                  <c:v>Automobiles</c:v>
                </c:pt>
                <c:pt idx="1">
                  <c:v>Automotive Parts &amp; Components</c:v>
                </c:pt>
                <c:pt idx="2">
                  <c:v>Provision Of Services</c:v>
                </c:pt>
                <c:pt idx="3">
                  <c:v>Moulds &amp; Others</c:v>
                </c:pt>
                <c:pt idx="4">
                  <c:v>Other Business</c:v>
                </c:pt>
              </c:strCache>
            </c:strRef>
          </c:cat>
          <c:val>
            <c:numRef>
              <c:f>Segments!$D$5:$D$9</c:f>
              <c:numCache>
                <c:formatCode>"$"#,##0</c:formatCode>
                <c:ptCount val="5"/>
                <c:pt idx="0">
                  <c:v>153278.79999999999</c:v>
                </c:pt>
                <c:pt idx="1">
                  <c:v>12614.4</c:v>
                </c:pt>
                <c:pt idx="2">
                  <c:v>2853.4</c:v>
                </c:pt>
                <c:pt idx="3">
                  <c:v>2479.9</c:v>
                </c:pt>
                <c:pt idx="4">
                  <c:v>1985.6</c:v>
                </c:pt>
              </c:numCache>
            </c:numRef>
          </c:val>
          <c:extLst>
            <c:ext xmlns:c16="http://schemas.microsoft.com/office/drawing/2014/chart" uri="{C3380CC4-5D6E-409C-BE32-E72D297353CC}">
              <c16:uniqueId val="{04115C43-3402-4335-AA31-3C79BC17F8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Peers!$C$8</c:f>
              <c:strCache>
                <c:ptCount val="1"/>
                <c:pt idx="0">
                  <c:v>Great Wall Motor Company Limited (XHKG:82333)</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Peers!$C$21</c:f>
              <c:numCache>
                <c:formatCode>0.00</c:formatCode>
                <c:ptCount val="1"/>
                <c:pt idx="0">
                  <c:v>1.3255005969274323</c:v>
                </c:pt>
              </c:numCache>
            </c:numRef>
          </c:xVal>
          <c:yVal>
            <c:numRef>
              <c:f>Peers!$C$37</c:f>
              <c:numCache>
                <c:formatCode>0.0</c:formatCode>
                <c:ptCount val="1"/>
                <c:pt idx="0">
                  <c:v>13992151.908487808</c:v>
                </c:pt>
              </c:numCache>
            </c:numRef>
          </c:yVal>
          <c:smooth val="0"/>
          <c:extLst>
            <c:ext xmlns:c16="http://schemas.microsoft.com/office/drawing/2014/chart" uri="{C3380CC4-5D6E-409C-BE32-E72D297353CC}">
              <c16:uniqueId val="{00000001-B547-4DF9-892F-3129917FB3B3}"/>
            </c:ext>
          </c:extLst>
        </c:ser>
        <c:ser>
          <c:idx val="1"/>
          <c:order val="1"/>
          <c:tx>
            <c:strRef>
              <c:f>Peers!$D$8</c:f>
              <c:strCache>
                <c:ptCount val="1"/>
                <c:pt idx="0">
                  <c:v>BYD COMPANY LIMITED (XFRA:BY6)</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Peers!$D$21</c:f>
              <c:numCache>
                <c:formatCode>0.00</c:formatCode>
                <c:ptCount val="1"/>
                <c:pt idx="0">
                  <c:v>-0.87123038697789468</c:v>
                </c:pt>
              </c:numCache>
            </c:numRef>
          </c:xVal>
          <c:yVal>
            <c:numRef>
              <c:f>Peers!$D$37</c:f>
              <c:numCache>
                <c:formatCode>0.0</c:formatCode>
                <c:ptCount val="1"/>
                <c:pt idx="0">
                  <c:v>15064576.290562693</c:v>
                </c:pt>
              </c:numCache>
            </c:numRef>
          </c:yVal>
          <c:smooth val="0"/>
          <c:extLst>
            <c:ext xmlns:c16="http://schemas.microsoft.com/office/drawing/2014/chart" uri="{C3380CC4-5D6E-409C-BE32-E72D297353CC}">
              <c16:uniqueId val="{00000002-B547-4DF9-892F-3129917FB3B3}"/>
            </c:ext>
          </c:extLst>
        </c:ser>
        <c:ser>
          <c:idx val="2"/>
          <c:order val="2"/>
          <c:tx>
            <c:strRef>
              <c:f>Peers!$E$8</c:f>
              <c:strCache>
                <c:ptCount val="1"/>
                <c:pt idx="0">
                  <c:v>GEELY AUTOMOBILE HOLDINGS LIMITED (XHKG:175)</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Peers!$E$21</c:f>
              <c:numCache>
                <c:formatCode>0.00</c:formatCode>
                <c:ptCount val="1"/>
                <c:pt idx="0">
                  <c:v>-3.2459493730333913</c:v>
                </c:pt>
              </c:numCache>
            </c:numRef>
          </c:xVal>
          <c:yVal>
            <c:numRef>
              <c:f>Peers!$E$37</c:f>
              <c:numCache>
                <c:formatCode>0.0</c:formatCode>
                <c:ptCount val="1"/>
                <c:pt idx="0">
                  <c:v>16.511799652467946</c:v>
                </c:pt>
              </c:numCache>
            </c:numRef>
          </c:yVal>
          <c:smooth val="0"/>
          <c:extLst>
            <c:ext xmlns:c16="http://schemas.microsoft.com/office/drawing/2014/chart" uri="{C3380CC4-5D6E-409C-BE32-E72D297353CC}">
              <c16:uniqueId val="{00000003-B547-4DF9-892F-3129917FB3B3}"/>
            </c:ext>
          </c:extLst>
        </c:ser>
        <c:ser>
          <c:idx val="3"/>
          <c:order val="3"/>
          <c:tx>
            <c:strRef>
              <c:f>Peers!$F$8</c:f>
              <c:strCache>
                <c:ptCount val="1"/>
                <c:pt idx="0">
                  <c:v>BAIC MOTOR Corporation Limited (XHKG:1958)</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Peers!$F$21</c:f>
              <c:numCache>
                <c:formatCode>0.00</c:formatCode>
                <c:ptCount val="1"/>
                <c:pt idx="0">
                  <c:v>-0.75075478027507547</c:v>
                </c:pt>
              </c:numCache>
            </c:numRef>
          </c:xVal>
          <c:yVal>
            <c:numRef>
              <c:f>Peers!$F$37</c:f>
              <c:numCache>
                <c:formatCode>0.0</c:formatCode>
                <c:ptCount val="1"/>
                <c:pt idx="0">
                  <c:v>-1.8990314183924398E-2</c:v>
                </c:pt>
              </c:numCache>
            </c:numRef>
          </c:yVal>
          <c:smooth val="0"/>
          <c:extLst>
            <c:ext xmlns:c16="http://schemas.microsoft.com/office/drawing/2014/chart" uri="{C3380CC4-5D6E-409C-BE32-E72D297353CC}">
              <c16:uniqueId val="{00000004-B547-4DF9-892F-3129917FB3B3}"/>
            </c:ext>
          </c:extLst>
        </c:ser>
        <c:ser>
          <c:idx val="4"/>
          <c:order val="4"/>
          <c:tx>
            <c:strRef>
              <c:f>Peers!$G$8</c:f>
              <c:strCache>
                <c:ptCount val="1"/>
                <c:pt idx="0">
                  <c:v>DONGFENG MOTOR GROUP COMPANY LIMITED (XHKG:489)</c:v>
                </c:pt>
              </c:strCache>
            </c:strRef>
          </c:tx>
          <c:spPr>
            <a:ln w="25400" cap="rnd">
              <a:noFill/>
              <a:round/>
            </a:ln>
            <a:effectLst/>
          </c:spPr>
          <c:marker>
            <c:symbol val="circle"/>
            <c:size val="5"/>
            <c:spPr>
              <a:solidFill>
                <a:schemeClr val="accent5"/>
              </a:solidFill>
              <a:ln w="9525">
                <a:solidFill>
                  <a:schemeClr val="accent5"/>
                </a:solidFill>
              </a:ln>
              <a:effectLst/>
            </c:spPr>
          </c:marker>
          <c:xVal>
            <c:numRef>
              <c:f>Peers!$G$21</c:f>
              <c:numCache>
                <c:formatCode>0.00</c:formatCode>
                <c:ptCount val="1"/>
                <c:pt idx="0">
                  <c:v>23.837362637362638</c:v>
                </c:pt>
              </c:numCache>
            </c:numRef>
          </c:xVal>
          <c:yVal>
            <c:numRef>
              <c:f>Peers!$G$37</c:f>
              <c:numCache>
                <c:formatCode>0.0</c:formatCode>
                <c:ptCount val="1"/>
                <c:pt idx="0">
                  <c:v>-58.144395604395598</c:v>
                </c:pt>
              </c:numCache>
            </c:numRef>
          </c:yVal>
          <c:smooth val="0"/>
          <c:extLst>
            <c:ext xmlns:c16="http://schemas.microsoft.com/office/drawing/2014/chart" uri="{C3380CC4-5D6E-409C-BE32-E72D297353CC}">
              <c16:uniqueId val="{00000005-B547-4DF9-892F-3129917FB3B3}"/>
            </c:ext>
          </c:extLst>
        </c:ser>
        <c:ser>
          <c:idx val="5"/>
          <c:order val="5"/>
          <c:tx>
            <c:strRef>
              <c:f>Peers!$H$8</c:f>
              <c:strCache>
                <c:ptCount val="1"/>
                <c:pt idx="0">
                  <c:v>XPENG INC. (XNYS:XPEV)</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Peers!$H$21</c:f>
              <c:numCache>
                <c:formatCode>0.00</c:formatCode>
                <c:ptCount val="1"/>
                <c:pt idx="0">
                  <c:v>2.5672333848531683</c:v>
                </c:pt>
              </c:numCache>
            </c:numRef>
          </c:xVal>
          <c:yVal>
            <c:numRef>
              <c:f>Peers!$H$37</c:f>
              <c:numCache>
                <c:formatCode>0.0</c:formatCode>
                <c:ptCount val="1"/>
                <c:pt idx="0">
                  <c:v>-26.402982998454405</c:v>
                </c:pt>
              </c:numCache>
            </c:numRef>
          </c:yVal>
          <c:smooth val="0"/>
          <c:extLst>
            <c:ext xmlns:c16="http://schemas.microsoft.com/office/drawing/2014/chart" uri="{C3380CC4-5D6E-409C-BE32-E72D297353CC}">
              <c16:uniqueId val="{00000006-B547-4DF9-892F-3129917FB3B3}"/>
            </c:ext>
          </c:extLst>
        </c:ser>
        <c:dLbls>
          <c:showLegendKey val="0"/>
          <c:showVal val="0"/>
          <c:showCatName val="0"/>
          <c:showSerName val="0"/>
          <c:showPercent val="0"/>
          <c:showBubbleSize val="0"/>
        </c:dLbls>
        <c:axId val="1571673951"/>
        <c:axId val="1289766175"/>
      </c:scatterChart>
      <c:valAx>
        <c:axId val="15716739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i="0" baseline="0">
                    <a:effectLst/>
                  </a:rPr>
                  <a:t> </a:t>
                </a:r>
                <a:r>
                  <a:rPr lang="en-US" sz="1200" b="0" i="0" baseline="0">
                    <a:effectLst/>
                  </a:rPr>
                  <a:t>NET DEBT /EBITDA</a:t>
                </a:r>
                <a:endParaRPr lang="en-US" sz="1200">
                  <a:effectLst/>
                </a:endParaRPr>
              </a:p>
            </c:rich>
          </c:tx>
          <c:layout>
            <c:manualLayout>
              <c:xMode val="edge"/>
              <c:yMode val="edge"/>
              <c:x val="0.27899032096554843"/>
              <c:y val="0.8770504003742403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766175"/>
        <c:crosses val="autoZero"/>
        <c:crossBetween val="midCat"/>
      </c:valAx>
      <c:valAx>
        <c:axId val="128976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baseline="0">
                    <a:effectLst/>
                  </a:rPr>
                  <a:t>EV/ EBITDA</a:t>
                </a:r>
                <a:endParaRPr lang="en-US" sz="1200">
                  <a:effectLst/>
                </a:endParaRPr>
              </a:p>
            </c:rich>
          </c:tx>
          <c:layout>
            <c:manualLayout>
              <c:xMode val="edge"/>
              <c:yMode val="edge"/>
              <c:x val="3.903843505466108E-4"/>
              <c:y val="0.32867517282330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673951"/>
        <c:crosses val="autoZero"/>
        <c:crossBetween val="midCat"/>
      </c:valAx>
      <c:spPr>
        <a:noFill/>
        <a:ln>
          <a:noFill/>
        </a:ln>
        <a:effectLst/>
      </c:spPr>
    </c:plotArea>
    <c:legend>
      <c:legendPos val="r"/>
      <c:layout>
        <c:manualLayout>
          <c:xMode val="edge"/>
          <c:yMode val="edge"/>
          <c:x val="0.79514918527433731"/>
          <c:y val="0.20740538534966782"/>
          <c:w val="0.20485076537264754"/>
          <c:h val="0.44100979088899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02946717757032"/>
          <c:y val="2.4865326922638195E-2"/>
          <c:w val="0.49083244745561727"/>
          <c:h val="0.82049946672598273"/>
        </c:manualLayout>
      </c:layout>
      <c:scatterChart>
        <c:scatterStyle val="lineMarker"/>
        <c:varyColors val="0"/>
        <c:ser>
          <c:idx val="0"/>
          <c:order val="0"/>
          <c:tx>
            <c:strRef>
              <c:f>Peers!$C$8</c:f>
              <c:strCache>
                <c:ptCount val="1"/>
                <c:pt idx="0">
                  <c:v>Great Wall Motor Company Limited (XHKG:82333)</c:v>
                </c:pt>
              </c:strCache>
            </c:strRef>
          </c:tx>
          <c:spPr>
            <a:ln w="25400" cap="rnd">
              <a:noFill/>
              <a:round/>
            </a:ln>
            <a:effectLst/>
          </c:spPr>
          <c:marker>
            <c:symbol val="circle"/>
            <c:size val="5"/>
            <c:spPr>
              <a:solidFill>
                <a:schemeClr val="accent1"/>
              </a:solidFill>
              <a:ln w="9525">
                <a:solidFill>
                  <a:schemeClr val="accent1"/>
                </a:solidFill>
              </a:ln>
              <a:effectLst/>
            </c:spPr>
          </c:marker>
          <c:xVal>
            <c:numRef>
              <c:f>Peers!$C$44</c:f>
              <c:numCache>
                <c:formatCode>0%</c:formatCode>
                <c:ptCount val="1"/>
              </c:numCache>
            </c:numRef>
          </c:xVal>
          <c:yVal>
            <c:numRef>
              <c:f>Peers!$C$49</c:f>
              <c:numCache>
                <c:formatCode>0%</c:formatCode>
                <c:ptCount val="1"/>
                <c:pt idx="0">
                  <c:v>1.8604705126374412</c:v>
                </c:pt>
              </c:numCache>
            </c:numRef>
          </c:yVal>
          <c:smooth val="0"/>
          <c:extLst>
            <c:ext xmlns:c16="http://schemas.microsoft.com/office/drawing/2014/chart" uri="{C3380CC4-5D6E-409C-BE32-E72D297353CC}">
              <c16:uniqueId val="{00000000-A0AB-4E28-9E73-D8DF3D5B0514}"/>
            </c:ext>
          </c:extLst>
        </c:ser>
        <c:ser>
          <c:idx val="1"/>
          <c:order val="1"/>
          <c:tx>
            <c:strRef>
              <c:f>Peers!$D$8</c:f>
              <c:strCache>
                <c:ptCount val="1"/>
                <c:pt idx="0">
                  <c:v>BYD COMPANY LIMITED (XFRA:BY6)</c:v>
                </c:pt>
              </c:strCache>
            </c:strRef>
          </c:tx>
          <c:spPr>
            <a:ln w="25400" cap="rnd">
              <a:noFill/>
              <a:round/>
            </a:ln>
            <a:effectLst/>
          </c:spPr>
          <c:marker>
            <c:symbol val="circle"/>
            <c:size val="5"/>
            <c:spPr>
              <a:solidFill>
                <a:schemeClr val="accent2"/>
              </a:solidFill>
              <a:ln w="9525">
                <a:solidFill>
                  <a:schemeClr val="accent2"/>
                </a:solidFill>
              </a:ln>
              <a:effectLst/>
            </c:spPr>
          </c:marker>
          <c:xVal>
            <c:numRef>
              <c:f>Peers!$D$44</c:f>
              <c:numCache>
                <c:formatCode>0%</c:formatCode>
                <c:ptCount val="1"/>
              </c:numCache>
            </c:numRef>
          </c:xVal>
          <c:yVal>
            <c:numRef>
              <c:f>Peers!$D$49</c:f>
              <c:numCache>
                <c:formatCode>0.00%</c:formatCode>
                <c:ptCount val="1"/>
              </c:numCache>
            </c:numRef>
          </c:yVal>
          <c:smooth val="0"/>
          <c:extLst>
            <c:ext xmlns:c16="http://schemas.microsoft.com/office/drawing/2014/chart" uri="{C3380CC4-5D6E-409C-BE32-E72D297353CC}">
              <c16:uniqueId val="{00000001-A0AB-4E28-9E73-D8DF3D5B0514}"/>
            </c:ext>
          </c:extLst>
        </c:ser>
        <c:ser>
          <c:idx val="2"/>
          <c:order val="2"/>
          <c:tx>
            <c:strRef>
              <c:f>Peers!$E$8</c:f>
              <c:strCache>
                <c:ptCount val="1"/>
                <c:pt idx="0">
                  <c:v>GEELY AUTOMOBILE HOLDINGS LIMITED (XHKG:175)</c:v>
                </c:pt>
              </c:strCache>
            </c:strRef>
          </c:tx>
          <c:spPr>
            <a:ln w="25400" cap="rnd">
              <a:noFill/>
              <a:round/>
            </a:ln>
            <a:effectLst/>
          </c:spPr>
          <c:marker>
            <c:symbol val="circle"/>
            <c:size val="5"/>
            <c:spPr>
              <a:solidFill>
                <a:schemeClr val="accent3"/>
              </a:solidFill>
              <a:ln w="9525">
                <a:solidFill>
                  <a:schemeClr val="accent3"/>
                </a:solidFill>
              </a:ln>
              <a:effectLst/>
            </c:spPr>
          </c:marker>
          <c:xVal>
            <c:numRef>
              <c:f>Peers!$E$44</c:f>
              <c:numCache>
                <c:formatCode>0%</c:formatCode>
                <c:ptCount val="1"/>
              </c:numCache>
            </c:numRef>
          </c:xVal>
          <c:yVal>
            <c:numRef>
              <c:f>Peers!$E$49</c:f>
              <c:numCache>
                <c:formatCode>0.00%</c:formatCode>
                <c:ptCount val="1"/>
              </c:numCache>
            </c:numRef>
          </c:yVal>
          <c:smooth val="0"/>
          <c:extLst>
            <c:ext xmlns:c16="http://schemas.microsoft.com/office/drawing/2014/chart" uri="{C3380CC4-5D6E-409C-BE32-E72D297353CC}">
              <c16:uniqueId val="{00000002-A0AB-4E28-9E73-D8DF3D5B0514}"/>
            </c:ext>
          </c:extLst>
        </c:ser>
        <c:ser>
          <c:idx val="3"/>
          <c:order val="3"/>
          <c:tx>
            <c:strRef>
              <c:f>Peers!$F$8</c:f>
              <c:strCache>
                <c:ptCount val="1"/>
                <c:pt idx="0">
                  <c:v>BAIC MOTOR Corporation Limited (XHKG:1958)</c:v>
                </c:pt>
              </c:strCache>
            </c:strRef>
          </c:tx>
          <c:spPr>
            <a:ln w="25400" cap="rnd">
              <a:noFill/>
              <a:round/>
            </a:ln>
            <a:effectLst/>
          </c:spPr>
          <c:marker>
            <c:symbol val="circle"/>
            <c:size val="5"/>
            <c:spPr>
              <a:solidFill>
                <a:schemeClr val="accent4"/>
              </a:solidFill>
              <a:ln w="9525">
                <a:solidFill>
                  <a:schemeClr val="accent4"/>
                </a:solidFill>
              </a:ln>
              <a:effectLst/>
            </c:spPr>
          </c:marker>
          <c:xVal>
            <c:numRef>
              <c:f>Peers!$F$44</c:f>
              <c:numCache>
                <c:formatCode>0%</c:formatCode>
                <c:ptCount val="1"/>
              </c:numCache>
            </c:numRef>
          </c:xVal>
          <c:yVal>
            <c:numRef>
              <c:f>Peers!$F$49</c:f>
              <c:numCache>
                <c:formatCode>0.00%</c:formatCode>
                <c:ptCount val="1"/>
              </c:numCache>
            </c:numRef>
          </c:yVal>
          <c:smooth val="0"/>
          <c:extLst>
            <c:ext xmlns:c16="http://schemas.microsoft.com/office/drawing/2014/chart" uri="{C3380CC4-5D6E-409C-BE32-E72D297353CC}">
              <c16:uniqueId val="{00000003-A0AB-4E28-9E73-D8DF3D5B0514}"/>
            </c:ext>
          </c:extLst>
        </c:ser>
        <c:ser>
          <c:idx val="5"/>
          <c:order val="4"/>
          <c:tx>
            <c:strRef>
              <c:f>Peers!$G$8</c:f>
              <c:strCache>
                <c:ptCount val="1"/>
                <c:pt idx="0">
                  <c:v>DONGFENG MOTOR GROUP COMPANY LIMITED (XHKG:489)</c:v>
                </c:pt>
              </c:strCache>
            </c:strRef>
          </c:tx>
          <c:spPr>
            <a:ln w="25400" cap="rnd">
              <a:noFill/>
              <a:round/>
            </a:ln>
            <a:effectLst/>
          </c:spPr>
          <c:marker>
            <c:symbol val="circle"/>
            <c:size val="5"/>
            <c:spPr>
              <a:solidFill>
                <a:schemeClr val="accent6"/>
              </a:solidFill>
              <a:ln w="9525">
                <a:solidFill>
                  <a:schemeClr val="accent6"/>
                </a:solidFill>
              </a:ln>
              <a:effectLst/>
            </c:spPr>
          </c:marker>
          <c:xVal>
            <c:numRef>
              <c:f>Peers!$G$44</c:f>
              <c:numCache>
                <c:formatCode>0%</c:formatCode>
                <c:ptCount val="1"/>
              </c:numCache>
            </c:numRef>
          </c:xVal>
          <c:yVal>
            <c:numRef>
              <c:f>Peers!$G$49</c:f>
              <c:numCache>
                <c:formatCode>0.00%</c:formatCode>
                <c:ptCount val="1"/>
              </c:numCache>
            </c:numRef>
          </c:yVal>
          <c:smooth val="0"/>
          <c:extLst>
            <c:ext xmlns:c16="http://schemas.microsoft.com/office/drawing/2014/chart" uri="{C3380CC4-5D6E-409C-BE32-E72D297353CC}">
              <c16:uniqueId val="{00000005-A0AB-4E28-9E73-D8DF3D5B0514}"/>
            </c:ext>
          </c:extLst>
        </c:ser>
        <c:ser>
          <c:idx val="6"/>
          <c:order val="5"/>
          <c:tx>
            <c:strRef>
              <c:f>Peers!$H$8</c:f>
              <c:strCache>
                <c:ptCount val="1"/>
                <c:pt idx="0">
                  <c:v>XPENG INC. (XNYS:XPEV)</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Peers!$H$44</c:f>
              <c:numCache>
                <c:formatCode>0%</c:formatCode>
                <c:ptCount val="1"/>
              </c:numCache>
            </c:numRef>
          </c:xVal>
          <c:yVal>
            <c:numRef>
              <c:f>Peers!$H$49</c:f>
              <c:numCache>
                <c:formatCode>0.00%</c:formatCode>
                <c:ptCount val="1"/>
              </c:numCache>
            </c:numRef>
          </c:yVal>
          <c:smooth val="0"/>
          <c:extLst>
            <c:ext xmlns:c16="http://schemas.microsoft.com/office/drawing/2014/chart" uri="{C3380CC4-5D6E-409C-BE32-E72D297353CC}">
              <c16:uniqueId val="{00000006-A0AB-4E28-9E73-D8DF3D5B0514}"/>
            </c:ext>
          </c:extLst>
        </c:ser>
        <c:dLbls>
          <c:showLegendKey val="0"/>
          <c:showVal val="0"/>
          <c:showCatName val="0"/>
          <c:showSerName val="0"/>
          <c:showPercent val="0"/>
          <c:showBubbleSize val="0"/>
        </c:dLbls>
        <c:axId val="581212960"/>
        <c:axId val="581217120"/>
      </c:scatterChart>
      <c:valAx>
        <c:axId val="5812129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3 YEAR STOCK PERFORMANCE</a:t>
                </a:r>
                <a:endParaRPr lang="en-US" sz="1200"/>
              </a:p>
            </c:rich>
          </c:tx>
          <c:layout>
            <c:manualLayout>
              <c:xMode val="edge"/>
              <c:yMode val="edge"/>
              <c:x val="0.24749537255061102"/>
              <c:y val="0.9208239807152025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7120"/>
        <c:crosses val="autoZero"/>
        <c:crossBetween val="midCat"/>
      </c:valAx>
      <c:valAx>
        <c:axId val="58121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OPERATING CASH FLOW 3Y PERFORMANCE </a:t>
                </a:r>
                <a:endParaRPr lang="en-US" sz="1200"/>
              </a:p>
            </c:rich>
          </c:tx>
          <c:layout>
            <c:manualLayout>
              <c:xMode val="edge"/>
              <c:yMode val="edge"/>
              <c:x val="3.9522524081838629E-2"/>
              <c:y val="0.1858295277689095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212960"/>
        <c:crosses val="autoZero"/>
        <c:crossBetween val="midCat"/>
      </c:valAx>
      <c:spPr>
        <a:noFill/>
        <a:ln>
          <a:solidFill>
            <a:schemeClr val="bg1"/>
          </a:solidFill>
        </a:ln>
        <a:effectLst/>
      </c:spPr>
    </c:plotArea>
    <c:legend>
      <c:legendPos val="r"/>
      <c:layout>
        <c:manualLayout>
          <c:xMode val="edge"/>
          <c:yMode val="edge"/>
          <c:x val="0.66338608609289218"/>
          <c:y val="0.17241199883672528"/>
          <c:w val="0.17018842544974519"/>
          <c:h val="0.43200295105462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Sheet1!$B$1</c:f>
              <c:strCache>
                <c:ptCount val="1"/>
                <c:pt idx="0">
                  <c:v>Net Sales</c:v>
                </c:pt>
              </c:strCache>
            </c:strRef>
          </c:tx>
          <c:spPr>
            <a:ln w="28575" cap="rnd">
              <a:solidFill>
                <a:schemeClr val="accent1"/>
              </a:solidFill>
              <a:round/>
            </a:ln>
            <a:effectLst/>
          </c:spPr>
          <c:marker>
            <c:symbol val="none"/>
          </c:marker>
          <c:val>
            <c:numRef>
              <c:f>Sheet1!$B$2:$B$40</c:f>
              <c:numCache>
                <c:formatCode>#,##0</c:formatCode>
                <c:ptCount val="39"/>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pt idx="12">
                  <c:v>202777</c:v>
                </c:pt>
              </c:numCache>
            </c:numRef>
          </c:val>
          <c:smooth val="0"/>
          <c:extLst>
            <c:ext xmlns:c16="http://schemas.microsoft.com/office/drawing/2014/chart" uri="{C3380CC4-5D6E-409C-BE32-E72D297353CC}">
              <c16:uniqueId val="{00000000-0430-4734-98F1-BD0009E25C56}"/>
            </c:ext>
          </c:extLst>
        </c:ser>
        <c:ser>
          <c:idx val="1"/>
          <c:order val="1"/>
          <c:tx>
            <c:strRef>
              <c:f>Sheet1!$C$1</c:f>
              <c:strCache>
                <c:ptCount val="1"/>
                <c:pt idx="0">
                  <c:v>Forecast(Net Sales)</c:v>
                </c:pt>
              </c:strCache>
            </c:strRef>
          </c:tx>
          <c:spPr>
            <a:ln w="25400" cap="rnd">
              <a:solidFill>
                <a:schemeClr val="accent2"/>
              </a:solidFill>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Sheet1!$C$2:$C$40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1-0430-4734-98F1-BD0009E25C56}"/>
            </c:ext>
          </c:extLst>
        </c:ser>
        <c:ser>
          <c:idx val="2"/>
          <c:order val="2"/>
          <c:tx>
            <c:strRef>
              <c:f>Sheet1!$D$1</c:f>
              <c:strCache>
                <c:ptCount val="1"/>
                <c:pt idx="0">
                  <c:v>Lower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Sheet1!$D$2:$D$40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2-0430-4734-98F1-BD0009E25C56}"/>
            </c:ext>
          </c:extLst>
        </c:ser>
        <c:ser>
          <c:idx val="3"/>
          <c:order val="3"/>
          <c:tx>
            <c:strRef>
              <c:f>Sheet1!$E$1</c:f>
              <c:strCache>
                <c:ptCount val="1"/>
                <c:pt idx="0">
                  <c:v>Upper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Sheet1!$E$2:$E$40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3-0430-4734-98F1-BD0009E25C56}"/>
            </c:ext>
          </c:extLst>
        </c:ser>
        <c:dLbls>
          <c:showLegendKey val="0"/>
          <c:showVal val="0"/>
          <c:showCatName val="0"/>
          <c:showSerName val="0"/>
          <c:showPercent val="0"/>
          <c:showBubbleSize val="0"/>
        </c:dLbls>
        <c:smooth val="0"/>
        <c:axId val="515845535"/>
        <c:axId val="515844095"/>
      </c:lineChart>
      <c:catAx>
        <c:axId val="515845535"/>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4095"/>
        <c:crosses val="autoZero"/>
        <c:auto val="1"/>
        <c:lblAlgn val="ctr"/>
        <c:lblOffset val="100"/>
        <c:noMultiLvlLbl val="0"/>
      </c:catAx>
      <c:valAx>
        <c:axId val="515844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Sheet2!$B$1</c:f>
              <c:strCache>
                <c:ptCount val="1"/>
                <c:pt idx="0">
                  <c:v>Debt</c:v>
                </c:pt>
              </c:strCache>
            </c:strRef>
          </c:tx>
          <c:spPr>
            <a:ln w="28575" cap="rnd">
              <a:solidFill>
                <a:schemeClr val="accent1"/>
              </a:solidFill>
              <a:round/>
            </a:ln>
            <a:effectLst/>
          </c:spPr>
          <c:marker>
            <c:symbol val="none"/>
          </c:marker>
          <c:val>
            <c:numRef>
              <c:f>Sheet2!$B$2:$B$40</c:f>
              <c:numCache>
                <c:formatCode>#,##0</c:formatCode>
                <c:ptCount val="39"/>
                <c:pt idx="0">
                  <c:v>4393.3999999999996</c:v>
                </c:pt>
                <c:pt idx="1">
                  <c:v>4791</c:v>
                </c:pt>
                <c:pt idx="2">
                  <c:v>4213.8</c:v>
                </c:pt>
                <c:pt idx="3">
                  <c:v>5913.8</c:v>
                </c:pt>
                <c:pt idx="4">
                  <c:v>4464.8</c:v>
                </c:pt>
                <c:pt idx="5">
                  <c:v>17391</c:v>
                </c:pt>
                <c:pt idx="6">
                  <c:v>19163</c:v>
                </c:pt>
                <c:pt idx="7">
                  <c:v>17660.400000000001</c:v>
                </c:pt>
                <c:pt idx="8">
                  <c:v>38746.400000000009</c:v>
                </c:pt>
                <c:pt idx="9">
                  <c:v>48289.9</c:v>
                </c:pt>
                <c:pt idx="10">
                  <c:v>60783.9</c:v>
                </c:pt>
                <c:pt idx="11">
                  <c:v>57926.1</c:v>
                </c:pt>
              </c:numCache>
            </c:numRef>
          </c:val>
          <c:smooth val="0"/>
          <c:extLst>
            <c:ext xmlns:c16="http://schemas.microsoft.com/office/drawing/2014/chart" uri="{C3380CC4-5D6E-409C-BE32-E72D297353CC}">
              <c16:uniqueId val="{00000000-9E1A-487B-9889-786402F4D8A7}"/>
            </c:ext>
          </c:extLst>
        </c:ser>
        <c:ser>
          <c:idx val="1"/>
          <c:order val="1"/>
          <c:tx>
            <c:strRef>
              <c:f>Sheet2!$C$1</c:f>
              <c:strCache>
                <c:ptCount val="1"/>
                <c:pt idx="0">
                  <c:v>Forecast(Debt)</c:v>
                </c:pt>
              </c:strCache>
            </c:strRef>
          </c:tx>
          <c:spPr>
            <a:ln w="25400" cap="rnd">
              <a:solidFill>
                <a:schemeClr val="accent2"/>
              </a:solidFill>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Sheet2!$C$2:$C$40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1-9E1A-487B-9889-786402F4D8A7}"/>
            </c:ext>
          </c:extLst>
        </c:ser>
        <c:ser>
          <c:idx val="2"/>
          <c:order val="2"/>
          <c:tx>
            <c:strRef>
              <c:f>Sheet2!$D$1</c:f>
              <c:strCache>
                <c:ptCount val="1"/>
                <c:pt idx="0">
                  <c:v>Lower Confidence Bound(Debt)</c:v>
                </c:pt>
              </c:strCache>
            </c:strRef>
          </c:tx>
          <c:spPr>
            <a:ln w="12700" cap="rnd">
              <a:solidFill>
                <a:srgbClr val="C0504D"/>
              </a:solidFill>
              <a:prstDash val="solid"/>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Sheet2!$D$2:$D$40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2-9E1A-487B-9889-786402F4D8A7}"/>
            </c:ext>
          </c:extLst>
        </c:ser>
        <c:ser>
          <c:idx val="3"/>
          <c:order val="3"/>
          <c:tx>
            <c:strRef>
              <c:f>Sheet2!$E$1</c:f>
              <c:strCache>
                <c:ptCount val="1"/>
                <c:pt idx="0">
                  <c:v>Upper Confidence Bound(Debt)</c:v>
                </c:pt>
              </c:strCache>
            </c:strRef>
          </c:tx>
          <c:spPr>
            <a:ln w="12700" cap="rnd">
              <a:solidFill>
                <a:srgbClr val="C0504D"/>
              </a:solidFill>
              <a:prstDash val="solid"/>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Sheet2!$E$2:$E$40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3-9E1A-487B-9889-786402F4D8A7}"/>
            </c:ext>
          </c:extLst>
        </c:ser>
        <c:dLbls>
          <c:showLegendKey val="0"/>
          <c:showVal val="0"/>
          <c:showCatName val="0"/>
          <c:showSerName val="0"/>
          <c:showPercent val="0"/>
          <c:showBubbleSize val="0"/>
        </c:dLbls>
        <c:smooth val="0"/>
        <c:axId val="537626159"/>
        <c:axId val="537626639"/>
      </c:lineChart>
      <c:catAx>
        <c:axId val="53762615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26639"/>
        <c:crosses val="autoZero"/>
        <c:auto val="1"/>
        <c:lblAlgn val="ctr"/>
        <c:lblOffset val="100"/>
        <c:noMultiLvlLbl val="0"/>
      </c:catAx>
      <c:valAx>
        <c:axId val="53762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2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Assumptions!$B$49</c:f>
              <c:strCache>
                <c:ptCount val="1"/>
                <c:pt idx="0">
                  <c:v>Net Sales</c:v>
                </c:pt>
              </c:strCache>
            </c:strRef>
          </c:tx>
          <c:spPr>
            <a:solidFill>
              <a:schemeClr val="accent1">
                <a:alpha val="70000"/>
              </a:schemeClr>
            </a:solidFill>
            <a:ln>
              <a:noFill/>
            </a:ln>
            <a:effectLst/>
          </c:spPr>
          <c:invertIfNegative val="0"/>
          <c:trendline>
            <c:spPr>
              <a:ln w="15875" cap="rnd">
                <a:solidFill>
                  <a:schemeClr val="accent1"/>
                </a:solidFill>
              </a:ln>
              <a:effectLst/>
            </c:spPr>
            <c:trendlineType val="movingAvg"/>
            <c:period val="2"/>
            <c:dispRSqr val="0"/>
            <c:dispEq val="0"/>
          </c:trendline>
          <c:cat>
            <c:numRef>
              <c:f>Assumptions!$C$48:$N$48</c:f>
              <c:numCache>
                <c:formatCode>General</c:formatCode>
                <c:ptCount val="12"/>
                <c:pt idx="0">
                  <c:v>2012</c:v>
                </c:pt>
                <c:pt idx="1">
                  <c:v>2013</c:v>
                </c:pt>
                <c:pt idx="2">
                  <c:v>2014</c:v>
                </c:pt>
                <c:pt idx="3">
                  <c:v>2015</c:v>
                </c:pt>
                <c:pt idx="4">
                  <c:v>2016</c:v>
                </c:pt>
                <c:pt idx="5">
                  <c:v>2017</c:v>
                </c:pt>
                <c:pt idx="6">
                  <c:v>2018</c:v>
                </c:pt>
                <c:pt idx="7">
                  <c:v>2019</c:v>
                </c:pt>
                <c:pt idx="8">
                  <c:v>2020</c:v>
                </c:pt>
                <c:pt idx="9">
                  <c:v>2021</c:v>
                </c:pt>
                <c:pt idx="10">
                  <c:v>2022</c:v>
                </c:pt>
                <c:pt idx="11">
                  <c:v>2023</c:v>
                </c:pt>
              </c:numCache>
            </c:numRef>
          </c:cat>
          <c:val>
            <c:numRef>
              <c:f>Assumptions!$C$49:$N$49</c:f>
              <c:numCache>
                <c:formatCode>#,##0</c:formatCode>
                <c:ptCount val="12"/>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numCache>
            </c:numRef>
          </c:val>
          <c:extLst>
            <c:ext xmlns:c16="http://schemas.microsoft.com/office/drawing/2014/chart" uri="{C3380CC4-5D6E-409C-BE32-E72D297353CC}">
              <c16:uniqueId val="{00000000-5925-4760-B754-399E078B88CF}"/>
            </c:ext>
          </c:extLst>
        </c:ser>
        <c:dLbls>
          <c:showLegendKey val="0"/>
          <c:showVal val="0"/>
          <c:showCatName val="0"/>
          <c:showSerName val="0"/>
          <c:showPercent val="0"/>
          <c:showBubbleSize val="0"/>
        </c:dLbls>
        <c:gapWidth val="80"/>
        <c:overlap val="25"/>
        <c:axId val="1823315584"/>
        <c:axId val="1823314144"/>
      </c:barChart>
      <c:catAx>
        <c:axId val="1823315584"/>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823314144"/>
        <c:crosses val="autoZero"/>
        <c:auto val="1"/>
        <c:lblAlgn val="ctr"/>
        <c:lblOffset val="100"/>
        <c:noMultiLvlLbl val="0"/>
      </c:catAx>
      <c:valAx>
        <c:axId val="1823314144"/>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823315584"/>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Sheet1!$B$1</c:f>
              <c:strCache>
                <c:ptCount val="1"/>
                <c:pt idx="0">
                  <c:v>Net Sales</c:v>
                </c:pt>
              </c:strCache>
            </c:strRef>
          </c:tx>
          <c:spPr>
            <a:ln w="28575" cap="rnd">
              <a:solidFill>
                <a:schemeClr val="accent1"/>
              </a:solidFill>
              <a:round/>
            </a:ln>
            <a:effectLst/>
          </c:spPr>
          <c:marker>
            <c:symbol val="none"/>
          </c:marker>
          <c:val>
            <c:numRef>
              <c:f>Sheet1!$B$2:$B$40</c:f>
              <c:numCache>
                <c:formatCode>#,##0</c:formatCode>
                <c:ptCount val="39"/>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pt idx="12">
                  <c:v>202777</c:v>
                </c:pt>
              </c:numCache>
            </c:numRef>
          </c:val>
          <c:smooth val="0"/>
          <c:extLst>
            <c:ext xmlns:c16="http://schemas.microsoft.com/office/drawing/2014/chart" uri="{C3380CC4-5D6E-409C-BE32-E72D297353CC}">
              <c16:uniqueId val="{00000000-2631-4C3D-B087-B63B5D614D3E}"/>
            </c:ext>
          </c:extLst>
        </c:ser>
        <c:ser>
          <c:idx val="1"/>
          <c:order val="1"/>
          <c:tx>
            <c:strRef>
              <c:f>Sheet1!$C$1</c:f>
              <c:strCache>
                <c:ptCount val="1"/>
                <c:pt idx="0">
                  <c:v>Forecast(Net Sales)</c:v>
                </c:pt>
              </c:strCache>
            </c:strRef>
          </c:tx>
          <c:spPr>
            <a:ln w="25400" cap="rnd">
              <a:solidFill>
                <a:schemeClr val="accent2"/>
              </a:solidFill>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Sheet1!$C$2:$C$40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1-2631-4C3D-B087-B63B5D614D3E}"/>
            </c:ext>
          </c:extLst>
        </c:ser>
        <c:ser>
          <c:idx val="2"/>
          <c:order val="2"/>
          <c:tx>
            <c:strRef>
              <c:f>Sheet1!$D$1</c:f>
              <c:strCache>
                <c:ptCount val="1"/>
                <c:pt idx="0">
                  <c:v>Lower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Sheet1!$D$2:$D$40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2-2631-4C3D-B087-B63B5D614D3E}"/>
            </c:ext>
          </c:extLst>
        </c:ser>
        <c:ser>
          <c:idx val="3"/>
          <c:order val="3"/>
          <c:tx>
            <c:strRef>
              <c:f>Sheet1!$E$1</c:f>
              <c:strCache>
                <c:ptCount val="1"/>
                <c:pt idx="0">
                  <c:v>Upper Confidence Bound(Net Sales)</c:v>
                </c:pt>
              </c:strCache>
            </c:strRef>
          </c:tx>
          <c:spPr>
            <a:ln w="12700" cap="rnd">
              <a:solidFill>
                <a:srgbClr val="C0504D"/>
              </a:solidFill>
              <a:prstDash val="solid"/>
              <a:round/>
            </a:ln>
            <a:effectLst/>
          </c:spPr>
          <c:marker>
            <c:symbol val="none"/>
          </c:marker>
          <c:cat>
            <c:numRef>
              <c:f>Sheet1!$A$2:$A$40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Sheet1!$E$2:$E$40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3-2631-4C3D-B087-B63B5D614D3E}"/>
            </c:ext>
          </c:extLst>
        </c:ser>
        <c:dLbls>
          <c:showLegendKey val="0"/>
          <c:showVal val="0"/>
          <c:showCatName val="0"/>
          <c:showSerName val="0"/>
          <c:showPercent val="0"/>
          <c:showBubbleSize val="0"/>
        </c:dLbls>
        <c:smooth val="0"/>
        <c:axId val="515845535"/>
        <c:axId val="515844095"/>
      </c:lineChart>
      <c:catAx>
        <c:axId val="515845535"/>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4095"/>
        <c:crosses val="autoZero"/>
        <c:auto val="1"/>
        <c:lblAlgn val="ctr"/>
        <c:lblOffset val="100"/>
        <c:noMultiLvlLbl val="0"/>
      </c:catAx>
      <c:valAx>
        <c:axId val="5158440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845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Sheet2!$B$1</c:f>
              <c:strCache>
                <c:ptCount val="1"/>
                <c:pt idx="0">
                  <c:v>Debt</c:v>
                </c:pt>
              </c:strCache>
            </c:strRef>
          </c:tx>
          <c:spPr>
            <a:ln w="28575" cap="rnd">
              <a:solidFill>
                <a:schemeClr val="accent1"/>
              </a:solidFill>
              <a:round/>
            </a:ln>
            <a:effectLst/>
          </c:spPr>
          <c:marker>
            <c:symbol val="none"/>
          </c:marker>
          <c:val>
            <c:numRef>
              <c:f>Sheet2!$B$2:$B$40</c:f>
              <c:numCache>
                <c:formatCode>#,##0</c:formatCode>
                <c:ptCount val="39"/>
                <c:pt idx="0">
                  <c:v>4393.3999999999996</c:v>
                </c:pt>
                <c:pt idx="1">
                  <c:v>4791</c:v>
                </c:pt>
                <c:pt idx="2">
                  <c:v>4213.8</c:v>
                </c:pt>
                <c:pt idx="3">
                  <c:v>5913.8</c:v>
                </c:pt>
                <c:pt idx="4">
                  <c:v>4464.8</c:v>
                </c:pt>
                <c:pt idx="5">
                  <c:v>17391</c:v>
                </c:pt>
                <c:pt idx="6">
                  <c:v>19163</c:v>
                </c:pt>
                <c:pt idx="7">
                  <c:v>17660.400000000001</c:v>
                </c:pt>
                <c:pt idx="8">
                  <c:v>38746.400000000009</c:v>
                </c:pt>
                <c:pt idx="9">
                  <c:v>48289.9</c:v>
                </c:pt>
                <c:pt idx="10">
                  <c:v>60783.9</c:v>
                </c:pt>
                <c:pt idx="11">
                  <c:v>57926.1</c:v>
                </c:pt>
              </c:numCache>
            </c:numRef>
          </c:val>
          <c:smooth val="0"/>
          <c:extLst>
            <c:ext xmlns:c16="http://schemas.microsoft.com/office/drawing/2014/chart" uri="{C3380CC4-5D6E-409C-BE32-E72D297353CC}">
              <c16:uniqueId val="{00000000-6F5D-4927-AD47-09D0BF7FFF98}"/>
            </c:ext>
          </c:extLst>
        </c:ser>
        <c:ser>
          <c:idx val="1"/>
          <c:order val="1"/>
          <c:tx>
            <c:strRef>
              <c:f>Sheet2!$C$1</c:f>
              <c:strCache>
                <c:ptCount val="1"/>
                <c:pt idx="0">
                  <c:v>Forecast(Debt)</c:v>
                </c:pt>
              </c:strCache>
            </c:strRef>
          </c:tx>
          <c:spPr>
            <a:ln w="25400" cap="rnd">
              <a:solidFill>
                <a:schemeClr val="accent2"/>
              </a:solidFill>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Sheet2!$C$2:$C$40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1-6F5D-4927-AD47-09D0BF7FFF98}"/>
            </c:ext>
          </c:extLst>
        </c:ser>
        <c:ser>
          <c:idx val="2"/>
          <c:order val="2"/>
          <c:tx>
            <c:strRef>
              <c:f>Sheet2!$D$1</c:f>
              <c:strCache>
                <c:ptCount val="1"/>
                <c:pt idx="0">
                  <c:v>Lower Confidence Bound(Debt)</c:v>
                </c:pt>
              </c:strCache>
            </c:strRef>
          </c:tx>
          <c:spPr>
            <a:ln w="12700" cap="rnd">
              <a:solidFill>
                <a:srgbClr val="C0504D"/>
              </a:solidFill>
              <a:prstDash val="solid"/>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Sheet2!$D$2:$D$40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2-6F5D-4927-AD47-09D0BF7FFF98}"/>
            </c:ext>
          </c:extLst>
        </c:ser>
        <c:ser>
          <c:idx val="3"/>
          <c:order val="3"/>
          <c:tx>
            <c:strRef>
              <c:f>Sheet2!$E$1</c:f>
              <c:strCache>
                <c:ptCount val="1"/>
                <c:pt idx="0">
                  <c:v>Upper Confidence Bound(Debt)</c:v>
                </c:pt>
              </c:strCache>
            </c:strRef>
          </c:tx>
          <c:spPr>
            <a:ln w="12700" cap="rnd">
              <a:solidFill>
                <a:srgbClr val="C0504D"/>
              </a:solidFill>
              <a:prstDash val="solid"/>
              <a:round/>
            </a:ln>
            <a:effectLst/>
          </c:spPr>
          <c:marker>
            <c:symbol val="none"/>
          </c:marker>
          <c:cat>
            <c:numRef>
              <c:f>Sheet2!$A$2:$A$40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Sheet2!$E$2:$E$40</c:f>
              <c:numCache>
                <c:formatCode>General</c:formatCode>
                <c:ptCount val="39"/>
                <c:pt idx="11" formatCode="#,##0">
                  <c:v>57926.1</c:v>
                </c:pt>
                <c:pt idx="12" formatCode="#,##0">
                  <c:v>#N/A</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3-6F5D-4927-AD47-09D0BF7FFF98}"/>
            </c:ext>
          </c:extLst>
        </c:ser>
        <c:dLbls>
          <c:showLegendKey val="0"/>
          <c:showVal val="0"/>
          <c:showCatName val="0"/>
          <c:showSerName val="0"/>
          <c:showPercent val="0"/>
          <c:showBubbleSize val="0"/>
        </c:dLbls>
        <c:smooth val="0"/>
        <c:axId val="537626159"/>
        <c:axId val="537626639"/>
      </c:lineChart>
      <c:catAx>
        <c:axId val="53762615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26639"/>
        <c:crosses val="autoZero"/>
        <c:auto val="1"/>
        <c:lblAlgn val="ctr"/>
        <c:lblOffset val="100"/>
        <c:noMultiLvlLbl val="0"/>
      </c:catAx>
      <c:valAx>
        <c:axId val="53762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626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PT"/>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Forecasts!$B$1</c:f>
              <c:strCache>
                <c:ptCount val="1"/>
                <c:pt idx="0">
                  <c:v>Net Sales</c:v>
                </c:pt>
              </c:strCache>
            </c:strRef>
          </c:tx>
          <c:spPr>
            <a:ln w="28575" cap="rnd">
              <a:solidFill>
                <a:schemeClr val="accent1"/>
              </a:solidFill>
              <a:round/>
            </a:ln>
            <a:effectLst/>
          </c:spPr>
          <c:marker>
            <c:symbol val="none"/>
          </c:marker>
          <c:val>
            <c:numRef>
              <c:f>Forecasts!$B$2:$B$40</c:f>
              <c:numCache>
                <c:formatCode>#,##0</c:formatCode>
                <c:ptCount val="39"/>
                <c:pt idx="0">
                  <c:v>43159.9666</c:v>
                </c:pt>
                <c:pt idx="1">
                  <c:v>56784.314299999998</c:v>
                </c:pt>
                <c:pt idx="2">
                  <c:v>62599.104200000002</c:v>
                </c:pt>
                <c:pt idx="3">
                  <c:v>76033.142500000002</c:v>
                </c:pt>
                <c:pt idx="4">
                  <c:v>98615.702400000009</c:v>
                </c:pt>
                <c:pt idx="5">
                  <c:v>101169.48880000001</c:v>
                </c:pt>
                <c:pt idx="6">
                  <c:v>99230</c:v>
                </c:pt>
                <c:pt idx="7">
                  <c:v>96210.7</c:v>
                </c:pt>
                <c:pt idx="8">
                  <c:v>103307.6</c:v>
                </c:pt>
                <c:pt idx="9">
                  <c:v>136404.70000000001</c:v>
                </c:pt>
                <c:pt idx="10">
                  <c:v>137339.98518776</c:v>
                </c:pt>
                <c:pt idx="11">
                  <c:v>173212.07675797</c:v>
                </c:pt>
                <c:pt idx="12" formatCode="General">
                  <c:v>202777</c:v>
                </c:pt>
              </c:numCache>
            </c:numRef>
          </c:val>
          <c:smooth val="0"/>
          <c:extLst>
            <c:ext xmlns:c16="http://schemas.microsoft.com/office/drawing/2014/chart" uri="{C3380CC4-5D6E-409C-BE32-E72D297353CC}">
              <c16:uniqueId val="{00000000-CC24-4D7C-9A30-5FCD4FDEB334}"/>
            </c:ext>
          </c:extLst>
        </c:ser>
        <c:ser>
          <c:idx val="1"/>
          <c:order val="1"/>
          <c:tx>
            <c:strRef>
              <c:f>Forecasts!$C$1</c:f>
              <c:strCache>
                <c:ptCount val="1"/>
                <c:pt idx="0">
                  <c:v>Forecast(Net Sales)</c:v>
                </c:pt>
              </c:strCache>
            </c:strRef>
          </c:tx>
          <c:spPr>
            <a:ln w="25400" cap="rnd">
              <a:solidFill>
                <a:schemeClr val="accent2"/>
              </a:solidFill>
              <a:round/>
            </a:ln>
            <a:effectLst/>
          </c:spPr>
          <c:marker>
            <c:symbol val="none"/>
          </c:marker>
          <c:cat>
            <c:numRef>
              <c:f>Forecasts!$A$2:$A$40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Forecasts!$C$2:$C$40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1-CC24-4D7C-9A30-5FCD4FDEB334}"/>
            </c:ext>
          </c:extLst>
        </c:ser>
        <c:ser>
          <c:idx val="2"/>
          <c:order val="2"/>
          <c:tx>
            <c:strRef>
              <c:f>Forecasts!$D$1</c:f>
              <c:strCache>
                <c:ptCount val="1"/>
                <c:pt idx="0">
                  <c:v>Lower Confidence Bound(Net Sales)</c:v>
                </c:pt>
              </c:strCache>
            </c:strRef>
          </c:tx>
          <c:spPr>
            <a:ln w="12700" cap="rnd">
              <a:solidFill>
                <a:srgbClr val="C0504D"/>
              </a:solidFill>
              <a:prstDash val="solid"/>
              <a:round/>
            </a:ln>
            <a:effectLst/>
          </c:spPr>
          <c:marker>
            <c:symbol val="none"/>
          </c:marker>
          <c:cat>
            <c:numRef>
              <c:f>Forecasts!$A$2:$A$40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Forecasts!$D$2:$D$40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2-CC24-4D7C-9A30-5FCD4FDEB334}"/>
            </c:ext>
          </c:extLst>
        </c:ser>
        <c:ser>
          <c:idx val="3"/>
          <c:order val="3"/>
          <c:tx>
            <c:strRef>
              <c:f>Forecasts!$E$1</c:f>
              <c:strCache>
                <c:ptCount val="1"/>
                <c:pt idx="0">
                  <c:v>Upper Confidence Bound(Net Sales)</c:v>
                </c:pt>
              </c:strCache>
            </c:strRef>
          </c:tx>
          <c:spPr>
            <a:ln w="12700" cap="rnd">
              <a:solidFill>
                <a:srgbClr val="C0504D"/>
              </a:solidFill>
              <a:prstDash val="solid"/>
              <a:round/>
            </a:ln>
            <a:effectLst/>
          </c:spPr>
          <c:marker>
            <c:symbol val="none"/>
          </c:marker>
          <c:cat>
            <c:numRef>
              <c:f>Forecasts!$A$2:$A$40</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Forecasts!$E$2:$E$40</c:f>
              <c:numCache>
                <c:formatCode>General</c:formatCode>
                <c:ptCount val="39"/>
                <c:pt idx="12" formatCode="#,##0">
                  <c:v>202777</c:v>
                </c:pt>
                <c:pt idx="13" formatCode="#,##0">
                  <c:v>#N/A</c:v>
                </c:pt>
                <c:pt idx="14" formatCode="#,##0">
                  <c:v>#N/A</c:v>
                </c:pt>
                <c:pt idx="15" formatCode="#,##0">
                  <c:v>#N/A</c:v>
                </c:pt>
                <c:pt idx="16" formatCode="#,##0">
                  <c:v>#N/A</c:v>
                </c:pt>
                <c:pt idx="17" formatCode="#,##0">
                  <c:v>#N/A</c:v>
                </c:pt>
                <c:pt idx="18" formatCode="#,##0">
                  <c:v>#N/A</c:v>
                </c:pt>
                <c:pt idx="19" formatCode="#,##0">
                  <c:v>#N/A</c:v>
                </c:pt>
                <c:pt idx="20" formatCode="#,##0">
                  <c:v>#N/A</c:v>
                </c:pt>
                <c:pt idx="21" formatCode="#,##0">
                  <c:v>#N/A</c:v>
                </c:pt>
                <c:pt idx="22" formatCode="#,##0">
                  <c:v>#N/A</c:v>
                </c:pt>
                <c:pt idx="23" formatCode="#,##0">
                  <c:v>#N/A</c:v>
                </c:pt>
                <c:pt idx="24" formatCode="#,##0">
                  <c:v>#N/A</c:v>
                </c:pt>
                <c:pt idx="25" formatCode="#,##0">
                  <c:v>#N/A</c:v>
                </c:pt>
                <c:pt idx="26" formatCode="#,##0">
                  <c:v>#N/A</c:v>
                </c:pt>
                <c:pt idx="27" formatCode="#,##0">
                  <c:v>#N/A</c:v>
                </c:pt>
                <c:pt idx="28" formatCode="#,##0">
                  <c:v>#N/A</c:v>
                </c:pt>
                <c:pt idx="29" formatCode="#,##0">
                  <c:v>#N/A</c:v>
                </c:pt>
                <c:pt idx="30" formatCode="#,##0">
                  <c:v>#N/A</c:v>
                </c:pt>
                <c:pt idx="31" formatCode="#,##0">
                  <c:v>#N/A</c:v>
                </c:pt>
                <c:pt idx="32" formatCode="#,##0">
                  <c:v>#N/A</c:v>
                </c:pt>
                <c:pt idx="33" formatCode="#,##0">
                  <c:v>#N/A</c:v>
                </c:pt>
                <c:pt idx="34" formatCode="#,##0">
                  <c:v>#N/A</c:v>
                </c:pt>
                <c:pt idx="35" formatCode="#,##0">
                  <c:v>#N/A</c:v>
                </c:pt>
                <c:pt idx="36" formatCode="#,##0">
                  <c:v>#N/A</c:v>
                </c:pt>
                <c:pt idx="37" formatCode="#,##0">
                  <c:v>#N/A</c:v>
                </c:pt>
                <c:pt idx="38" formatCode="#,##0">
                  <c:v>#N/A</c:v>
                </c:pt>
              </c:numCache>
            </c:numRef>
          </c:val>
          <c:smooth val="0"/>
          <c:extLst>
            <c:ext xmlns:c16="http://schemas.microsoft.com/office/drawing/2014/chart" uri="{C3380CC4-5D6E-409C-BE32-E72D297353CC}">
              <c16:uniqueId val="{00000003-CC24-4D7C-9A30-5FCD4FDEB334}"/>
            </c:ext>
          </c:extLst>
        </c:ser>
        <c:dLbls>
          <c:showLegendKey val="0"/>
          <c:showVal val="0"/>
          <c:showCatName val="0"/>
          <c:showSerName val="0"/>
          <c:showPercent val="0"/>
          <c:showBubbleSize val="0"/>
        </c:dLbls>
        <c:smooth val="0"/>
        <c:axId val="333711600"/>
        <c:axId val="333707280"/>
      </c:lineChart>
      <c:catAx>
        <c:axId val="33371160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07280"/>
        <c:crosses val="autoZero"/>
        <c:auto val="1"/>
        <c:lblAlgn val="ctr"/>
        <c:lblOffset val="100"/>
        <c:noMultiLvlLbl val="0"/>
      </c:catAx>
      <c:valAx>
        <c:axId val="333707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3711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image" Target="../media/image2.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3.xml"/><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11</xdr:row>
      <xdr:rowOff>0</xdr:rowOff>
    </xdr:from>
    <xdr:to>
      <xdr:col>13</xdr:col>
      <xdr:colOff>304800</xdr:colOff>
      <xdr:row>12</xdr:row>
      <xdr:rowOff>1772</xdr:rowOff>
    </xdr:to>
    <xdr:sp macro="" textlink="">
      <xdr:nvSpPr>
        <xdr:cNvPr id="2096" name="AutoShape 48" descr="Resultado de imagen para heidelbergcement">
          <a:extLst>
            <a:ext uri="{FF2B5EF4-FFF2-40B4-BE49-F238E27FC236}">
              <a16:creationId xmlns:a16="http://schemas.microsoft.com/office/drawing/2014/main" id="{EBAF9DAF-18D3-4875-8FFF-AEB741FF11AC}"/>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11</xdr:row>
      <xdr:rowOff>0</xdr:rowOff>
    </xdr:from>
    <xdr:to>
      <xdr:col>13</xdr:col>
      <xdr:colOff>304800</xdr:colOff>
      <xdr:row>12</xdr:row>
      <xdr:rowOff>1772</xdr:rowOff>
    </xdr:to>
    <xdr:sp macro="" textlink="">
      <xdr:nvSpPr>
        <xdr:cNvPr id="2097" name="AutoShape 49" descr="Resultado de imagen para heidelbergcement">
          <a:extLst>
            <a:ext uri="{FF2B5EF4-FFF2-40B4-BE49-F238E27FC236}">
              <a16:creationId xmlns:a16="http://schemas.microsoft.com/office/drawing/2014/main" id="{1AED6D21-AC79-48CB-9928-5DBD43CA26F1}"/>
            </a:ext>
          </a:extLst>
        </xdr:cNvPr>
        <xdr:cNvSpPr>
          <a:spLocks noChangeAspect="1" noChangeArrowheads="1"/>
        </xdr:cNvSpPr>
      </xdr:nvSpPr>
      <xdr:spPr bwMode="auto">
        <a:xfrm>
          <a:off x="15001875" y="80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11</xdr:row>
      <xdr:rowOff>0</xdr:rowOff>
    </xdr:from>
    <xdr:to>
      <xdr:col>13</xdr:col>
      <xdr:colOff>304800</xdr:colOff>
      <xdr:row>12</xdr:row>
      <xdr:rowOff>1772</xdr:rowOff>
    </xdr:to>
    <xdr:sp macro="" textlink="">
      <xdr:nvSpPr>
        <xdr:cNvPr id="9" name="AutoShape 48" descr="Resultado de imagen para heidelbergcement">
          <a:extLst>
            <a:ext uri="{FF2B5EF4-FFF2-40B4-BE49-F238E27FC236}">
              <a16:creationId xmlns:a16="http://schemas.microsoft.com/office/drawing/2014/main" id="{7A971572-AE46-4C4C-8556-A1DC5E24C990}"/>
            </a:ext>
          </a:extLst>
        </xdr:cNvPr>
        <xdr:cNvSpPr>
          <a:spLocks noChangeAspect="1" noChangeArrowheads="1"/>
        </xdr:cNvSpPr>
      </xdr:nvSpPr>
      <xdr:spPr bwMode="auto">
        <a:xfrm>
          <a:off x="18110200" y="135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0</xdr:colOff>
      <xdr:row>2</xdr:row>
      <xdr:rowOff>0</xdr:rowOff>
    </xdr:from>
    <xdr:to>
      <xdr:col>13</xdr:col>
      <xdr:colOff>304800</xdr:colOff>
      <xdr:row>2</xdr:row>
      <xdr:rowOff>304800</xdr:rowOff>
    </xdr:to>
    <xdr:sp macro="" textlink="">
      <xdr:nvSpPr>
        <xdr:cNvPr id="11" name="AutoShape 51" descr="Resultado de imagen para heidelbergcement">
          <a:extLst>
            <a:ext uri="{FF2B5EF4-FFF2-40B4-BE49-F238E27FC236}">
              <a16:creationId xmlns:a16="http://schemas.microsoft.com/office/drawing/2014/main" id="{9C93AAA3-5F34-E84C-A119-511471E42284}"/>
            </a:ext>
          </a:extLst>
        </xdr:cNvPr>
        <xdr:cNvSpPr>
          <a:spLocks noChangeAspect="1" noChangeArrowheads="1"/>
        </xdr:cNvSpPr>
      </xdr:nvSpPr>
      <xdr:spPr bwMode="auto">
        <a:xfrm>
          <a:off x="18110200" y="3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561975</xdr:colOff>
      <xdr:row>2</xdr:row>
      <xdr:rowOff>38100</xdr:rowOff>
    </xdr:from>
    <xdr:to>
      <xdr:col>2</xdr:col>
      <xdr:colOff>891540</xdr:colOff>
      <xdr:row>10</xdr:row>
      <xdr:rowOff>247650</xdr:rowOff>
    </xdr:to>
    <xdr:pic>
      <xdr:nvPicPr>
        <xdr:cNvPr id="16" name="Picture 7">
          <a:extLst>
            <a:ext uri="{FF2B5EF4-FFF2-40B4-BE49-F238E27FC236}">
              <a16:creationId xmlns:a16="http://schemas.microsoft.com/office/drawing/2014/main" id="{1C91F2D7-CF21-0A12-2947-4A028D61BE27}"/>
            </a:ext>
            <a:ext uri="{147F2762-F138-4A5C-976F-8EAC2B608ADB}">
              <a16:predDERef xmlns:a16="http://schemas.microsoft.com/office/drawing/2014/main" pred="{D9581549-7AC8-A9C2-09D5-6681270F4C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550" y="371475"/>
          <a:ext cx="2371725" cy="2590800"/>
        </a:xfrm>
        <a:prstGeom prst="rect">
          <a:avLst/>
        </a:prstGeom>
      </xdr:spPr>
    </xdr:pic>
    <xdr:clientData/>
  </xdr:twoCellAnchor>
  <xdr:twoCellAnchor>
    <xdr:from>
      <xdr:col>8</xdr:col>
      <xdr:colOff>590550</xdr:colOff>
      <xdr:row>29</xdr:row>
      <xdr:rowOff>104775</xdr:rowOff>
    </xdr:from>
    <xdr:to>
      <xdr:col>11</xdr:col>
      <xdr:colOff>19050</xdr:colOff>
      <xdr:row>32</xdr:row>
      <xdr:rowOff>219075</xdr:rowOff>
    </xdr:to>
    <xdr:graphicFrame macro="">
      <xdr:nvGraphicFramePr>
        <xdr:cNvPr id="2" name="Gráfico 1">
          <a:extLst>
            <a:ext uri="{FF2B5EF4-FFF2-40B4-BE49-F238E27FC236}">
              <a16:creationId xmlns:a16="http://schemas.microsoft.com/office/drawing/2014/main" id="{84E76748-EF44-486D-A3CF-E946341E4C31}"/>
            </a:ext>
            <a:ext uri="{147F2762-F138-4A5C-976F-8EAC2B608ADB}">
              <a16:predDERef xmlns:a16="http://schemas.microsoft.com/office/drawing/2014/main" pred="{1C91F2D7-CF21-0A12-2947-4A028D61BE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533400</xdr:colOff>
      <xdr:row>29</xdr:row>
      <xdr:rowOff>57150</xdr:rowOff>
    </xdr:from>
    <xdr:to>
      <xdr:col>12</xdr:col>
      <xdr:colOff>1771650</xdr:colOff>
      <xdr:row>32</xdr:row>
      <xdr:rowOff>200025</xdr:rowOff>
    </xdr:to>
    <xdr:graphicFrame macro="">
      <xdr:nvGraphicFramePr>
        <xdr:cNvPr id="4" name="Gráfico 3">
          <a:extLst>
            <a:ext uri="{FF2B5EF4-FFF2-40B4-BE49-F238E27FC236}">
              <a16:creationId xmlns:a16="http://schemas.microsoft.com/office/drawing/2014/main" id="{65D1A0FB-667F-4D21-90F2-B18E8E079932}"/>
            </a:ext>
            <a:ext uri="{147F2762-F138-4A5C-976F-8EAC2B608ADB}">
              <a16:predDERef xmlns:a16="http://schemas.microsoft.com/office/drawing/2014/main" pred="{84E76748-EF44-486D-A3CF-E946341E4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28575</xdr:colOff>
      <xdr:row>77</xdr:row>
      <xdr:rowOff>9525</xdr:rowOff>
    </xdr:from>
    <xdr:to>
      <xdr:col>12</xdr:col>
      <xdr:colOff>895350</xdr:colOff>
      <xdr:row>100</xdr:row>
      <xdr:rowOff>123825</xdr:rowOff>
    </xdr:to>
    <xdr:pic>
      <xdr:nvPicPr>
        <xdr:cNvPr id="5" name="Imagem 4">
          <a:extLst>
            <a:ext uri="{FF2B5EF4-FFF2-40B4-BE49-F238E27FC236}">
              <a16:creationId xmlns:a16="http://schemas.microsoft.com/office/drawing/2014/main" id="{B09889B2-E17D-88A3-E3AA-34B0DB93CD8D}"/>
            </a:ext>
            <a:ext uri="{147F2762-F138-4A5C-976F-8EAC2B608ADB}">
              <a16:predDERef xmlns:a16="http://schemas.microsoft.com/office/drawing/2014/main" pred="{65D1A0FB-667F-4D21-90F2-B18E8E079932}"/>
            </a:ext>
          </a:extLst>
        </xdr:cNvPr>
        <xdr:cNvPicPr>
          <a:picLocks noChangeAspect="1"/>
        </xdr:cNvPicPr>
      </xdr:nvPicPr>
      <xdr:blipFill>
        <a:blip xmlns:r="http://schemas.openxmlformats.org/officeDocument/2006/relationships" r:embed="rId4"/>
        <a:stretch>
          <a:fillRect/>
        </a:stretch>
      </xdr:blipFill>
      <xdr:spPr>
        <a:xfrm>
          <a:off x="8115300" y="17668875"/>
          <a:ext cx="7562850" cy="3838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34</xdr:col>
      <xdr:colOff>19050</xdr:colOff>
      <xdr:row>86</xdr:row>
      <xdr:rowOff>0</xdr:rowOff>
    </xdr:from>
    <xdr:to>
      <xdr:col>35</xdr:col>
      <xdr:colOff>209550</xdr:colOff>
      <xdr:row>87</xdr:row>
      <xdr:rowOff>28575</xdr:rowOff>
    </xdr:to>
    <xdr:sp macro="" textlink="">
      <xdr:nvSpPr>
        <xdr:cNvPr id="87" name="Rectangle 17">
          <a:extLst>
            <a:ext uri="{FF2B5EF4-FFF2-40B4-BE49-F238E27FC236}">
              <a16:creationId xmlns:a16="http://schemas.microsoft.com/office/drawing/2014/main" id="{373BA1AE-84F4-1EA4-7F90-6E6AE589AB0D}"/>
            </a:ext>
            <a:ext uri="{147F2762-F138-4A5C-976F-8EAC2B608ADB}">
              <a16:predDERef xmlns:a16="http://schemas.microsoft.com/office/drawing/2014/main" pred="{795168BE-2BCC-E14D-F42E-6CD34F49FE73}"/>
            </a:ext>
          </a:extLst>
        </xdr:cNvPr>
        <xdr:cNvSpPr/>
      </xdr:nvSpPr>
      <xdr:spPr bwMode="auto">
        <a:xfrm>
          <a:off x="29794200" y="10391775"/>
          <a:ext cx="952500" cy="952500"/>
        </a:xfrm>
        <a:prstGeom prst="rect">
          <a:avLst/>
        </a:prstGeom>
        <a:solidFill>
          <a:srgbClr val="FFFFFF"/>
        </a:solidFill>
        <a:ln w="9525" cap="flat" cmpd="sng" algn="ctr">
          <a:noFill/>
          <a:prstDash val="solid"/>
          <a:round/>
          <a:headEnd type="none" w="med" len="med"/>
          <a:tailEnd type="none" w="med" len="med"/>
        </a:ln>
        <a:effectLst/>
      </xdr:spPr>
      <xdr:txBody>
        <a:bodyPr vertOverflow="clip" horzOverflow="clip" wrap="square" lIns="18288" tIns="0" rIns="0" bIns="0" rtlCol="0" anchor="t" upright="1"/>
        <a:lstStyle/>
        <a:p>
          <a:pPr algn="l"/>
          <a:endParaRPr lang="en-US"/>
        </a:p>
      </xdr:txBody>
    </xdr:sp>
    <xdr:clientData/>
  </xdr:twoCellAnchor>
  <xdr:twoCellAnchor>
    <xdr:from>
      <xdr:col>8</xdr:col>
      <xdr:colOff>1000125</xdr:colOff>
      <xdr:row>60</xdr:row>
      <xdr:rowOff>9525</xdr:rowOff>
    </xdr:from>
    <xdr:to>
      <xdr:col>14</xdr:col>
      <xdr:colOff>600075</xdr:colOff>
      <xdr:row>64</xdr:row>
      <xdr:rowOff>685800</xdr:rowOff>
    </xdr:to>
    <xdr:graphicFrame macro="">
      <xdr:nvGraphicFramePr>
        <xdr:cNvPr id="4" name="Chart 3" descr="Chart type: Pie. '2023'&#10;&#10;Description automatically generated">
          <a:extLst>
            <a:ext uri="{FF2B5EF4-FFF2-40B4-BE49-F238E27FC236}">
              <a16:creationId xmlns:a16="http://schemas.microsoft.com/office/drawing/2014/main" id="{6A9412F1-FCE8-69A1-2746-465B40D49DB6}"/>
            </a:ext>
            <a:ext uri="{147F2762-F138-4A5C-976F-8EAC2B608ADB}">
              <a16:predDERef xmlns:a16="http://schemas.microsoft.com/office/drawing/2014/main" pred="{373BA1AE-84F4-1EA4-7F90-6E6AE589AB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19050</xdr:colOff>
      <xdr:row>66</xdr:row>
      <xdr:rowOff>47625</xdr:rowOff>
    </xdr:from>
    <xdr:to>
      <xdr:col>16</xdr:col>
      <xdr:colOff>809625</xdr:colOff>
      <xdr:row>85</xdr:row>
      <xdr:rowOff>133350</xdr:rowOff>
    </xdr:to>
    <xdr:pic>
      <xdr:nvPicPr>
        <xdr:cNvPr id="2" name="Picture 1">
          <a:extLst>
            <a:ext uri="{FF2B5EF4-FFF2-40B4-BE49-F238E27FC236}">
              <a16:creationId xmlns:a16="http://schemas.microsoft.com/office/drawing/2014/main" id="{E14433DF-9785-E754-2716-01827EFFC578}"/>
            </a:ext>
            <a:ext uri="{147F2762-F138-4A5C-976F-8EAC2B608ADB}">
              <a16:predDERef xmlns:a16="http://schemas.microsoft.com/office/drawing/2014/main" pred="{6A9412F1-FCE8-69A1-2746-465B40D49DB6}"/>
            </a:ext>
          </a:extLst>
        </xdr:cNvPr>
        <xdr:cNvPicPr>
          <a:picLocks noChangeAspect="1"/>
        </xdr:cNvPicPr>
      </xdr:nvPicPr>
      <xdr:blipFill>
        <a:blip xmlns:r="http://schemas.openxmlformats.org/officeDocument/2006/relationships" r:embed="rId2"/>
        <a:stretch>
          <a:fillRect/>
        </a:stretch>
      </xdr:blipFill>
      <xdr:spPr>
        <a:xfrm>
          <a:off x="9105900" y="11849100"/>
          <a:ext cx="6505575" cy="3267075"/>
        </a:xfrm>
        <a:prstGeom prst="rect">
          <a:avLst/>
        </a:prstGeom>
      </xdr:spPr>
    </xdr:pic>
    <xdr:clientData/>
  </xdr:twoCellAnchor>
  <xdr:twoCellAnchor editAs="oneCell">
    <xdr:from>
      <xdr:col>20</xdr:col>
      <xdr:colOff>266700</xdr:colOff>
      <xdr:row>2</xdr:row>
      <xdr:rowOff>85725</xdr:rowOff>
    </xdr:from>
    <xdr:to>
      <xdr:col>24</xdr:col>
      <xdr:colOff>581025</xdr:colOff>
      <xdr:row>14</xdr:row>
      <xdr:rowOff>238125</xdr:rowOff>
    </xdr:to>
    <xdr:pic>
      <xdr:nvPicPr>
        <xdr:cNvPr id="6" name="Picture 5">
          <a:extLst>
            <a:ext uri="{FF2B5EF4-FFF2-40B4-BE49-F238E27FC236}">
              <a16:creationId xmlns:a16="http://schemas.microsoft.com/office/drawing/2014/main" id="{8F91FC40-D40F-7CCF-6214-FEFD164697F6}"/>
            </a:ext>
            <a:ext uri="{147F2762-F138-4A5C-976F-8EAC2B608ADB}">
              <a16:predDERef xmlns:a16="http://schemas.microsoft.com/office/drawing/2014/main" pred="{E14433DF-9785-E754-2716-01827EFFC578}"/>
            </a:ext>
          </a:extLst>
        </xdr:cNvPr>
        <xdr:cNvPicPr>
          <a:picLocks noChangeAspect="1"/>
        </xdr:cNvPicPr>
      </xdr:nvPicPr>
      <xdr:blipFill>
        <a:blip xmlns:r="http://schemas.openxmlformats.org/officeDocument/2006/relationships" r:embed="rId3"/>
        <a:stretch>
          <a:fillRect/>
        </a:stretch>
      </xdr:blipFill>
      <xdr:spPr>
        <a:xfrm>
          <a:off x="18192750" y="447675"/>
          <a:ext cx="3362325" cy="1866900"/>
        </a:xfrm>
        <a:prstGeom prst="rect">
          <a:avLst/>
        </a:prstGeom>
      </xdr:spPr>
    </xdr:pic>
    <xdr:clientData/>
  </xdr:twoCellAnchor>
  <xdr:twoCellAnchor editAs="oneCell">
    <xdr:from>
      <xdr:col>16</xdr:col>
      <xdr:colOff>276225</xdr:colOff>
      <xdr:row>2</xdr:row>
      <xdr:rowOff>161925</xdr:rowOff>
    </xdr:from>
    <xdr:to>
      <xdr:col>20</xdr:col>
      <xdr:colOff>95250</xdr:colOff>
      <xdr:row>15</xdr:row>
      <xdr:rowOff>133350</xdr:rowOff>
    </xdr:to>
    <xdr:pic>
      <xdr:nvPicPr>
        <xdr:cNvPr id="5" name="Picture 4">
          <a:extLst>
            <a:ext uri="{FF2B5EF4-FFF2-40B4-BE49-F238E27FC236}">
              <a16:creationId xmlns:a16="http://schemas.microsoft.com/office/drawing/2014/main" id="{1875EA79-3F76-929D-B504-F88FF241B2D0}"/>
            </a:ext>
            <a:ext uri="{147F2762-F138-4A5C-976F-8EAC2B608ADB}">
              <a16:predDERef xmlns:a16="http://schemas.microsoft.com/office/drawing/2014/main" pred="{8F91FC40-D40F-7CCF-6214-FEFD164697F6}"/>
            </a:ext>
          </a:extLst>
        </xdr:cNvPr>
        <xdr:cNvPicPr>
          <a:picLocks noChangeAspect="1"/>
        </xdr:cNvPicPr>
      </xdr:nvPicPr>
      <xdr:blipFill>
        <a:blip xmlns:r="http://schemas.openxmlformats.org/officeDocument/2006/relationships" r:embed="rId4"/>
        <a:stretch>
          <a:fillRect/>
        </a:stretch>
      </xdr:blipFill>
      <xdr:spPr>
        <a:xfrm>
          <a:off x="15078075" y="523875"/>
          <a:ext cx="2943225" cy="1952625"/>
        </a:xfrm>
        <a:prstGeom prst="rect">
          <a:avLst/>
        </a:prstGeom>
      </xdr:spPr>
    </xdr:pic>
    <xdr:clientData/>
  </xdr:twoCellAnchor>
  <xdr:twoCellAnchor editAs="oneCell">
    <xdr:from>
      <xdr:col>16</xdr:col>
      <xdr:colOff>151536</xdr:colOff>
      <xdr:row>16</xdr:row>
      <xdr:rowOff>86737</xdr:rowOff>
    </xdr:from>
    <xdr:to>
      <xdr:col>20</xdr:col>
      <xdr:colOff>264969</xdr:colOff>
      <xdr:row>29</xdr:row>
      <xdr:rowOff>123824</xdr:rowOff>
    </xdr:to>
    <xdr:pic>
      <xdr:nvPicPr>
        <xdr:cNvPr id="7" name="Picture 6">
          <a:extLst>
            <a:ext uri="{FF2B5EF4-FFF2-40B4-BE49-F238E27FC236}">
              <a16:creationId xmlns:a16="http://schemas.microsoft.com/office/drawing/2014/main" id="{BB8B64F8-BBD6-C79A-3F00-60538CDF9CD4}"/>
            </a:ext>
            <a:ext uri="{147F2762-F138-4A5C-976F-8EAC2B608ADB}">
              <a16:predDERef xmlns:a16="http://schemas.microsoft.com/office/drawing/2014/main" pred="{1875EA79-3F76-929D-B504-F88FF241B2D0}"/>
            </a:ext>
          </a:extLst>
        </xdr:cNvPr>
        <xdr:cNvPicPr>
          <a:picLocks noChangeAspect="1"/>
        </xdr:cNvPicPr>
      </xdr:nvPicPr>
      <xdr:blipFill>
        <a:blip xmlns:r="http://schemas.openxmlformats.org/officeDocument/2006/relationships" r:embed="rId5"/>
        <a:stretch>
          <a:fillRect/>
        </a:stretch>
      </xdr:blipFill>
      <xdr:spPr>
        <a:xfrm>
          <a:off x="14953386" y="2696587"/>
          <a:ext cx="3237633" cy="1808737"/>
        </a:xfrm>
        <a:prstGeom prst="rect">
          <a:avLst/>
        </a:prstGeom>
      </xdr:spPr>
    </xdr:pic>
    <xdr:clientData/>
  </xdr:twoCellAnchor>
  <xdr:twoCellAnchor editAs="oneCell">
    <xdr:from>
      <xdr:col>20</xdr:col>
      <xdr:colOff>352425</xdr:colOff>
      <xdr:row>15</xdr:row>
      <xdr:rowOff>152400</xdr:rowOff>
    </xdr:from>
    <xdr:to>
      <xdr:col>24</xdr:col>
      <xdr:colOff>695325</xdr:colOff>
      <xdr:row>29</xdr:row>
      <xdr:rowOff>19050</xdr:rowOff>
    </xdr:to>
    <xdr:pic>
      <xdr:nvPicPr>
        <xdr:cNvPr id="10" name="Picture 9">
          <a:extLst>
            <a:ext uri="{FF2B5EF4-FFF2-40B4-BE49-F238E27FC236}">
              <a16:creationId xmlns:a16="http://schemas.microsoft.com/office/drawing/2014/main" id="{85B0FB72-C0C7-503B-548F-927F10F9DD61}"/>
            </a:ext>
            <a:ext uri="{147F2762-F138-4A5C-976F-8EAC2B608ADB}">
              <a16:predDERef xmlns:a16="http://schemas.microsoft.com/office/drawing/2014/main" pred="{BB8B64F8-BBD6-C79A-3F00-60538CDF9CD4}"/>
            </a:ext>
          </a:extLst>
        </xdr:cNvPr>
        <xdr:cNvPicPr>
          <a:picLocks noChangeAspect="1"/>
        </xdr:cNvPicPr>
      </xdr:nvPicPr>
      <xdr:blipFill>
        <a:blip xmlns:r="http://schemas.openxmlformats.org/officeDocument/2006/relationships" r:embed="rId6"/>
        <a:stretch>
          <a:fillRect/>
        </a:stretch>
      </xdr:blipFill>
      <xdr:spPr>
        <a:xfrm>
          <a:off x="18278475" y="2495550"/>
          <a:ext cx="3390900" cy="1905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0</xdr:colOff>
      <xdr:row>21</xdr:row>
      <xdr:rowOff>0</xdr:rowOff>
    </xdr:from>
    <xdr:ext cx="304800" cy="308437"/>
    <xdr:sp macro="" textlink="">
      <xdr:nvSpPr>
        <xdr:cNvPr id="19" name="AutoShape 231" descr="Resultado de imagen para beer consumption trend">
          <a:extLst>
            <a:ext uri="{FF2B5EF4-FFF2-40B4-BE49-F238E27FC236}">
              <a16:creationId xmlns:a16="http://schemas.microsoft.com/office/drawing/2014/main" id="{A23DF9CB-ABDC-4CBC-941E-C3A1E6B7BDD7}"/>
            </a:ext>
          </a:extLst>
        </xdr:cNvPr>
        <xdr:cNvSpPr>
          <a:spLocks noChangeAspect="1" noChangeArrowheads="1"/>
        </xdr:cNvSpPr>
      </xdr:nvSpPr>
      <xdr:spPr bwMode="auto">
        <a:xfrm>
          <a:off x="7829550" y="71437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8437"/>
    <xdr:sp macro="" textlink="">
      <xdr:nvSpPr>
        <xdr:cNvPr id="18" name="AutoShape 232" descr="Resultado de imagen para beer consumption trend">
          <a:extLst>
            <a:ext uri="{FF2B5EF4-FFF2-40B4-BE49-F238E27FC236}">
              <a16:creationId xmlns:a16="http://schemas.microsoft.com/office/drawing/2014/main" id="{290ADD27-FE0C-4C99-AF77-3098E89BD849}"/>
            </a:ext>
          </a:extLst>
        </xdr:cNvPr>
        <xdr:cNvSpPr>
          <a:spLocks noChangeAspect="1" noChangeArrowheads="1"/>
        </xdr:cNvSpPr>
      </xdr:nvSpPr>
      <xdr:spPr bwMode="auto">
        <a:xfrm>
          <a:off x="7829550" y="1200150"/>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6171"/>
    <xdr:sp macro="" textlink="">
      <xdr:nvSpPr>
        <xdr:cNvPr id="17" name="AutoShape 233" descr="Resultado de imagen para beer consumption trend">
          <a:extLst>
            <a:ext uri="{FF2B5EF4-FFF2-40B4-BE49-F238E27FC236}">
              <a16:creationId xmlns:a16="http://schemas.microsoft.com/office/drawing/2014/main" id="{76C615DC-9449-489C-838D-7501FF91B816}"/>
            </a:ext>
          </a:extLst>
        </xdr:cNvPr>
        <xdr:cNvSpPr>
          <a:spLocks noChangeAspect="1" noChangeArrowheads="1"/>
        </xdr:cNvSpPr>
      </xdr:nvSpPr>
      <xdr:spPr bwMode="auto">
        <a:xfrm>
          <a:off x="7067550" y="2181225"/>
          <a:ext cx="3048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21</xdr:row>
      <xdr:rowOff>0</xdr:rowOff>
    </xdr:from>
    <xdr:ext cx="304800" cy="305262"/>
    <xdr:sp macro="" textlink="">
      <xdr:nvSpPr>
        <xdr:cNvPr id="16" name="AutoShape 231" descr="Resultado de imagen para beer consumption trend">
          <a:extLst>
            <a:ext uri="{FF2B5EF4-FFF2-40B4-BE49-F238E27FC236}">
              <a16:creationId xmlns:a16="http://schemas.microsoft.com/office/drawing/2014/main" id="{3816F209-593F-4972-8238-056F7A06C2DB}"/>
            </a:ext>
          </a:extLst>
        </xdr:cNvPr>
        <xdr:cNvSpPr>
          <a:spLocks noChangeAspect="1" noChangeArrowheads="1"/>
        </xdr:cNvSpPr>
      </xdr:nvSpPr>
      <xdr:spPr bwMode="auto">
        <a:xfrm>
          <a:off x="10601325" y="923925"/>
          <a:ext cx="304800" cy="302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7</xdr:col>
      <xdr:colOff>0</xdr:colOff>
      <xdr:row>13</xdr:row>
      <xdr:rowOff>0</xdr:rowOff>
    </xdr:from>
    <xdr:ext cx="304800" cy="309071"/>
    <xdr:sp macro="" textlink="">
      <xdr:nvSpPr>
        <xdr:cNvPr id="15" name="AutoShape 232" descr="Resultado de imagen para beer consumption trend">
          <a:extLst>
            <a:ext uri="{FF2B5EF4-FFF2-40B4-BE49-F238E27FC236}">
              <a16:creationId xmlns:a16="http://schemas.microsoft.com/office/drawing/2014/main" id="{5D67A490-620E-4BB6-ACF8-2FBAECF65CB2}"/>
            </a:ext>
          </a:extLst>
        </xdr:cNvPr>
        <xdr:cNvSpPr>
          <a:spLocks noChangeAspect="1" noChangeArrowheads="1"/>
        </xdr:cNvSpPr>
      </xdr:nvSpPr>
      <xdr:spPr bwMode="auto">
        <a:xfrm>
          <a:off x="10601325" y="1781175"/>
          <a:ext cx="304800" cy="30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6</xdr:col>
      <xdr:colOff>0</xdr:colOff>
      <xdr:row>35</xdr:row>
      <xdr:rowOff>0</xdr:rowOff>
    </xdr:from>
    <xdr:ext cx="304800" cy="301207"/>
    <xdr:sp macro="" textlink="">
      <xdr:nvSpPr>
        <xdr:cNvPr id="14" name="AutoShape 233" descr="Resultado de imagen para beer consumption trend">
          <a:extLst>
            <a:ext uri="{FF2B5EF4-FFF2-40B4-BE49-F238E27FC236}">
              <a16:creationId xmlns:a16="http://schemas.microsoft.com/office/drawing/2014/main" id="{71A499F7-7BCB-43D8-AAAA-8629B391E887}"/>
            </a:ext>
          </a:extLst>
        </xdr:cNvPr>
        <xdr:cNvSpPr>
          <a:spLocks noChangeAspect="1" noChangeArrowheads="1"/>
        </xdr:cNvSpPr>
      </xdr:nvSpPr>
      <xdr:spPr bwMode="auto">
        <a:xfrm>
          <a:off x="10601325" y="3152775"/>
          <a:ext cx="304800" cy="2852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xdr:from>
      <xdr:col>10</xdr:col>
      <xdr:colOff>528777</xdr:colOff>
      <xdr:row>17</xdr:row>
      <xdr:rowOff>56029</xdr:rowOff>
    </xdr:from>
    <xdr:to>
      <xdr:col>18</xdr:col>
      <xdr:colOff>702468</xdr:colOff>
      <xdr:row>33</xdr:row>
      <xdr:rowOff>114301</xdr:rowOff>
    </xdr:to>
    <xdr:graphicFrame macro="">
      <xdr:nvGraphicFramePr>
        <xdr:cNvPr id="2" name="Chart 1">
          <a:extLst>
            <a:ext uri="{FF2B5EF4-FFF2-40B4-BE49-F238E27FC236}">
              <a16:creationId xmlns:a16="http://schemas.microsoft.com/office/drawing/2014/main" id="{F8B867AC-6A7A-4512-8C9D-97B8E534E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107156</xdr:colOff>
      <xdr:row>33</xdr:row>
      <xdr:rowOff>142875</xdr:rowOff>
    </xdr:from>
    <xdr:to>
      <xdr:col>20</xdr:col>
      <xdr:colOff>273843</xdr:colOff>
      <xdr:row>50</xdr:row>
      <xdr:rowOff>142875</xdr:rowOff>
    </xdr:to>
    <xdr:graphicFrame macro="">
      <xdr:nvGraphicFramePr>
        <xdr:cNvPr id="3" name="Chart 2">
          <a:extLst>
            <a:ext uri="{FF2B5EF4-FFF2-40B4-BE49-F238E27FC236}">
              <a16:creationId xmlns:a16="http://schemas.microsoft.com/office/drawing/2014/main" id="{06EE3DBE-321E-4EF6-A0A4-D90C4883E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62901</xdr:colOff>
      <xdr:row>1</xdr:row>
      <xdr:rowOff>215660</xdr:rowOff>
    </xdr:from>
    <xdr:to>
      <xdr:col>2</xdr:col>
      <xdr:colOff>4318</xdr:colOff>
      <xdr:row>1</xdr:row>
      <xdr:rowOff>871627</xdr:rowOff>
    </xdr:to>
    <xdr:pic>
      <xdr:nvPicPr>
        <xdr:cNvPr id="5" name="Picture 4">
          <a:extLst>
            <a:ext uri="{FF2B5EF4-FFF2-40B4-BE49-F238E27FC236}">
              <a16:creationId xmlns:a16="http://schemas.microsoft.com/office/drawing/2014/main" id="{DC66A936-0E32-45E9-BF45-DE949C7B51E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844" y="395377"/>
          <a:ext cx="2113117" cy="655967"/>
        </a:xfrm>
        <a:prstGeom prst="rect">
          <a:avLst/>
        </a:prstGeom>
      </xdr:spPr>
    </xdr:pic>
    <xdr:clientData/>
  </xdr:twoCellAnchor>
  <xdr:twoCellAnchor editAs="oneCell">
    <xdr:from>
      <xdr:col>1</xdr:col>
      <xdr:colOff>278562</xdr:colOff>
      <xdr:row>2</xdr:row>
      <xdr:rowOff>44930</xdr:rowOff>
    </xdr:from>
    <xdr:to>
      <xdr:col>1</xdr:col>
      <xdr:colOff>1851086</xdr:colOff>
      <xdr:row>2</xdr:row>
      <xdr:rowOff>1021236</xdr:rowOff>
    </xdr:to>
    <xdr:pic>
      <xdr:nvPicPr>
        <xdr:cNvPr id="7" name="Picture 6">
          <a:extLst>
            <a:ext uri="{FF2B5EF4-FFF2-40B4-BE49-F238E27FC236}">
              <a16:creationId xmlns:a16="http://schemas.microsoft.com/office/drawing/2014/main" id="{D9E9960A-BAD5-341D-78F8-653BBEA9F7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4505" y="1267005"/>
          <a:ext cx="1572524" cy="976306"/>
        </a:xfrm>
        <a:prstGeom prst="rect">
          <a:avLst/>
        </a:prstGeom>
      </xdr:spPr>
    </xdr:pic>
    <xdr:clientData/>
  </xdr:twoCellAnchor>
  <xdr:twoCellAnchor editAs="oneCell">
    <xdr:from>
      <xdr:col>1</xdr:col>
      <xdr:colOff>323491</xdr:colOff>
      <xdr:row>3</xdr:row>
      <xdr:rowOff>62901</xdr:rowOff>
    </xdr:from>
    <xdr:to>
      <xdr:col>1</xdr:col>
      <xdr:colOff>1869057</xdr:colOff>
      <xdr:row>3</xdr:row>
      <xdr:rowOff>1022939</xdr:rowOff>
    </xdr:to>
    <xdr:pic>
      <xdr:nvPicPr>
        <xdr:cNvPr id="9" name="Picture 8">
          <a:extLst>
            <a:ext uri="{FF2B5EF4-FFF2-40B4-BE49-F238E27FC236}">
              <a16:creationId xmlns:a16="http://schemas.microsoft.com/office/drawing/2014/main" id="{A942DEC5-B312-4475-A5C9-644441E3DD0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9434" y="2327335"/>
          <a:ext cx="1545566" cy="960038"/>
        </a:xfrm>
        <a:prstGeom prst="rect">
          <a:avLst/>
        </a:prstGeom>
      </xdr:spPr>
    </xdr:pic>
    <xdr:clientData/>
  </xdr:twoCellAnchor>
  <xdr:twoCellAnchor editAs="oneCell">
    <xdr:from>
      <xdr:col>1</xdr:col>
      <xdr:colOff>278561</xdr:colOff>
      <xdr:row>4</xdr:row>
      <xdr:rowOff>107830</xdr:rowOff>
    </xdr:from>
    <xdr:to>
      <xdr:col>1</xdr:col>
      <xdr:colOff>1787812</xdr:colOff>
      <xdr:row>4</xdr:row>
      <xdr:rowOff>1006415</xdr:rowOff>
    </xdr:to>
    <xdr:pic>
      <xdr:nvPicPr>
        <xdr:cNvPr id="11" name="Picture 10">
          <a:extLst>
            <a:ext uri="{FF2B5EF4-FFF2-40B4-BE49-F238E27FC236}">
              <a16:creationId xmlns:a16="http://schemas.microsoft.com/office/drawing/2014/main" id="{2E2CE717-8AA5-9189-8D1D-CD0D80B915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4504" y="3414622"/>
          <a:ext cx="1509251" cy="898585"/>
        </a:xfrm>
        <a:prstGeom prst="rect">
          <a:avLst/>
        </a:prstGeom>
      </xdr:spPr>
    </xdr:pic>
    <xdr:clientData/>
  </xdr:twoCellAnchor>
  <xdr:twoCellAnchor editAs="oneCell">
    <xdr:from>
      <xdr:col>1</xdr:col>
      <xdr:colOff>17971</xdr:colOff>
      <xdr:row>5</xdr:row>
      <xdr:rowOff>116815</xdr:rowOff>
    </xdr:from>
    <xdr:to>
      <xdr:col>2</xdr:col>
      <xdr:colOff>507</xdr:colOff>
      <xdr:row>5</xdr:row>
      <xdr:rowOff>961484</xdr:rowOff>
    </xdr:to>
    <xdr:pic>
      <xdr:nvPicPr>
        <xdr:cNvPr id="13" name="Picture 12">
          <a:extLst>
            <a:ext uri="{FF2B5EF4-FFF2-40B4-BE49-F238E27FC236}">
              <a16:creationId xmlns:a16="http://schemas.microsoft.com/office/drawing/2014/main" id="{B5947D00-E37D-CA1F-DD8A-77DBB4FAA6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914" y="4465966"/>
          <a:ext cx="2116136" cy="8446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769143</xdr:colOff>
      <xdr:row>4</xdr:row>
      <xdr:rowOff>95250</xdr:rowOff>
    </xdr:from>
    <xdr:to>
      <xdr:col>17</xdr:col>
      <xdr:colOff>369093</xdr:colOff>
      <xdr:row>40</xdr:row>
      <xdr:rowOff>133350</xdr:rowOff>
    </xdr:to>
    <xdr:graphicFrame macro="">
      <xdr:nvGraphicFramePr>
        <xdr:cNvPr id="2" name="Chart 1">
          <a:extLst>
            <a:ext uri="{FF2B5EF4-FFF2-40B4-BE49-F238E27FC236}">
              <a16:creationId xmlns:a16="http://schemas.microsoft.com/office/drawing/2014/main" id="{D967F18B-E004-6ADA-D064-3FAFEE6B7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1188243</xdr:colOff>
      <xdr:row>5</xdr:row>
      <xdr:rowOff>30956</xdr:rowOff>
    </xdr:from>
    <xdr:to>
      <xdr:col>19</xdr:col>
      <xdr:colOff>78580</xdr:colOff>
      <xdr:row>41</xdr:row>
      <xdr:rowOff>69056</xdr:rowOff>
    </xdr:to>
    <xdr:graphicFrame macro="">
      <xdr:nvGraphicFramePr>
        <xdr:cNvPr id="2" name="Chart 1">
          <a:extLst>
            <a:ext uri="{FF2B5EF4-FFF2-40B4-BE49-F238E27FC236}">
              <a16:creationId xmlns:a16="http://schemas.microsoft.com/office/drawing/2014/main" id="{2DB51C99-9E5B-9842-A120-A32F5921B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585581</xdr:colOff>
      <xdr:row>54</xdr:row>
      <xdr:rowOff>113565</xdr:rowOff>
    </xdr:from>
    <xdr:to>
      <xdr:col>5</xdr:col>
      <xdr:colOff>512735</xdr:colOff>
      <xdr:row>71</xdr:row>
      <xdr:rowOff>124280</xdr:rowOff>
    </xdr:to>
    <xdr:graphicFrame macro="">
      <xdr:nvGraphicFramePr>
        <xdr:cNvPr id="2" name="Chart 1">
          <a:extLst>
            <a:ext uri="{FF2B5EF4-FFF2-40B4-BE49-F238E27FC236}">
              <a16:creationId xmlns:a16="http://schemas.microsoft.com/office/drawing/2014/main" id="{2227307C-1E01-8FD4-F3DB-2E75CE5AF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204107</xdr:colOff>
      <xdr:row>55</xdr:row>
      <xdr:rowOff>51028</xdr:rowOff>
    </xdr:from>
    <xdr:to>
      <xdr:col>13</xdr:col>
      <xdr:colOff>714375</xdr:colOff>
      <xdr:row>72</xdr:row>
      <xdr:rowOff>28575</xdr:rowOff>
    </xdr:to>
    <xdr:graphicFrame macro="">
      <xdr:nvGraphicFramePr>
        <xdr:cNvPr id="4" name="Chart 2">
          <a:extLst>
            <a:ext uri="{FF2B5EF4-FFF2-40B4-BE49-F238E27FC236}">
              <a16:creationId xmlns:a16="http://schemas.microsoft.com/office/drawing/2014/main" id="{CCA613FC-A1D2-417A-87E2-A71EFDFDC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619125</xdr:colOff>
      <xdr:row>82</xdr:row>
      <xdr:rowOff>11908</xdr:rowOff>
    </xdr:from>
    <xdr:to>
      <xdr:col>10</xdr:col>
      <xdr:colOff>714374</xdr:colOff>
      <xdr:row>109</xdr:row>
      <xdr:rowOff>95251</xdr:rowOff>
    </xdr:to>
    <xdr:graphicFrame macro="">
      <xdr:nvGraphicFramePr>
        <xdr:cNvPr id="6" name="Chart 5">
          <a:extLst>
            <a:ext uri="{FF2B5EF4-FFF2-40B4-BE49-F238E27FC236}">
              <a16:creationId xmlns:a16="http://schemas.microsoft.com/office/drawing/2014/main" id="{45FA807F-C819-4D6A-B5CF-59DEA5790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343558</xdr:colOff>
      <xdr:row>3</xdr:row>
      <xdr:rowOff>61355</xdr:rowOff>
    </xdr:from>
    <xdr:to>
      <xdr:col>24</xdr:col>
      <xdr:colOff>308295</xdr:colOff>
      <xdr:row>39</xdr:row>
      <xdr:rowOff>99455</xdr:rowOff>
    </xdr:to>
    <xdr:graphicFrame macro="">
      <xdr:nvGraphicFramePr>
        <xdr:cNvPr id="2" name="Chart 1">
          <a:extLst>
            <a:ext uri="{FF2B5EF4-FFF2-40B4-BE49-F238E27FC236}">
              <a16:creationId xmlns:a16="http://schemas.microsoft.com/office/drawing/2014/main" id="{97D54D9C-BAF5-A088-A297-F96C3E93D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istemas/AppData/Local/Temp/Bloomberg/data/XID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gabri\Desktop\ISEG\Lisbon%20Investment%20Society\Head%20ER\Assumptions%20sheet-%20Dami&#227;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ketCapH"/>
      <sheetName val="PricesH"/>
      <sheetName val="ControlsH"/>
      <sheetName val="DataH"/>
      <sheetName val="Overview"/>
      <sheetName val="Peers"/>
      <sheetName val="Owners"/>
      <sheetName val="Help"/>
      <sheetName val="Indices"/>
      <sheetName val="Financials"/>
      <sheetName val="Ratings"/>
      <sheetName val="EST Brokers"/>
      <sheetName val="EST Detail"/>
      <sheetName val="VAL Graph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sheetName val="Segments"/>
      <sheetName val="Acuerdo"/>
      <sheetName val="Peers"/>
      <sheetName val="ESG"/>
      <sheetName val="DCF"/>
      <sheetName val="Assum."/>
      <sheetName val="Fin. Data"/>
      <sheetName val="Fin. Data (Common Size)"/>
      <sheetName val="Inputs"/>
      <sheetName val="Sector Imp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Set>
  </externalBook>
</externalLink>
</file>

<file path=xl/persons/person.xml><?xml version="1.0" encoding="utf-8"?>
<personList xmlns="http://schemas.microsoft.com/office/spreadsheetml/2018/threadedcomments" xmlns:x="http://schemas.openxmlformats.org/spreadsheetml/2006/main">
  <person displayName="DAVID FILIPE DE SOUSA TITA" id="{6D2C5BD9-1C3E-4972-9F97-1CA81A3CC14E}" userId="S::david.tita@aln.iseg.ulisboa.pt::2b554b1a-dfdf-4fc2-8414-05963e9f059c"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B00-000000000000}" autoFormatId="16" applyNumberFormats="0" applyBorderFormats="0" applyFontFormats="0" applyPatternFormats="0" applyAlignmentFormats="0" applyWidthHeightFormats="0">
  <queryTableRefresh nextId="8">
    <queryTableFields count="7">
      <queryTableField id="1" name="Rank" tableColumnId="1"/>
      <queryTableField id="2" name="Company" tableColumnId="2"/>
      <queryTableField id="3" name="Market Cap (USD)" tableColumnId="3"/>
      <queryTableField id="4" name="Country" tableColumnId="4"/>
      <queryTableField id="5" name="Sector" tableColumnId="5"/>
      <queryTableField id="6" name="Industry" tableColumnId="6"/>
      <queryTableField id="7" name="Column7"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D00-000001000000}" autoFormatId="16" applyNumberFormats="0" applyBorderFormats="0" applyFontFormats="0" applyPatternFormats="0" applyAlignmentFormats="0" applyWidthHeightFormats="0">
  <queryTableRefresh nextId="8">
    <queryTableFields count="7">
      <queryTableField id="1" name="Rank" tableColumnId="1"/>
      <queryTableField id="2" name="Company" tableColumnId="2"/>
      <queryTableField id="3" name="Market Cap (USD)" tableColumnId="3"/>
      <queryTableField id="4" name="Country" tableColumnId="4"/>
      <queryTableField id="5" name="Sector" tableColumnId="5"/>
      <queryTableField id="6" name="Industry" tableColumnId="6"/>
      <queryTableField id="7" name="Column7" tableColumnId="7"/>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17">
  <rv s="0">
    <v>en-US</v>
    <v>ca1mvh</v>
    <v>268435456</v>
    <v>1</v>
    <v>Powered by Refinitiv</v>
    <v>0</v>
    <v>Great Wall Motor Company Limited (XHKG:82333)</v>
    <v>2</v>
    <v>3</v>
    <v>Finance</v>
    <v>4</v>
    <v>15.42</v>
    <v>8.15</v>
    <v>1.847</v>
    <v>-0.22</v>
    <v>-1.6319999999999998E-2</v>
    <v>CNY</v>
    <v>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v>
    <v>82439</v>
    <v>Hong Kong Stock Exchange</v>
    <v>XHKG</v>
    <v>XHKG</v>
    <v>No. 2266, Chaoyang South Avenue, BAODING, HEBEI, 071000 CN</v>
    <v>13.4</v>
    <v>Automobiles &amp; Auto Parts</v>
    <v>Stock</v>
    <v>45744.332048611112</v>
    <v>13.08</v>
    <v>195726400000</v>
    <v>Great Wall Motor Company Limited</v>
    <v>Great Wall Motor Company Limited</v>
    <v>13.4</v>
    <v>13.48</v>
    <v>13.26</v>
    <v>8562655000</v>
    <v>82333</v>
    <v>Great Wall Motor Company Limited (XHKG:82333)</v>
    <v>16500</v>
    <v>19637220</v>
    <v>2001</v>
  </rv>
  <rv s="1">
    <v>0</v>
  </rv>
  <rv s="2">
    <v>https://www.bing.com/financeapi/forcetrigger?t=af6277&amp;q=XFRA%3aBY6&amp;form=skydnc</v>
    <v>Learn more on Bing</v>
  </rv>
  <rv s="3">
    <v>en-US</v>
    <v>af6277</v>
    <v>268435456</v>
    <v>1</v>
    <v>Powered by Refinitiv</v>
    <v>5</v>
    <v>BYD COMPANY LIMITED (XFRA:BY6)</v>
    <v>6</v>
    <v>7</v>
    <v>Finance</v>
    <v>4</v>
    <v>50.46</v>
    <v>4.0149999999999997</v>
    <v>0.99060000000000004</v>
    <v>-1.32</v>
    <v>-2.7324000000000001E-2</v>
    <v>EUR</v>
    <v>BYD COMPANY LIMITED is a China-based company principally engaged in the manufacture and sales of transportation equipment. The Company is also engaged in the manufacture and sales of electronic parts and components and electronic devices for daily use. The Company's products include rechargeable batteries and photovoltaic products, mobile phone parts and assembly, and automobiles and related products. The Company mainly conducts its businesses in China, the United States and Europe.</v>
    <v>703504</v>
    <v>Deutsche Boerse AG</v>
    <v>XFRA</v>
    <v>XFRA</v>
    <v>No. 3009, BYD Road, Pingshan District, SHENZHEN, GUANGDONG, 518118 CN</v>
    <v>48.85</v>
    <v>Automobiles &amp; Auto Parts</v>
    <v>Stock</v>
    <v>45744.878472222219</v>
    <v>2</v>
    <v>46.99</v>
    <v>1241002000000</v>
    <v>BYD COMPANY LIMITED</v>
    <v>BYD COMPANY LIMITED</v>
    <v>48.36</v>
    <v>25.677600000000002</v>
    <v>48.31</v>
    <v>46.99</v>
    <v>3039066000</v>
    <v>BY6</v>
    <v>BYD COMPANY LIMITED (XFRA:BY6)</v>
    <v>66927</v>
    <v>17347760</v>
    <v>1995</v>
  </rv>
  <rv s="1">
    <v>3</v>
  </rv>
  <rv s="2">
    <v>https://www.bing.com/financeapi/forcetrigger?t=ah35im&amp;q=XHKG%3a175&amp;form=skydnc</v>
    <v>Learn more on Bing</v>
  </rv>
  <rv s="4">
    <v>en-US</v>
    <v>ah35im</v>
    <v>268435456</v>
    <v>1</v>
    <v>Powered by Refinitiv</v>
    <v>8</v>
    <v>GEELY AUTOMOBILE HOLDINGS LIMITED (XHKG:175)</v>
    <v>6</v>
    <v>9</v>
    <v>Finance</v>
    <v>10</v>
    <v>19.440000000000001</v>
    <v>7.31</v>
    <v>1.6047</v>
    <v>-0.3</v>
    <v>-5.9880000000000003E-3</v>
    <v>-1.7646999999999999E-2</v>
    <v>-0.1</v>
    <v>HKD</v>
    <v>Geely Automobile Holdings Ltd is an investment holding company principally engaged in the production and sales of automobiles. The Company mainly develops, manufactures and sells automobiles, including cars, sport utility vehicles (SUVs), new energy and electrified vehicles. The Company's car types include home, travel and sports. The Company's new energy and electrified vehicles include electric vehicles, battery electric vehicles, hybrid electric vehicles, mild hybrid electric vehicles and plug-in hybrid electric vehicles. In addition, the Company produces and sells automobile parts, batteries and other automobile components. The Company also sells licenses for its intellectual property.</v>
    <v>62000</v>
    <v>Hong Kong Stock Exchange</v>
    <v>XHKG</v>
    <v>XHKG</v>
    <v>Room 2301, 23rd Floor, Great Eagle Centre, 23 Harbour Road, Wan Chai HK</v>
    <v>17.18</v>
    <v>Automobiles &amp; Auto Parts</v>
    <v>Stock</v>
    <v>45744.33898148148</v>
    <v>5</v>
    <v>16.54</v>
    <v>168280700000</v>
    <v>GEELY AUTOMOBILE HOLDINGS LIMITED</v>
    <v>GEELY AUTOMOBILE HOLDINGS LIMITED</v>
    <v>17.04</v>
    <v>9.5812000000000008</v>
    <v>17</v>
    <v>16.7</v>
    <v>16.600000000000001</v>
    <v>10076690000</v>
    <v>175</v>
    <v>GEELY AUTOMOBILE HOLDINGS LIMITED (XHKG:175)</v>
    <v>62015943</v>
    <v>90585900</v>
  </rv>
  <rv s="1">
    <v>6</v>
  </rv>
  <rv s="2">
    <v>https://www.bing.com/financeapi/forcetrigger?t=ah3bpr&amp;q=XHKG%3a1958&amp;form=skydnc</v>
    <v>Learn more on Bing</v>
  </rv>
  <rv s="5">
    <v>en-US</v>
    <v>ah3bpr</v>
    <v>268435456</v>
    <v>1</v>
    <v>Powered by Refinitiv</v>
    <v>11</v>
    <v>BAIC MOTOR Corporation Limited (XHKG:1958)</v>
    <v>6</v>
    <v>12</v>
    <v>Finance</v>
    <v>10</v>
    <v>2.64</v>
    <v>1.73</v>
    <v>0.74829999999999997</v>
    <v>-0.02</v>
    <v>0</v>
    <v>-9.2169999999999995E-3</v>
    <v>0</v>
    <v>HKD</v>
    <v>BAIC Motor Corp Ltd is a China-based company principally engaged in the manufacture and sale of passenger cars, engines and auto parts. The Company operates through two business segments. The Fuel Vehicle segment produces and sells fuel vehicles, as well as provides other businesses and related services. The New Energy Vehicles segment produces and sells new energy vehicles, as well as provides other businesses and related services.</v>
    <v>31236</v>
    <v>Hong Kong Stock Exchange</v>
    <v>XHKG</v>
    <v>XHKG</v>
    <v>No. 99 Shuanghe Street, Shunyi District, BEIJING, BEIJING, 101300 CN</v>
    <v>2.1800000000000002</v>
    <v>Automobiles &amp; Auto Parts</v>
    <v>Stock</v>
    <v>45744.33898148148</v>
    <v>8</v>
    <v>2.14</v>
    <v>17232980000</v>
    <v>BAIC MOTOR Corporation Limited</v>
    <v>BAIC MOTOR Corporation Limited</v>
    <v>2.1800000000000002</v>
    <v>16.538499999999999</v>
    <v>2.17</v>
    <v>2.15</v>
    <v>2.15</v>
    <v>8015338000</v>
    <v>1958</v>
    <v>BAIC MOTOR Corporation Limited (XHKG:1958)</v>
    <v>15960500</v>
    <v>27066420</v>
    <v>2010</v>
  </rv>
  <rv s="1">
    <v>9</v>
  </rv>
  <rv s="2">
    <v>https://www.bing.com/financeapi/forcetrigger?t=ah4z6h&amp;q=XHKG%3a489&amp;form=skydnc</v>
    <v>Learn more on Bing</v>
  </rv>
  <rv s="5">
    <v>en-US</v>
    <v>ah4z6h</v>
    <v>268435456</v>
    <v>1</v>
    <v>Powered by Refinitiv</v>
    <v>11</v>
    <v>DONGFENG MOTOR GROUP COMPANY LIMITED (XHKG:489)</v>
    <v>6</v>
    <v>12</v>
    <v>Finance</v>
    <v>10</v>
    <v>6</v>
    <v>1.84</v>
    <v>1.0510999999999999</v>
    <v>-0.02</v>
    <v>0</v>
    <v>-4.4050000000000001E-3</v>
    <v>0</v>
    <v>HKD</v>
    <v>Dongfeng Motor Group Co Ltd is a China-based company mainly engaged in automobile-related businesses. The company operates through four segments. The Commercial Vehicles segment mainly manufactures and sells of commercial vehicles, and its related engines and other automotive parts. The commercial vehicles include medium and heavy trucks, light trucks, pickup trucks and buses. The Passenger Vehicles segment mainly manufactures and sells of passenger vehicles, and its related engines and other automotive parts. The passenger cars include sedans, sports utility vehicles (SUVs) and multi-purpose vehicles (MPVs). The Financing Service segment mainly provides financial services. The Corporate and Others segment mainly manufactures and sells of other automobile related products.</v>
    <v>112706</v>
    <v>Hong Kong Stock Exchange</v>
    <v>XHKG</v>
    <v>XHKG</v>
    <v>Special No. 1, Dongfeng Road, Wuhan Economic and Technological Development Zone, WUHAN, HUBEI, 430056 CN</v>
    <v>4.8</v>
    <v>Automobiles &amp; Auto Parts</v>
    <v>Stock</v>
    <v>45744.33898148148</v>
    <v>11</v>
    <v>4.47</v>
    <v>37301700000</v>
    <v>DONGFENG MOTOR GROUP COMPANY LIMITED</v>
    <v>DONGFENG MOTOR GROUP COMPANY LIMITED</v>
    <v>4.5</v>
    <v>645.71429999999998</v>
    <v>4.54</v>
    <v>4.5199999999999996</v>
    <v>4.5199999999999996</v>
    <v>8252588000</v>
    <v>489</v>
    <v>DONGFENG MOTOR GROUP COMPANY LIMITED (XHKG:489)</v>
    <v>69910000</v>
    <v>70643380</v>
    <v>2001</v>
  </rv>
  <rv s="1">
    <v>12</v>
  </rv>
  <rv s="2">
    <v>https://www.bing.com/financeapi/forcetrigger?t=bvg8m7&amp;q=XNYS%3aXPEV&amp;form=skydnc</v>
    <v>Learn more on Bing</v>
  </rv>
  <rv s="6">
    <v>en-US</v>
    <v>bvg8m7</v>
    <v>268435456</v>
    <v>1</v>
    <v>Powered by Refinitiv</v>
    <v>13</v>
    <v>XPENG INC. (XNYS:XPEV)</v>
    <v>6</v>
    <v>14</v>
    <v>Finance</v>
    <v>15</v>
    <v>27.16</v>
    <v>6.5505000000000004</v>
    <v>2.6307</v>
    <v>-0.5</v>
    <v>-4.0610000000000004E-3</v>
    <v>-2.4752E-2</v>
    <v>-0.08</v>
    <v>USD</v>
    <v>Xpeng Inc is a China-based company engaged in design, development, production and sales of smart electric vehicles (Smart EV). The Company's primary products are environmentally friendly vehicles, namely an SUV (the G3) and a four-door sports sedan (the P7). The Company’s Smart EVs primarily target the mid- to high-end segment in China’s passenger vehicle market. The Company aims developing full-stack autonomous driving technology, in-car intelligent operating system and core vehicle systems in-house through the its proprietary software, core hardware and data technologies. The Company sells its vehicle products under the brand Xpeng. It also provides a range of services to the clients, including supercharging service, maintenance service, ride-hailing service and vehicle leasing service.</v>
    <v>13261</v>
    <v>New York Stock Exchange</v>
    <v>XNYS</v>
    <v>XNYS</v>
    <v>No. 8 Songgang Road, Changxing Street, Cencun, Tianhe District, GUANGZHOU, GUANGDONG CN</v>
    <v>19.87</v>
    <v>Automobiles &amp; Auto Parts</v>
    <v>Stock</v>
    <v>45744.99978450156</v>
    <v>14</v>
    <v>19.43</v>
    <v>18743730000</v>
    <v>XPENG INC.</v>
    <v>XPENG INC.</v>
    <v>19.809999999999999</v>
    <v>20.2</v>
    <v>19.7</v>
    <v>19.62</v>
    <v>951458400</v>
    <v>XPEV</v>
    <v>XPENG INC. (XNYS:XPEV)</v>
    <v>8483576</v>
    <v>15433137</v>
    <v>2018</v>
  </rv>
  <rv s="1">
    <v>15</v>
  </rv>
</rvData>
</file>

<file path=xl/richData/rdrichvaluestructure.xml><?xml version="1.0" encoding="utf-8"?>
<rvStructures xmlns="http://schemas.microsoft.com/office/spreadsheetml/2017/richdata" count="7">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
    <k n="%cvi" t="r"/>
  </s>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Price (Extended hours)"/>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5">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4">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spbArrays>
  <spbData count="16">
    <spb s="0">
      <v>0</v>
      <v>Name</v>
    </spb>
    <spb s="1">
      <v>0</v>
      <v>0</v>
      <v>0</v>
    </spb>
    <spb s="2">
      <v>1</v>
      <v>1</v>
      <v>1</v>
    </spb>
    <spb s="3">
      <v>1</v>
      <v>2</v>
      <v>1</v>
      <v>3</v>
      <v>1</v>
      <v>1</v>
      <v>1</v>
      <v>4</v>
      <v>4</v>
      <v>5</v>
      <v>6</v>
      <v>1</v>
      <v>1</v>
      <v>1</v>
      <v>4</v>
      <v>7</v>
      <v>8</v>
      <v>9</v>
      <v>4</v>
    </spb>
    <spb s="4">
      <v>Delayed 15 minutes</v>
      <v>from previous close</v>
      <v>from previous close</v>
      <v>GMT</v>
    </spb>
    <spb s="5">
      <v>1</v>
      <v>Name</v>
      <v>LearnMoreOnLink</v>
    </spb>
    <spb s="6">
      <v>1</v>
      <v>1</v>
      <v>1</v>
      <v>1</v>
    </spb>
    <spb s="7">
      <v>10</v>
      <v>2</v>
      <v>2</v>
      <v>10</v>
      <v>3</v>
      <v>10</v>
      <v>10</v>
      <v>10</v>
      <v>4</v>
      <v>4</v>
      <v>5</v>
      <v>11</v>
      <v>10</v>
      <v>10</v>
      <v>10</v>
      <v>4</v>
      <v>7</v>
      <v>8</v>
      <v>9</v>
      <v>4</v>
    </spb>
    <spb s="5">
      <v>2</v>
      <v>Name</v>
      <v>LearnMoreOnLink</v>
    </spb>
    <spb s="8">
      <v>12</v>
      <v>2</v>
      <v>2</v>
      <v>12</v>
      <v>3</v>
      <v>12</v>
      <v>12</v>
      <v>12</v>
      <v>4</v>
      <v>4</v>
      <v>5</v>
      <v>11</v>
      <v>12</v>
      <v>12</v>
      <v>12</v>
      <v>4</v>
      <v>7</v>
      <v>9</v>
      <v>4</v>
      <v>12</v>
      <v>12</v>
      <v>5</v>
    </spb>
    <spb s="9">
      <v>at close</v>
      <v>from previous close</v>
      <v>from previous close</v>
      <v>GMT</v>
      <v>Delayed 15 minutes</v>
      <v>from close</v>
      <v>from close</v>
    </spb>
    <spb s="5">
      <v>3</v>
      <v>Name</v>
      <v>LearnMoreOnLink</v>
    </spb>
    <spb s="10">
      <v>12</v>
      <v>2</v>
      <v>2</v>
      <v>12</v>
      <v>3</v>
      <v>12</v>
      <v>12</v>
      <v>12</v>
      <v>4</v>
      <v>4</v>
      <v>5</v>
      <v>11</v>
      <v>12</v>
      <v>12</v>
      <v>12</v>
      <v>4</v>
      <v>7</v>
      <v>8</v>
      <v>9</v>
      <v>4</v>
      <v>12</v>
      <v>12</v>
      <v>5</v>
    </spb>
    <spb s="5">
      <v>4</v>
      <v>Name</v>
      <v>LearnMoreOnLink</v>
    </spb>
    <spb s="11">
      <v>13</v>
      <v>2</v>
      <v>13</v>
      <v>3</v>
      <v>13</v>
      <v>13</v>
      <v>13</v>
      <v>4</v>
      <v>4</v>
      <v>5</v>
      <v>14</v>
      <v>13</v>
      <v>13</v>
      <v>13</v>
      <v>4</v>
      <v>7</v>
      <v>8</v>
      <v>9</v>
      <v>4</v>
      <v>13</v>
      <v>13</v>
      <v>5</v>
    </spb>
    <spb s="12">
      <v>at close</v>
      <v>from previous close</v>
      <v>from previous close</v>
      <v>Source: Nasdaq</v>
      <v>GMT</v>
      <v>Delayed 15 minutes</v>
      <v>from close</v>
      <v>from close</v>
    </spb>
  </spbData>
</supportingPropertyBags>
</file>

<file path=xl/richData/rdsupportingpropertybagstructure.xml><?xml version="1.0" encoding="utf-8"?>
<spbStructures xmlns="http://schemas.microsoft.com/office/spreadsheetml/2017/richdata2" count="13">
  <s>
    <k n="^Order" t="spba"/>
    <k n="TitleProperty" t="s"/>
  </s>
  <s>
    <k n="ShowInCardView" t="b"/>
    <k n="ShowInDotNotation" t="b"/>
    <k n="ShowInAutoComplete" t="b"/>
  </s>
  <s>
    <k n="ExchangeID" t="spb"/>
    <k n="UniqueName" t="spb"/>
    <k n="`%ProviderInfo" t="spb"/>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Order" t="spba"/>
    <k n="TitleProperty" t="s"/>
    <k n="SubTitleProperty"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4" formatCode="#,##0.00"/>
    </x:dxf>
    <x:dxf>
      <x:numFmt numFmtId="3" formatCode="#,##0"/>
    </x:dxf>
    <x:dxf>
      <x:numFmt numFmtId="14" formatCode="0.00%"/>
    </x:dxf>
    <x:dxf>
      <x:numFmt numFmtId="2" formatCode="0.00"/>
    </x:dxf>
    <x:dxf>
      <x:numFmt numFmtId="1" formatCode="0"/>
    </x:dxf>
    <x:dxf>
      <x:numFmt numFmtId="0" formatCode="General"/>
    </x:dxf>
    <x:dxf>
      <x:numFmt numFmtId="27" formatCode="dd/mm/yyyy\ hh:mm"/>
    </x:dxf>
  </dxfs>
  <richProperties>
    <rPr n="NumberFormat" t="s"/>
    <rPr n="IsTitleField" t="b"/>
  </richProperties>
  <richStyles>
    <rSty dxfid="5">
      <rpv i="0" xml:space="preserve">_ [$¥-zh-CN]* #,##0.00_ ;_ [$¥-zh-CN]* -#,##0.00_ ;_ [$¥-zh-CN]* "-"??_ ;_ @_ </rpv>
    </rSty>
    <rSty dxfid="0">
      <rpv i="0">#,##0.00</rpv>
    </rSty>
    <rSty>
      <rpv i="1">1</rpv>
    </rSty>
    <rSty dxfid="1">
      <rpv i="0">#,##0</rpv>
    </rSty>
    <rSty dxfid="2"/>
    <rSty dxfid="5">
      <rpv i="0" xml:space="preserve">_ [$¥-zh-CN]* #,##0_ ;_ [$¥-zh-CN]* -#,##0_ ;_ [$¥-zh-CN]* "-"_ ;_ @_ </rpv>
    </rSty>
    <rSty dxfid="6"/>
    <rSty dxfid="4">
      <rpv i="0">0</rpv>
    </rSty>
    <rSty dxfid="3">
      <rpv i="0">0.00</rpv>
    </rSty>
    <rSty dxfid="5">
      <rpv i="0">_([$€-x-euro2] * #,##0.00_);_([$€-x-euro2] * (#,##0.00);_([$€-x-euro2] * "-"??_);_(@_)</rpv>
    </rSty>
    <rSty dxfid="5">
      <rpv i="0">_-[$$-en-HK]* #,##0_-;-[$$-en-HK]* #,##0_-;_-[$$-en-HK]* "-"_-;_-@_-</rpv>
    </rSty>
    <rSty dxfid="5">
      <rpv i="0">_-[$$-en-HK]* #,##0.00_-;-[$$-en-HK]* #,##0.00_-;_-[$$-en-HK]* "-"??_-;_-@_-</rpv>
    </rSty>
    <rSty dxfid="5">
      <rpv i="0">_([$$-en-US]* #,##0.00_);_([$$-en-US]* (#,##0.00);_([$$-en-US]* "-"??_);_(@_)</rpv>
    </rSty>
    <rSty dxfid="5">
      <rpv i="0">_([$$-en-US]* #,##0_);_([$$-en-US]* (#,##0);_([$$-en-US]* "-"_);_(@_)</rpv>
    </rSty>
  </richStyles>
</richStyleSheet>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Table4" displayName="Table4" ref="A1:E40" totalsRowShown="0">
  <autoFilter ref="A1:E40" xr:uid="{00000000-0009-0000-0100-000004000000}"/>
  <tableColumns count="5">
    <tableColumn id="1" xr3:uid="{00000000-0010-0000-0000-000001000000}" name="Year"/>
    <tableColumn id="2" xr3:uid="{00000000-0010-0000-0000-000002000000}" name="Net Sales"/>
    <tableColumn id="3" xr3:uid="{00000000-0010-0000-0000-000003000000}" name="Forecast(Net Sales)" dataDxfId="21">
      <calculatedColumnFormula>_xlfn.FORECAST.ETS(A2,$B$2:$B$14,$A$2:$A$14,1,1)</calculatedColumnFormula>
    </tableColumn>
    <tableColumn id="4" xr3:uid="{00000000-0010-0000-0000-000004000000}" name="Lower Confidence Bound(Net Sales)" dataDxfId="20">
      <calculatedColumnFormula>C2-_xlfn.FORECAST.ETS.CONFINT(A2,$B$2:$B$14,$A$2:$A$14,0.9,1,1)</calculatedColumnFormula>
    </tableColumn>
    <tableColumn id="5" xr3:uid="{00000000-0010-0000-0000-000005000000}" name="Upper Confidence Bound(Net Sales)" dataDxfId="19">
      <calculatedColumnFormula>C2+_xlfn.FORECAST.ETS.CONFINT(A2,$B$2:$B$14,$A$2:$A$14,0.9,1,1)</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A1:E40" totalsRowShown="0">
  <autoFilter ref="A1:E40" xr:uid="{00000000-0009-0000-0100-000005000000}"/>
  <tableColumns count="5">
    <tableColumn id="1" xr3:uid="{00000000-0010-0000-0100-000001000000}" name="Year"/>
    <tableColumn id="2" xr3:uid="{00000000-0010-0000-0100-000002000000}" name="Debt"/>
    <tableColumn id="3" xr3:uid="{00000000-0010-0000-0100-000003000000}" name="Forecast(Debt)" dataDxfId="18">
      <calculatedColumnFormula>_xlfn.FORECAST.ETS(A2,$B$2:$B$13,$A$2:$A$13,1,1)</calculatedColumnFormula>
    </tableColumn>
    <tableColumn id="4" xr3:uid="{00000000-0010-0000-0100-000004000000}" name="Lower Confidence Bound(Debt)" dataDxfId="17">
      <calculatedColumnFormula>C2-_xlfn.FORECAST.ETS.CONFINT(A2,$B$2:$B$13,$A$2:$A$13,0.95,1,1)</calculatedColumnFormula>
    </tableColumn>
    <tableColumn id="5" xr3:uid="{00000000-0010-0000-0100-000005000000}" name="Upper Confidence Bound(Debt)" dataDxfId="16">
      <calculatedColumnFormula>C2+_xlfn.FORECAST.ETS.CONFINT(A2,$B$2:$B$13,$A$2:$A$13,0.95,1,1)</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op_Auto_Manufacturers_Companies_in_the_World_as_of_Jul__01__20244" displayName="Top_Auto_Manufacturers_Companies_in_the_World_as_of_Jul__01__20244" ref="P6:V37" tableType="queryTable" totalsRowShown="0">
  <autoFilter ref="P6:V37" xr:uid="{00000000-0009-0000-0100-000003000000}"/>
  <tableColumns count="7">
    <tableColumn id="1" xr3:uid="{00000000-0010-0000-0200-000001000000}" uniqueName="1" name="Rank" queryTableFieldId="1" dataDxfId="15"/>
    <tableColumn id="2" xr3:uid="{00000000-0010-0000-0200-000002000000}" uniqueName="2" name="Company" queryTableFieldId="2" dataDxfId="14"/>
    <tableColumn id="3" xr3:uid="{00000000-0010-0000-0200-000003000000}" uniqueName="3" name="Market Cap (USD)" queryTableFieldId="3" dataDxfId="13"/>
    <tableColumn id="4" xr3:uid="{00000000-0010-0000-0200-000004000000}" uniqueName="4" name="Country" queryTableFieldId="4" dataDxfId="12"/>
    <tableColumn id="5" xr3:uid="{00000000-0010-0000-0200-000005000000}" uniqueName="5" name="Sector" queryTableFieldId="5" dataDxfId="11"/>
    <tableColumn id="6" xr3:uid="{00000000-0010-0000-0200-000006000000}" uniqueName="6" name="Industry" queryTableFieldId="6" dataDxfId="10"/>
    <tableColumn id="7" xr3:uid="{00000000-0010-0000-0200-000007000000}" uniqueName="7" name="Column1" queryTableFieldId="7" dataDxfId="9"/>
  </tableColumns>
  <tableStyleInfo name="TableStyleMedium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Table1" displayName="Table1" ref="A1:E40" totalsRowShown="0">
  <autoFilter ref="A1:E40" xr:uid="{00000000-0009-0000-0100-000001000000}"/>
  <tableColumns count="5">
    <tableColumn id="1" xr3:uid="{00000000-0010-0000-0300-000001000000}" name="Year"/>
    <tableColumn id="2" xr3:uid="{00000000-0010-0000-0300-000002000000}" name="Net Sales"/>
    <tableColumn id="3" xr3:uid="{00000000-0010-0000-0300-000003000000}" name="Forecast(Net Sales)" dataDxfId="8">
      <calculatedColumnFormula>_xlfn.FORECAST.ETS(A2,$B$2:$B$13,$A$2:$A$13,1,1)</calculatedColumnFormula>
    </tableColumn>
    <tableColumn id="4" xr3:uid="{00000000-0010-0000-0300-000004000000}" name="Lower Confidence Bound(Net Sales)" dataDxfId="7">
      <calculatedColumnFormula>C2-_xlfn.FORECAST.ETS.CONFINT(A2,$B$2:$B$13,$A$2:$A$13,0.9,1,1)</calculatedColumnFormula>
    </tableColumn>
    <tableColumn id="5" xr3:uid="{00000000-0010-0000-0300-000005000000}" name="Upper Confidence Bound(Net Sales)" dataDxfId="6">
      <calculatedColumnFormula>C2+_xlfn.FORECAST.ETS.CONFINT(A2,$B$2:$B$13,$A$2:$A$13,0.9,1,1)</calculatedColumnFormula>
    </tableColumn>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op_Auto_Manufacturers_Companies_in_the_World_as_of_Jul__01__2024" displayName="Top_Auto_Manufacturers_Companies_in_the_World_as_of_Jul__01__2024" ref="A1:G32" tableType="queryTable" totalsRowShown="0">
  <autoFilter ref="A1:G32" xr:uid="{00000000-0009-0000-0100-000002000000}"/>
  <tableColumns count="7">
    <tableColumn id="1" xr3:uid="{00000000-0010-0000-0400-000001000000}" uniqueName="1" name="Rank" queryTableFieldId="1"/>
    <tableColumn id="2" xr3:uid="{00000000-0010-0000-0400-000002000000}" uniqueName="2" name="Company" queryTableFieldId="2" dataDxfId="5"/>
    <tableColumn id="3" xr3:uid="{00000000-0010-0000-0400-000003000000}" uniqueName="3" name="Market Cap (USD)" queryTableFieldId="3" dataDxfId="4"/>
    <tableColumn id="4" xr3:uid="{00000000-0010-0000-0400-000004000000}" uniqueName="4" name="Country" queryTableFieldId="4" dataDxfId="3"/>
    <tableColumn id="5" xr3:uid="{00000000-0010-0000-0400-000005000000}" uniqueName="5" name="Sector" queryTableFieldId="5" dataDxfId="2"/>
    <tableColumn id="6" xr3:uid="{00000000-0010-0000-0400-000006000000}" uniqueName="6" name="Industry" queryTableFieldId="6" dataDxfId="1"/>
    <tableColumn id="7" xr3:uid="{00000000-0010-0000-0400-000007000000}" uniqueName="7" name="Column7" queryTableFieldId="7" dataDxfId="0"/>
  </tableColumns>
  <tableStyleInfo name="TableStyleMedium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2" dT="2023-03-05T23:56:38.75" personId="{6D2C5BD9-1C3E-4972-9F97-1CA81A3CC14E}" id="{B8360AB7-5DB1-45D3-ABF9-3AFEF51621D6}">
    <text>Date of last update of the report</text>
  </threadedComment>
  <threadedComment ref="D2" dT="2023-03-05T23:56:06.54" personId="{6D2C5BD9-1C3E-4972-9F97-1CA81A3CC14E}" id="{D17B5162-9C54-4F03-8882-3A424C1A2E60}">
    <text>Insert the date when the company will issue their next quarter/annual report</text>
  </threadedComment>
  <threadedComment ref="L2" dT="2023-03-05T23:56:59.28" personId="{6D2C5BD9-1C3E-4972-9F97-1CA81A3CC14E}" id="{74106D0B-4568-4C95-B1A7-D780E3BD20D3}">
    <text>In what exchange the company is listed in (Input the main exchange)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precedenceresearch.com/electric-suv-market" TargetMode="External"/><Relationship Id="rId7" Type="http://schemas.openxmlformats.org/officeDocument/2006/relationships/comments" Target="../comments2.xml"/><Relationship Id="rId2" Type="http://schemas.openxmlformats.org/officeDocument/2006/relationships/hyperlink" Target="https://onvenient-and-connected/?utm_source=chatgpt.com" TargetMode="External"/><Relationship Id="rId1" Type="http://schemas.openxmlformats.org/officeDocument/2006/relationships/hyperlink" Target="https://www.statista.com/outlook/mmo/electric-vehicles/battery-electric-vehicles/china" TargetMode="External"/><Relationship Id="rId6" Type="http://schemas.openxmlformats.org/officeDocument/2006/relationships/vmlDrawing" Target="../drawings/vmlDrawing2.vm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isfold.com/industry/auto-manufacturers/companies/?page=1" TargetMode="External"/><Relationship Id="rId1" Type="http://schemas.openxmlformats.org/officeDocument/2006/relationships/hyperlink" Target="https://www.coursehero.com/file/38225170/Swot-Analysisdocx/" TargetMode="External"/><Relationship Id="rId4" Type="http://schemas.openxmlformats.org/officeDocument/2006/relationships/table" Target="../tables/table3.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7.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002060"/>
    <pageSetUpPr fitToPage="1"/>
  </sheetPr>
  <dimension ref="A1:U102"/>
  <sheetViews>
    <sheetView showGridLines="0" topLeftCell="C1" zoomScale="70" zoomScaleNormal="70" workbookViewId="0">
      <selection activeCell="H5" sqref="H5:M12"/>
    </sheetView>
  </sheetViews>
  <sheetFormatPr defaultColWidth="11.42578125" defaultRowHeight="12.75"/>
  <cols>
    <col min="1" max="1" width="0.42578125" customWidth="1"/>
    <col min="2" max="2" width="30.5703125" customWidth="1"/>
    <col min="3" max="3" width="23.42578125" customWidth="1"/>
    <col min="4" max="4" width="32" customWidth="1"/>
    <col min="5" max="5" width="20.42578125" bestFit="1" customWidth="1"/>
    <col min="6" max="6" width="17" bestFit="1" customWidth="1"/>
    <col min="7" max="7" width="13.42578125" bestFit="1" customWidth="1"/>
    <col min="8" max="8" width="24.85546875" customWidth="1"/>
    <col min="9" max="9" width="17.140625" customWidth="1"/>
    <col min="10" max="10" width="10.42578125" customWidth="1"/>
    <col min="11" max="11" width="13.7109375" customWidth="1"/>
    <col min="12" max="12" width="20.85546875" bestFit="1" customWidth="1"/>
    <col min="13" max="13" width="31" customWidth="1"/>
  </cols>
  <sheetData>
    <row r="1" spans="2:21" ht="3.75" customHeight="1" thickBot="1"/>
    <row r="2" spans="2:21" ht="22.5" customHeight="1">
      <c r="B2" s="620" t="s">
        <v>0</v>
      </c>
      <c r="C2" s="621" t="s">
        <v>1</v>
      </c>
      <c r="D2" s="632" t="s">
        <v>2</v>
      </c>
      <c r="E2" s="806" t="e" vm="1">
        <f>Inputs!D3</f>
        <v>#VALUE!</v>
      </c>
      <c r="F2" s="807"/>
      <c r="G2" s="807"/>
      <c r="H2" s="807"/>
      <c r="I2" s="807"/>
      <c r="J2" s="807"/>
      <c r="K2" s="808"/>
      <c r="L2" s="622" t="str">
        <f t="array" aca="1" ref="L2" ca="1">_FV(E2,"Exchange")</f>
        <v>Hong Kong Stock Exchange</v>
      </c>
      <c r="M2" s="623" t="s">
        <v>3</v>
      </c>
      <c r="O2" s="783" t="s">
        <v>4</v>
      </c>
      <c r="P2" s="783"/>
      <c r="Q2" s="783"/>
      <c r="R2" s="783"/>
      <c r="S2" s="783"/>
      <c r="T2" s="783"/>
      <c r="U2" s="783"/>
    </row>
    <row r="3" spans="2:21" ht="26.25" customHeight="1">
      <c r="B3" s="849"/>
      <c r="C3" s="850"/>
      <c r="D3" s="818" t="s">
        <v>5</v>
      </c>
      <c r="E3" s="818"/>
      <c r="F3" s="818"/>
      <c r="G3" s="818"/>
      <c r="H3" s="819" t="s">
        <v>6</v>
      </c>
      <c r="I3" s="819"/>
      <c r="J3" s="820"/>
      <c r="K3" s="820"/>
      <c r="L3" s="819"/>
      <c r="M3" s="821"/>
      <c r="O3" s="783"/>
      <c r="P3" s="783"/>
      <c r="Q3" s="783"/>
      <c r="R3" s="783"/>
      <c r="S3" s="783"/>
      <c r="T3" s="783"/>
      <c r="U3" s="783"/>
    </row>
    <row r="4" spans="2:21">
      <c r="B4" s="849"/>
      <c r="C4" s="850"/>
      <c r="D4" s="817" t="str">
        <f t="array" aca="1" ref="D4" ca="1">_FV(Inputs!D3,"Description")</f>
        <v>Great Wall Motor Company Limited is a sport utility vehicle (SUV) manufacturer in the People's Republic of China (the PRC). The Company is principally engaged in the design, research and development, manufacture and sale, as well as distribution of SUVs, sedans, pick-up trucks and automobile-related parts and components. The Company has three brands, Great Wall, Havel and WEY, and its products include SUVs, sedans and pick-up trucks. The Company also manufactures and supplies relative automotive parts and components. The Company's vertically integrated parts and components production unit manufactures various products, including engines, transmissions, chassis, electronics, interior and exterior decoration parts and molds. The Company manufactures cars, which include Great Wall C50 and Great Wall C30. The Company's SUVs include Great Wall H6, Great Wall H5-E and Great Wall M4. The Company's pick up vehicles are Wingle 5, Wingle 6 and Wingle 5 Upgrade.</v>
      </c>
      <c r="E4" s="817"/>
      <c r="F4" s="817"/>
      <c r="G4" s="817"/>
      <c r="H4" s="99" t="s">
        <v>7</v>
      </c>
      <c r="I4" s="619" t="s">
        <v>8</v>
      </c>
      <c r="J4" s="811" t="s">
        <v>9</v>
      </c>
      <c r="K4" s="827"/>
      <c r="L4" s="835" t="s">
        <v>10</v>
      </c>
      <c r="M4" s="836"/>
      <c r="O4" s="783"/>
      <c r="P4" s="783"/>
      <c r="Q4" s="783"/>
      <c r="R4" s="783"/>
      <c r="S4" s="783"/>
      <c r="T4" s="783"/>
      <c r="U4" s="783"/>
    </row>
    <row r="5" spans="2:21" ht="25.15" customHeight="1">
      <c r="B5" s="849"/>
      <c r="C5" s="850"/>
      <c r="D5" s="817"/>
      <c r="E5" s="817"/>
      <c r="F5" s="817"/>
      <c r="G5" s="817"/>
      <c r="H5" s="661" t="s">
        <v>11</v>
      </c>
      <c r="I5" s="305" t="s">
        <v>12</v>
      </c>
      <c r="J5" s="833" t="s">
        <v>13</v>
      </c>
      <c r="K5" s="834"/>
      <c r="L5" s="833" t="s">
        <v>14</v>
      </c>
      <c r="M5" s="837"/>
      <c r="O5" s="783"/>
      <c r="P5" s="783"/>
      <c r="Q5" s="783"/>
      <c r="R5" s="783"/>
      <c r="S5" s="783"/>
      <c r="T5" s="783"/>
      <c r="U5" s="783"/>
    </row>
    <row r="6" spans="2:21" ht="25.15" customHeight="1">
      <c r="B6" s="849"/>
      <c r="C6" s="850"/>
      <c r="D6" s="817"/>
      <c r="E6" s="817"/>
      <c r="F6" s="817"/>
      <c r="G6" s="817"/>
      <c r="H6" s="661" t="s">
        <v>15</v>
      </c>
      <c r="I6" s="305" t="s">
        <v>12</v>
      </c>
      <c r="J6" s="833" t="s">
        <v>16</v>
      </c>
      <c r="K6" s="834"/>
      <c r="L6" s="833" t="s">
        <v>17</v>
      </c>
      <c r="M6" s="837"/>
      <c r="O6" s="783"/>
      <c r="P6" s="783"/>
      <c r="Q6" s="783"/>
      <c r="R6" s="783"/>
      <c r="S6" s="783"/>
      <c r="T6" s="783"/>
      <c r="U6" s="783"/>
    </row>
    <row r="7" spans="2:21" ht="25.15" customHeight="1">
      <c r="B7" s="849"/>
      <c r="C7" s="850"/>
      <c r="D7" s="817"/>
      <c r="E7" s="817"/>
      <c r="F7" s="817"/>
      <c r="G7" s="817"/>
      <c r="H7" s="661" t="s">
        <v>18</v>
      </c>
      <c r="I7" s="305" t="s">
        <v>12</v>
      </c>
      <c r="J7" s="833" t="s">
        <v>19</v>
      </c>
      <c r="K7" s="834"/>
      <c r="L7" s="833" t="s">
        <v>20</v>
      </c>
      <c r="M7" s="837"/>
    </row>
    <row r="8" spans="2:21" ht="25.15" customHeight="1">
      <c r="B8" s="849"/>
      <c r="C8" s="850"/>
      <c r="D8" s="817"/>
      <c r="E8" s="817"/>
      <c r="F8" s="817"/>
      <c r="G8" s="817"/>
      <c r="H8" s="661" t="s">
        <v>21</v>
      </c>
      <c r="I8" s="305" t="s">
        <v>12</v>
      </c>
      <c r="J8" s="855" t="s">
        <v>19</v>
      </c>
      <c r="K8" s="856"/>
      <c r="L8" s="833"/>
      <c r="M8" s="837"/>
    </row>
    <row r="9" spans="2:21" ht="25.15" customHeight="1">
      <c r="B9" s="849"/>
      <c r="C9" s="850"/>
      <c r="D9" s="817"/>
      <c r="E9" s="817"/>
      <c r="F9" s="817"/>
      <c r="G9" s="817"/>
      <c r="H9" s="661" t="s">
        <v>22</v>
      </c>
      <c r="I9" s="305" t="s">
        <v>23</v>
      </c>
      <c r="J9" s="833" t="s">
        <v>24</v>
      </c>
      <c r="K9" s="834"/>
      <c r="L9" s="833"/>
      <c r="M9" s="837"/>
    </row>
    <row r="10" spans="2:21" ht="25.15" customHeight="1">
      <c r="B10" s="849"/>
      <c r="C10" s="850"/>
      <c r="D10" s="817"/>
      <c r="E10" s="817"/>
      <c r="F10" s="817"/>
      <c r="G10" s="817"/>
      <c r="H10" s="661" t="s">
        <v>25</v>
      </c>
      <c r="I10" s="305" t="s">
        <v>23</v>
      </c>
      <c r="J10" s="833" t="s">
        <v>19</v>
      </c>
      <c r="K10" s="834"/>
      <c r="L10" s="833" t="s">
        <v>26</v>
      </c>
      <c r="M10" s="837"/>
    </row>
    <row r="11" spans="2:21" ht="25.15" customHeight="1">
      <c r="B11" s="849"/>
      <c r="C11" s="850"/>
      <c r="D11" s="817"/>
      <c r="E11" s="817"/>
      <c r="F11" s="817"/>
      <c r="G11" s="817"/>
      <c r="H11" s="661" t="s">
        <v>27</v>
      </c>
      <c r="I11" s="305" t="s">
        <v>12</v>
      </c>
      <c r="J11" s="833" t="s">
        <v>19</v>
      </c>
      <c r="K11" s="834"/>
      <c r="L11" s="833"/>
      <c r="M11" s="837"/>
    </row>
    <row r="12" spans="2:21" ht="25.15" customHeight="1">
      <c r="B12" s="847" t="str">
        <f t="array" aca="1" ref="B12" ca="1">_FV(E2,"Currency")&amp;" MILLIONS"</f>
        <v>CNY MILLIONS</v>
      </c>
      <c r="C12" s="848"/>
      <c r="D12" s="817"/>
      <c r="E12" s="817"/>
      <c r="F12" s="817"/>
      <c r="G12" s="817"/>
      <c r="H12" s="661"/>
      <c r="I12" s="306"/>
      <c r="J12" s="833"/>
      <c r="K12" s="834"/>
      <c r="L12" s="833"/>
      <c r="M12" s="837"/>
    </row>
    <row r="13" spans="2:21" ht="18">
      <c r="B13" s="852" t="s">
        <v>28</v>
      </c>
      <c r="C13" s="853"/>
      <c r="D13" s="853"/>
      <c r="E13" s="853"/>
      <c r="F13" s="853"/>
      <c r="G13" s="853"/>
      <c r="H13" s="853"/>
      <c r="I13" s="853"/>
      <c r="J13" s="853"/>
      <c r="K13" s="853"/>
      <c r="L13" s="853"/>
      <c r="M13" s="854"/>
    </row>
    <row r="14" spans="2:21" ht="15.75">
      <c r="B14" s="788" t="s">
        <v>29</v>
      </c>
      <c r="C14" s="789"/>
      <c r="D14" s="830" t="s">
        <v>30</v>
      </c>
      <c r="E14" s="832"/>
      <c r="F14" s="822" t="s">
        <v>31</v>
      </c>
      <c r="G14" s="823"/>
      <c r="H14" s="824"/>
      <c r="I14" s="830" t="str">
        <f>"Profitability ("&amp;J15&amp;")"</f>
        <v>Profitability (2023)</v>
      </c>
      <c r="J14" s="831"/>
      <c r="K14" s="832"/>
      <c r="L14" s="830" t="s">
        <v>32</v>
      </c>
      <c r="M14" s="851"/>
    </row>
    <row r="15" spans="2:21" ht="18.75" customHeight="1">
      <c r="B15" s="624" t="s">
        <v>33</v>
      </c>
      <c r="C15" s="633">
        <f t="array" aca="1" ref="C15" ca="1">_FV(E2,"Price")</f>
        <v>13.26</v>
      </c>
      <c r="D15" s="12" t="s">
        <v>34</v>
      </c>
      <c r="E15" s="109">
        <f>_xlfn.XLOOKUP(D15,'Fin. Data'!A:A,'Fin. Data'!B:B,,0)</f>
        <v>201270.3</v>
      </c>
      <c r="F15" s="809" t="s">
        <v>35</v>
      </c>
      <c r="G15" s="810"/>
      <c r="H15" s="96" t="s">
        <v>36</v>
      </c>
      <c r="I15" t="s">
        <v>37</v>
      </c>
      <c r="J15" s="796">
        <v>2023</v>
      </c>
      <c r="K15" s="797"/>
      <c r="L15" s="11" t="s">
        <v>38</v>
      </c>
      <c r="M15" s="627">
        <f>IF(Inputs!B82 &lt;&gt; "",Inputs!B82,"")</f>
        <v>0.98361221321373127</v>
      </c>
    </row>
    <row r="16" spans="2:21" ht="18.75" customHeight="1">
      <c r="B16" s="624" t="s">
        <v>39</v>
      </c>
      <c r="C16" s="634">
        <f t="array" aca="1" ref="C16" ca="1">_FV(E2,"Shares outstanding",TRUE)</f>
        <v>8562655000</v>
      </c>
      <c r="D16" s="11" t="s">
        <v>40</v>
      </c>
      <c r="E16" s="109">
        <f>_xlfn.XLOOKUP(D16,'Fin. Data'!A:A,'Fin. Data'!B:B,,0)</f>
        <v>132761.5</v>
      </c>
      <c r="F16" s="825" t="str">
        <f>Segments!C5</f>
        <v>Automobiles</v>
      </c>
      <c r="G16" s="826"/>
      <c r="H16" s="16">
        <f>Segments!B5</f>
        <v>0.88491970249191598</v>
      </c>
      <c r="I16" s="11" t="s">
        <v>41</v>
      </c>
      <c r="J16" s="813">
        <v>45291</v>
      </c>
      <c r="K16" s="814"/>
      <c r="L16" s="11" t="s">
        <v>42</v>
      </c>
      <c r="M16" s="627" t="str">
        <f>IF(Inputs!B83 &lt;&gt; "",Inputs!B83,"")</f>
        <v/>
      </c>
    </row>
    <row r="17" spans="1:14" ht="18.75" customHeight="1">
      <c r="B17" s="624" t="s">
        <v>43</v>
      </c>
      <c r="C17" s="51">
        <f ca="1">C15*C16/1000000</f>
        <v>113540.80530000001</v>
      </c>
      <c r="D17" s="11" t="s">
        <v>44</v>
      </c>
      <c r="E17" s="293">
        <f ca="1">_xlfn.XLOOKUP("Cash &amp; Eq.",'Fin. Data'!A:A,'Fin. Data'!B:B,,0)*1000000/C16</f>
        <v>4.5995780514338138</v>
      </c>
      <c r="F17" s="825" t="str">
        <f>Segments!C6</f>
        <v>Automotive Parts &amp; Components</v>
      </c>
      <c r="G17" s="826"/>
      <c r="H17" s="16">
        <f>Segments!B6</f>
        <v>7.282632102491686E-2</v>
      </c>
      <c r="I17" s="815" t="s">
        <v>45</v>
      </c>
      <c r="J17" s="815"/>
      <c r="K17" s="109">
        <f>_xlfn.XLOOKUP(I17,'Fin. Data'!A:A,'Fin. Data'!B:B,,0)</f>
        <v>13988.3</v>
      </c>
      <c r="L17" s="8" t="s">
        <v>46</v>
      </c>
      <c r="M17" s="626">
        <f t="array" aca="1" ref="M17" ca="1">IF(_FV(E2,"Beta") &lt;&gt; "",_FV(E2,"Beta"),"")</f>
        <v>1.847</v>
      </c>
    </row>
    <row r="18" spans="1:14" ht="18.75" customHeight="1">
      <c r="B18" s="625" t="s">
        <v>47</v>
      </c>
      <c r="C18" s="51">
        <f>'Fin. Data'!B58</f>
        <v>57926.1</v>
      </c>
      <c r="D18" s="11" t="s">
        <v>48</v>
      </c>
      <c r="E18" s="293">
        <f>IFERROR(_xlfn.XLOOKUP("EBITDA",'Fin. Data'!A:A,'Fin. Data'!B:B,,0)/_xlfn.XLOOKUP("Net Financial Cost",'Fin. Data'!A:A,'Fin. Data'!B:B,,0),"")</f>
        <v>9.2643883700907335</v>
      </c>
      <c r="F18" s="825" t="str">
        <f>Segments!C7</f>
        <v>Provision Of Services</v>
      </c>
      <c r="G18" s="826"/>
      <c r="H18" s="16">
        <f>Segments!B7</f>
        <v>1.6473444984501665E-2</v>
      </c>
      <c r="I18" s="816" t="s">
        <v>49</v>
      </c>
      <c r="J18" s="816"/>
      <c r="K18" s="109">
        <f>_xlfn.XLOOKUP(I18,'Fin. Data'!A:A,'Fin. Data'!B:B,,0)</f>
        <v>7673</v>
      </c>
      <c r="L18" s="11" t="s">
        <v>50</v>
      </c>
      <c r="M18" s="626" t="str">
        <f>IF(Inputs!B84 &lt;&gt; "",Inputs!B84,"")</f>
        <v/>
      </c>
    </row>
    <row r="19" spans="1:14" ht="18.75" customHeight="1">
      <c r="B19" s="625" t="s">
        <v>51</v>
      </c>
      <c r="C19" s="51">
        <f>'Fin. Data'!B39</f>
        <v>39384.6</v>
      </c>
      <c r="D19" s="11" t="s">
        <v>52</v>
      </c>
      <c r="E19" s="293">
        <f>IFERROR(_xlfn.XLOOKUP("Total Debt",'Fin. Data'!A:A,'Fin. Data'!B:B,,0)/_xlfn.XLOOKUP("EBITDA",'Fin. Data'!A:A,'Fin. Data'!B:B,,0),"")</f>
        <v>4.141039297126885</v>
      </c>
      <c r="F19" s="825" t="str">
        <f>Segments!C8</f>
        <v>Moulds &amp; Others</v>
      </c>
      <c r="G19" s="826"/>
      <c r="H19" s="41">
        <f>Segments!B8</f>
        <v>1.4317129115113784E-2</v>
      </c>
      <c r="I19" s="816" t="s">
        <v>53</v>
      </c>
      <c r="J19" s="816"/>
      <c r="K19" s="109">
        <f>_xlfn.XLOOKUP(I19,'Fin. Data'!A:A,'Fin. Data'!B:B,,0)</f>
        <v>6315.3</v>
      </c>
      <c r="L19" s="11" t="s">
        <v>54</v>
      </c>
      <c r="M19" s="626">
        <f ca="1">IFERROR((C15*C16/(E15-E16))/1000000,"")</f>
        <v>1.6573170935704613</v>
      </c>
    </row>
    <row r="20" spans="1:14" ht="18.75" customHeight="1">
      <c r="B20" s="625" t="s">
        <v>55</v>
      </c>
      <c r="C20" s="51">
        <f ca="1">C17+C18-C19</f>
        <v>132082.30530000001</v>
      </c>
      <c r="D20" s="11" t="s">
        <v>56</v>
      </c>
      <c r="E20" s="293">
        <f>IFERROR(_xlfn.XLOOKUP("Other Assets",'Fin. Data'!A:A,'Fin. Data'!B:B,,0)/_xlfn.XLOOKUP("Total Assets",'Fin. Data'!A:A,'Fin. Data'!B:B,,0),"")</f>
        <v>0.4081009468361701</v>
      </c>
      <c r="F20" s="825" t="str">
        <f>Segments!C9</f>
        <v>Other Business</v>
      </c>
      <c r="G20" s="826"/>
      <c r="H20" s="41">
        <f>Segments!B9</f>
        <v>1.1463402383551728E-2</v>
      </c>
      <c r="I20" s="815" t="s">
        <v>57</v>
      </c>
      <c r="J20" s="815"/>
      <c r="K20" s="109">
        <f>_xlfn.XLOOKUP(I20,'Fin. Data'!A:A,'Fin. Data'!B:B,,0)</f>
        <v>7021.6</v>
      </c>
      <c r="L20" s="11" t="s">
        <v>58</v>
      </c>
      <c r="M20" s="627">
        <f>IFERROR(K26/E15,"")</f>
        <v>1.3546128431931256E-2</v>
      </c>
    </row>
    <row r="21" spans="1:14" ht="18.75" customHeight="1">
      <c r="B21" s="625" t="s">
        <v>59</v>
      </c>
      <c r="C21" s="111" t="s">
        <v>17</v>
      </c>
      <c r="D21" s="11" t="s">
        <v>60</v>
      </c>
      <c r="E21" s="293">
        <f>_xlfn.XLOOKUP(D21,'Fin. Data'!A:A,'Fin. Data'!B:B,,0)</f>
        <v>0.28780252227974024</v>
      </c>
      <c r="F21" s="811" t="s">
        <v>61</v>
      </c>
      <c r="G21" s="812"/>
      <c r="H21" s="97" t="s">
        <v>36</v>
      </c>
      <c r="I21" s="815" t="s">
        <v>62</v>
      </c>
      <c r="J21" s="815"/>
      <c r="K21" s="69">
        <f ca="1">1000000*K20/C16</f>
        <v>0.82002603164555854</v>
      </c>
      <c r="L21" s="11" t="s">
        <v>63</v>
      </c>
      <c r="M21" s="628">
        <f ca="1">IFERROR(C17/K25,"")</f>
        <v>15.473201501792065</v>
      </c>
    </row>
    <row r="22" spans="1:14" ht="18.75" customHeight="1">
      <c r="B22" s="624" t="s">
        <v>64</v>
      </c>
      <c r="C22" s="112" t="s">
        <v>17</v>
      </c>
      <c r="D22" s="11" t="s">
        <v>65</v>
      </c>
      <c r="E22" s="110">
        <f>IFERROR(AVERAGE(_xlfn.XLOOKUP("EBITDA Margin",'Fin. Data'!A:A,'Fin. Data'!B:D,,0)),"")</f>
        <v>7.9604408589897646E-2</v>
      </c>
      <c r="F22" s="877" t="str">
        <f>Segments!C18</f>
        <v>China</v>
      </c>
      <c r="G22" s="878"/>
      <c r="H22" s="889">
        <f>Segments!B18</f>
        <v>0.69048853428168944</v>
      </c>
      <c r="I22" s="815" t="s">
        <v>66</v>
      </c>
      <c r="J22" s="815"/>
      <c r="K22" s="70">
        <f>IFERROR(K20/E15,"")</f>
        <v>3.4886418910291289E-2</v>
      </c>
      <c r="L22" s="11" t="s">
        <v>67</v>
      </c>
      <c r="M22" s="629">
        <f ca="1">IFERROR(C20/E15,"")</f>
        <v>0.6562433965667066</v>
      </c>
    </row>
    <row r="23" spans="1:14" ht="18.75" customHeight="1">
      <c r="B23" s="624" t="s">
        <v>68</v>
      </c>
      <c r="C23" s="17"/>
      <c r="D23" s="11" t="s">
        <v>69</v>
      </c>
      <c r="E23" s="110">
        <f>IFERROR(AVERAGE(_xlfn.XLOOKUP("Operating Margin",'Fin. Data'!A:A,'Fin. Data'!B:D,,0)),"")</f>
        <v>3.5577997394708738E-2</v>
      </c>
      <c r="F23" s="879"/>
      <c r="G23" s="880"/>
      <c r="H23" s="890"/>
      <c r="I23" s="815" t="s">
        <v>70</v>
      </c>
      <c r="J23" s="815"/>
      <c r="K23" s="70">
        <f>IFERROR(Peers!C18,"")</f>
        <v>6.5112377606033028E-2</v>
      </c>
      <c r="L23" s="11" t="s">
        <v>71</v>
      </c>
      <c r="M23" s="629">
        <f ca="1">IFERROR(C20/K24,"")</f>
        <v>11.122782890009207</v>
      </c>
    </row>
    <row r="24" spans="1:14" ht="18.75" customHeight="1">
      <c r="B24" s="788" t="s">
        <v>72</v>
      </c>
      <c r="C24" s="789"/>
      <c r="D24" s="11" t="s">
        <v>73</v>
      </c>
      <c r="E24" s="110">
        <f>IFERROR(AVERAGE(_xlfn.XLOOKUP("Net Income Margin",'Fin. Data'!A:A,'Fin. Data'!B:D,,0)),"")</f>
        <v>5.0011292941099801E-2</v>
      </c>
      <c r="F24" s="881"/>
      <c r="G24" s="882"/>
      <c r="H24" s="891"/>
      <c r="I24" s="863" t="s">
        <v>74</v>
      </c>
      <c r="J24" s="863"/>
      <c r="K24" s="551">
        <f>AVERAGE(_xlfn.XLOOKUP("EBITDA",'Fin. Data'!A:A,'Fin. Data'!B:D,,0))</f>
        <v>11874.933333333334</v>
      </c>
      <c r="L24" s="11" t="s">
        <v>75</v>
      </c>
      <c r="M24" s="628">
        <f ca="1">IFERROR(C17/K26,"")</f>
        <v>41.644445844998963</v>
      </c>
    </row>
    <row r="25" spans="1:14" ht="18.75" customHeight="1">
      <c r="B25" s="630" t="s">
        <v>76</v>
      </c>
      <c r="C25" s="726"/>
      <c r="D25" s="631"/>
      <c r="E25" s="117"/>
      <c r="F25" s="877" t="str">
        <f>Segments!C19</f>
        <v>Other countries</v>
      </c>
      <c r="G25" s="883"/>
      <c r="H25" s="886">
        <f>Segments!B19</f>
        <v>0.30951146571831051</v>
      </c>
      <c r="I25" s="815" t="s">
        <v>77</v>
      </c>
      <c r="J25" s="815"/>
      <c r="K25" s="109">
        <f>AVERAGE(_xlfn.XLOOKUP("Net Income",'Fin. Data'!A:A,'Fin. Data'!B:D,,0))</f>
        <v>7337.9000000000005</v>
      </c>
      <c r="L25" s="11" t="s">
        <v>78</v>
      </c>
      <c r="M25" s="628" t="s">
        <v>17</v>
      </c>
    </row>
    <row r="26" spans="1:14" ht="18.75" customHeight="1">
      <c r="B26" s="630" t="s">
        <v>79</v>
      </c>
      <c r="C26" s="727"/>
      <c r="D26" s="11" t="s">
        <v>80</v>
      </c>
      <c r="E26" s="397">
        <f>IFERROR(-_xlfn.XLOOKUP("Net Financial Cost",'Fin. Data'!A:A,'Fin. Data'!B:B,,0)/AVERAGE(_xlfn.XLOOKUP("Net Debt",'Fin. Data'!A:A,'Fin. Data'!B:D,,0)),"")</f>
        <v>-9.0877902567621238E-2</v>
      </c>
      <c r="F26" s="879"/>
      <c r="G26" s="884"/>
      <c r="H26" s="887"/>
      <c r="I26" s="815" t="s">
        <v>81</v>
      </c>
      <c r="J26" s="815"/>
      <c r="K26" s="109">
        <f>AVERAGE(_xlfn.XLOOKUP("Net Financial Cost",'Fin. Data'!A:A,'Fin. Data'!B:D,,0))</f>
        <v>2726.4333333333334</v>
      </c>
      <c r="L26" s="11" t="s">
        <v>82</v>
      </c>
      <c r="M26" s="627">
        <f ca="1">-IFERROR(SUM(E47:E49)/(3*C17),"")</f>
        <v>2.4858904184643829E-2</v>
      </c>
    </row>
    <row r="27" spans="1:14" ht="18.75" customHeight="1">
      <c r="B27" s="630" t="s">
        <v>83</v>
      </c>
      <c r="C27" s="727"/>
      <c r="D27" s="114"/>
      <c r="E27" s="116"/>
      <c r="F27" s="881"/>
      <c r="G27" s="885"/>
      <c r="H27" s="888"/>
      <c r="I27" s="114"/>
      <c r="J27" s="115"/>
      <c r="K27" s="115"/>
      <c r="L27" s="11" t="s">
        <v>84</v>
      </c>
      <c r="M27" s="635">
        <f ca="1">-IFERROR(L48/C17,"")</f>
        <v>5.6508318600061924E-3</v>
      </c>
    </row>
    <row r="28" spans="1:14" ht="18.75" thickBot="1">
      <c r="B28" s="790" t="s">
        <v>85</v>
      </c>
      <c r="C28" s="791"/>
      <c r="D28" s="791"/>
      <c r="E28" s="791"/>
      <c r="F28" s="791"/>
      <c r="G28" s="791"/>
      <c r="H28" s="791"/>
      <c r="I28" s="791"/>
      <c r="J28" s="791"/>
      <c r="K28" s="791"/>
      <c r="L28" s="791"/>
      <c r="M28" s="792"/>
    </row>
    <row r="29" spans="1:14" ht="21" customHeight="1" thickBot="1">
      <c r="B29" s="892" t="s">
        <v>86</v>
      </c>
      <c r="C29" s="893"/>
      <c r="D29" s="893"/>
      <c r="E29" s="893"/>
      <c r="F29" s="893"/>
      <c r="G29" s="893"/>
      <c r="H29" s="401" t="s">
        <v>87</v>
      </c>
      <c r="I29" s="864" t="s">
        <v>88</v>
      </c>
      <c r="J29" s="865"/>
      <c r="K29" s="865"/>
      <c r="L29" s="865"/>
      <c r="M29" s="866"/>
      <c r="N29" s="10"/>
    </row>
    <row r="30" spans="1:14" ht="21" customHeight="1">
      <c r="A30" s="10"/>
      <c r="B30" s="402" t="s">
        <v>89</v>
      </c>
      <c r="C30" s="873" t="s">
        <v>90</v>
      </c>
      <c r="D30" s="874"/>
      <c r="E30" s="874"/>
      <c r="F30" s="874"/>
      <c r="G30" s="875"/>
      <c r="H30" s="798"/>
      <c r="I30" s="838" t="s">
        <v>91</v>
      </c>
      <c r="J30" s="839"/>
      <c r="K30" s="839"/>
      <c r="L30" s="839"/>
      <c r="M30" s="840"/>
    </row>
    <row r="31" spans="1:14" ht="28.15" customHeight="1" thickBot="1">
      <c r="A31" s="10"/>
      <c r="B31" s="717" t="s">
        <v>92</v>
      </c>
      <c r="C31" s="800" t="s">
        <v>93</v>
      </c>
      <c r="D31" s="801"/>
      <c r="E31" s="801"/>
      <c r="F31" s="801"/>
      <c r="G31" s="802"/>
      <c r="H31" s="798"/>
      <c r="I31" s="841"/>
      <c r="J31" s="842"/>
      <c r="K31" s="842"/>
      <c r="L31" s="842"/>
      <c r="M31" s="843"/>
    </row>
    <row r="32" spans="1:14" ht="28.15" customHeight="1" thickBot="1">
      <c r="A32" s="10"/>
      <c r="B32" s="721" t="s">
        <v>94</v>
      </c>
      <c r="C32" s="800" t="s">
        <v>95</v>
      </c>
      <c r="D32" s="801"/>
      <c r="E32" s="801"/>
      <c r="F32" s="801"/>
      <c r="G32" s="802"/>
      <c r="H32" s="798"/>
      <c r="I32" s="841"/>
      <c r="J32" s="842"/>
      <c r="K32" s="842"/>
      <c r="L32" s="842"/>
      <c r="M32" s="843"/>
    </row>
    <row r="33" spans="2:19" ht="28.15" customHeight="1" thickBot="1">
      <c r="B33" s="719" t="s">
        <v>96</v>
      </c>
      <c r="C33" s="803" t="s">
        <v>97</v>
      </c>
      <c r="D33" s="804"/>
      <c r="E33" s="804"/>
      <c r="F33" s="804"/>
      <c r="G33" s="805"/>
      <c r="H33" s="799"/>
      <c r="I33" s="844"/>
      <c r="J33" s="845"/>
      <c r="K33" s="845"/>
      <c r="L33" s="845"/>
      <c r="M33" s="846"/>
    </row>
    <row r="34" spans="2:19" ht="21" customHeight="1" thickBot="1">
      <c r="B34" s="867" t="s">
        <v>98</v>
      </c>
      <c r="C34" s="868"/>
      <c r="D34" s="868"/>
      <c r="E34" s="868"/>
      <c r="F34" s="868"/>
      <c r="G34" s="869"/>
      <c r="H34" s="403" t="s">
        <v>99</v>
      </c>
      <c r="I34" s="828" t="s">
        <v>100</v>
      </c>
      <c r="J34" s="828"/>
      <c r="K34" s="828"/>
      <c r="L34" s="828"/>
      <c r="M34" s="829"/>
    </row>
    <row r="35" spans="2:19" ht="21" customHeight="1" thickBot="1">
      <c r="B35" s="404" t="s">
        <v>101</v>
      </c>
      <c r="C35" s="870" t="s">
        <v>90</v>
      </c>
      <c r="D35" s="871"/>
      <c r="E35" s="871"/>
      <c r="F35" s="871"/>
      <c r="G35" s="872"/>
      <c r="H35" s="793">
        <f ca="1">IFERROR(DCF!D75,"")</f>
        <v>11.027478385802848</v>
      </c>
      <c r="I35" s="897" t="s">
        <v>102</v>
      </c>
      <c r="J35" s="897"/>
      <c r="K35" s="897"/>
      <c r="L35" s="876">
        <f>DCF!F50</f>
        <v>0.08</v>
      </c>
      <c r="M35" s="876"/>
    </row>
    <row r="36" spans="2:19" ht="30.6" customHeight="1" thickBot="1">
      <c r="B36" s="717" t="s">
        <v>103</v>
      </c>
      <c r="C36" s="894" t="s">
        <v>104</v>
      </c>
      <c r="D36" s="895"/>
      <c r="E36" s="895"/>
      <c r="F36" s="895"/>
      <c r="G36" s="896"/>
      <c r="H36" s="794"/>
      <c r="I36" s="897"/>
      <c r="J36" s="897"/>
      <c r="K36" s="897"/>
      <c r="L36" s="876"/>
      <c r="M36" s="876"/>
    </row>
    <row r="37" spans="2:19" ht="30.6" customHeight="1" thickBot="1">
      <c r="B37" s="718" t="s">
        <v>105</v>
      </c>
      <c r="C37" s="860" t="s">
        <v>106</v>
      </c>
      <c r="D37" s="861"/>
      <c r="E37" s="861"/>
      <c r="F37" s="861"/>
      <c r="G37" s="862"/>
      <c r="H37" s="794"/>
      <c r="I37" s="897" t="s">
        <v>107</v>
      </c>
      <c r="J37" s="897"/>
      <c r="K37" s="897"/>
      <c r="L37" s="876">
        <f ca="1">IFERROR(DCF!D74,"")</f>
        <v>-0.16836512927580327</v>
      </c>
      <c r="M37" s="876"/>
    </row>
    <row r="38" spans="2:19" ht="30.6" customHeight="1" thickBot="1">
      <c r="B38" s="720" t="s">
        <v>108</v>
      </c>
      <c r="C38" s="857" t="s">
        <v>109</v>
      </c>
      <c r="D38" s="858"/>
      <c r="E38" s="858"/>
      <c r="F38" s="858"/>
      <c r="G38" s="859"/>
      <c r="H38" s="795"/>
      <c r="I38" s="898"/>
      <c r="J38" s="898"/>
      <c r="K38" s="898"/>
      <c r="L38" s="876"/>
      <c r="M38" s="876"/>
    </row>
    <row r="39" spans="2:19" ht="18">
      <c r="B39" s="937" t="s">
        <v>110</v>
      </c>
      <c r="C39" s="853"/>
      <c r="D39" s="853"/>
      <c r="E39" s="853"/>
      <c r="F39" s="853"/>
      <c r="G39" s="853"/>
      <c r="H39" s="853"/>
      <c r="I39" s="853"/>
      <c r="J39" s="853"/>
      <c r="K39" s="853"/>
      <c r="L39" s="853"/>
      <c r="M39" s="938"/>
    </row>
    <row r="40" spans="2:19" ht="19.5" customHeight="1">
      <c r="B40" s="523" t="s">
        <v>111</v>
      </c>
      <c r="C40" s="100" t="s">
        <v>112</v>
      </c>
      <c r="D40" s="100" t="s">
        <v>113</v>
      </c>
      <c r="E40" s="119" t="s">
        <v>114</v>
      </c>
      <c r="F40" s="100" t="s">
        <v>115</v>
      </c>
      <c r="G40" s="100" t="s">
        <v>60</v>
      </c>
      <c r="H40" s="118" t="s">
        <v>49</v>
      </c>
      <c r="I40" s="118" t="s">
        <v>116</v>
      </c>
      <c r="J40" s="919" t="s">
        <v>117</v>
      </c>
      <c r="K40" s="919"/>
      <c r="L40" s="919"/>
      <c r="M40" s="939"/>
    </row>
    <row r="41" spans="2:19" ht="19.5" customHeight="1">
      <c r="B41" s="524">
        <f t="shared" ref="B41:B47" si="0">B42-1</f>
        <v>2015</v>
      </c>
      <c r="C41" s="702">
        <f t="array" ref="C41:C49">_xlfn.SORTBY(TRANSPOSE(_xlfn.XLOOKUP(C$40,'Fin. Data'!$A:$A,'Fin. Data'!$B:$J,,0)),$B$41:$B$49,-1)</f>
        <v>76033.142500000002</v>
      </c>
      <c r="D41" s="703">
        <f t="array" ref="D41:D49">_xlfn.SORTBY(TRANSPOSE(_xlfn.XLOOKUP(D$40,'Fin. Data'!$A:$A,'Fin. Data'!$B:$J,,0)),$B$41:$B$49,-1)</f>
        <v>0.12260048307223394</v>
      </c>
      <c r="E41" s="702">
        <f t="array" ref="E41:E49">_xlfn.SORTBY(TRANSPOSE(_xlfn.XLOOKUP(E$40,'Fin. Data'!$A:$A,'Fin. Data'!$B:$J,,0)),$B$41:$B$49,-1)</f>
        <v>-3194.7</v>
      </c>
      <c r="F41" s="704">
        <f>Inputs!J77</f>
        <v>-623.09999999999889</v>
      </c>
      <c r="G41" s="703">
        <f t="array" ref="G41:G49">_xlfn.SORTBY(TRANSPOSE(_xlfn.XLOOKUP(G$40,'Fin. Data'!$A:$A,'Fin. Data'!$B:$J,,0)),$B$41:$B$49,-1)</f>
        <v>8.2238223572046396E-2</v>
      </c>
      <c r="H41" s="702">
        <f t="array" ref="H41:H49">_xlfn.SORTBY(TRANSPOSE(_xlfn.XLOOKUP(H$40,'Fin. Data'!$A:$A,'Fin. Data'!$B:$J,,0)),$B$41:$B$49,-1)</f>
        <v>1980.9</v>
      </c>
      <c r="I41" s="702">
        <f t="array" ref="I41:I49">_xlfn.SORTBY(TRANSPOSE(_xlfn.XLOOKUP(I$40,'Fin. Data'!$A:$A,'Fin. Data'!$B:$J,,0)),$B$41:$B$49,-1)</f>
        <v>-5838.4</v>
      </c>
      <c r="J41" s="319"/>
      <c r="K41" s="114"/>
      <c r="L41" s="98">
        <f>J15</f>
        <v>2023</v>
      </c>
      <c r="M41" s="321">
        <f>L41-1</f>
        <v>2022</v>
      </c>
    </row>
    <row r="42" spans="2:19" ht="19.5" customHeight="1">
      <c r="B42" s="524">
        <f t="shared" si="0"/>
        <v>2016</v>
      </c>
      <c r="C42" s="702">
        <v>98615.702400000009</v>
      </c>
      <c r="D42" s="705">
        <v>0.12398126974148084</v>
      </c>
      <c r="E42" s="702">
        <v>0</v>
      </c>
      <c r="F42" s="704">
        <f>Inputs!I77</f>
        <v>-566.49999999999932</v>
      </c>
      <c r="G42" s="703">
        <v>4.8367876658014591E-2</v>
      </c>
      <c r="H42" s="702">
        <v>2551.9</v>
      </c>
      <c r="I42" s="702">
        <v>-6690.7000000000007</v>
      </c>
      <c r="J42" s="942" t="s">
        <v>57</v>
      </c>
      <c r="K42" s="943"/>
      <c r="L42" s="709">
        <f>_xlfn.XLOOKUP($J42,'Fin. Data'!$A:$A,'Fin. Data'!B:B,,0)</f>
        <v>7021.6</v>
      </c>
      <c r="M42" s="710">
        <f>_xlfn.XLOOKUP($J42,'Fin. Data'!$A:$A,'Fin. Data'!C:C,,0)</f>
        <v>8266</v>
      </c>
      <c r="N42" s="20">
        <f t="shared" ref="N42:N50" si="1">(C42/C41)-1</f>
        <v>0.29700942454140988</v>
      </c>
      <c r="O42" s="20">
        <f t="shared" ref="O42:O50" si="2">(D42/D41)-1</f>
        <v>1.126248963010501E-2</v>
      </c>
      <c r="P42" s="19"/>
      <c r="Q42" s="18"/>
      <c r="R42" s="18"/>
      <c r="S42" s="18"/>
    </row>
    <row r="43" spans="2:19" ht="19.5" customHeight="1">
      <c r="B43" s="524">
        <f t="shared" si="0"/>
        <v>2017</v>
      </c>
      <c r="C43" s="702">
        <v>101169.48880000001</v>
      </c>
      <c r="D43" s="705">
        <v>5.8006619086524429E-2</v>
      </c>
      <c r="E43" s="702">
        <v>-3129.5</v>
      </c>
      <c r="F43" s="704">
        <f>Inputs!H77</f>
        <v>8337.2999999999993</v>
      </c>
      <c r="G43" s="703">
        <v>0.15731713274124948</v>
      </c>
      <c r="H43" s="702">
        <v>3188.5</v>
      </c>
      <c r="I43" s="702">
        <v>-5757.3</v>
      </c>
      <c r="J43" s="942" t="s">
        <v>118</v>
      </c>
      <c r="K43" s="943"/>
      <c r="L43" s="709">
        <f>_xlfn.XLOOKUP($J43,'Fin. Data'!$A:$A,'Fin. Data'!B:B,,0)</f>
        <v>16025.5</v>
      </c>
      <c r="M43" s="710">
        <f>_xlfn.XLOOKUP($J43,'Fin. Data'!$A:$A,'Fin. Data'!C:C,,0)</f>
        <v>12206</v>
      </c>
      <c r="N43" s="20">
        <f t="shared" si="1"/>
        <v>2.5896346503130552E-2</v>
      </c>
      <c r="O43" s="20">
        <f t="shared" si="2"/>
        <v>-0.53213401340801925</v>
      </c>
      <c r="P43" s="19"/>
      <c r="Q43" s="18">
        <f t="shared" ref="Q43:Q49" si="3">F43/F42-1</f>
        <v>-15.717210944395427</v>
      </c>
      <c r="R43" s="18">
        <f t="shared" ref="R43:S49" si="4">H43/H42-1</f>
        <v>0.24946118578314191</v>
      </c>
      <c r="S43" s="18">
        <f t="shared" si="4"/>
        <v>-0.13950707698746023</v>
      </c>
    </row>
    <row r="44" spans="2:19" ht="19.5" customHeight="1">
      <c r="B44" s="524">
        <f t="shared" si="0"/>
        <v>2018</v>
      </c>
      <c r="C44" s="702">
        <v>99230</v>
      </c>
      <c r="D44" s="705">
        <v>5.5617252846921289E-2</v>
      </c>
      <c r="E44" s="702">
        <v>-1551.6</v>
      </c>
      <c r="F44" s="704">
        <f>Inputs!G77</f>
        <v>2770.5999999999995</v>
      </c>
      <c r="G44" s="703">
        <v>0.17140368012994589</v>
      </c>
      <c r="H44" s="702">
        <v>3804.7</v>
      </c>
      <c r="I44" s="702">
        <v>-6177.5999999999995</v>
      </c>
      <c r="J44" s="942" t="s">
        <v>119</v>
      </c>
      <c r="K44" s="943"/>
      <c r="L44" s="709">
        <f>_xlfn.XLOOKUP($J44,'Fin. Data'!$A:$A,'Fin. Data'!B:B,,0)</f>
        <v>-11619.4</v>
      </c>
      <c r="M44" s="710">
        <f>_xlfn.XLOOKUP($J44,'Fin. Data'!$A:$A,'Fin. Data'!C:C,,0)</f>
        <v>-10983.9</v>
      </c>
      <c r="N44" s="20">
        <f t="shared" si="1"/>
        <v>-1.917068893996432E-2</v>
      </c>
      <c r="O44" s="20">
        <f t="shared" si="2"/>
        <v>-4.1191268810876425E-2</v>
      </c>
      <c r="P44" s="19"/>
      <c r="Q44" s="18">
        <f t="shared" si="3"/>
        <v>-0.66768618137766422</v>
      </c>
      <c r="R44" s="18">
        <f t="shared" si="4"/>
        <v>0.19325701740630374</v>
      </c>
      <c r="S44" s="18">
        <f t="shared" si="4"/>
        <v>7.3002970142254098E-2</v>
      </c>
    </row>
    <row r="45" spans="2:19" ht="19.5" customHeight="1">
      <c r="B45" s="524">
        <f t="shared" si="0"/>
        <v>2019</v>
      </c>
      <c r="C45" s="702">
        <v>96210.7</v>
      </c>
      <c r="D45" s="705">
        <v>4.5840015715507741E-2</v>
      </c>
      <c r="E45" s="702">
        <v>-2666.9</v>
      </c>
      <c r="F45" s="704">
        <f>Inputs!F77</f>
        <v>2162.7000000000003</v>
      </c>
      <c r="G45" s="703">
        <v>0.15615351151760801</v>
      </c>
      <c r="H45" s="702">
        <v>4576.5</v>
      </c>
      <c r="I45" s="702">
        <v>-11603.400000000001</v>
      </c>
      <c r="J45" s="944" t="s">
        <v>120</v>
      </c>
      <c r="K45" s="945"/>
      <c r="L45" s="709">
        <f>_xlfn.XLOOKUP($J45,'Fin. Data'!$A:$A,'Fin. Data'!B:B,,0)</f>
        <v>-16229.1</v>
      </c>
      <c r="M45" s="710">
        <f>_xlfn.XLOOKUP($J45,'Fin. Data'!$A:$A,'Fin. Data'!C:C,,0)</f>
        <v>-15859.3</v>
      </c>
      <c r="N45" s="20">
        <f t="shared" si="1"/>
        <v>-3.0427290134032114E-2</v>
      </c>
      <c r="O45" s="20">
        <f t="shared" si="2"/>
        <v>-0.17579503896612847</v>
      </c>
      <c r="P45" s="19"/>
      <c r="Q45" s="18">
        <f t="shared" si="3"/>
        <v>-0.21941095791525278</v>
      </c>
      <c r="R45" s="18">
        <f t="shared" si="4"/>
        <v>0.20285436433884407</v>
      </c>
      <c r="S45" s="18">
        <f t="shared" si="4"/>
        <v>0.87830225330225375</v>
      </c>
    </row>
    <row r="46" spans="2:19" ht="19.5" customHeight="1">
      <c r="B46" s="524">
        <f t="shared" si="0"/>
        <v>2020</v>
      </c>
      <c r="C46" s="702">
        <v>103307.6</v>
      </c>
      <c r="D46" s="705">
        <v>5.0259613039118127E-2</v>
      </c>
      <c r="E46" s="702">
        <v>-2509.3000000000002</v>
      </c>
      <c r="F46" s="704">
        <f>Inputs!E77</f>
        <v>4814.3</v>
      </c>
      <c r="G46" s="703">
        <v>0.25158121309123027</v>
      </c>
      <c r="H46" s="702">
        <v>4759.3999999999996</v>
      </c>
      <c r="I46" s="702">
        <v>-7779.9</v>
      </c>
      <c r="J46" s="944" t="s">
        <v>121</v>
      </c>
      <c r="K46" s="945"/>
      <c r="L46" s="709">
        <f>_xlfn.XLOOKUP($J46,'Fin. Data'!$A:$A,'Fin. Data'!B:B,,0)</f>
        <v>0</v>
      </c>
      <c r="M46" s="710">
        <f>_xlfn.XLOOKUP($J46,'Fin. Data'!$A:$A,'Fin. Data'!C:C,,0)</f>
        <v>0</v>
      </c>
      <c r="N46" s="20">
        <f t="shared" si="1"/>
        <v>7.3764144736500281E-2</v>
      </c>
      <c r="O46" s="20">
        <f t="shared" si="2"/>
        <v>9.6413521126154977E-2</v>
      </c>
      <c r="P46" s="19"/>
      <c r="Q46" s="18">
        <f t="shared" si="3"/>
        <v>1.2260600175706293</v>
      </c>
      <c r="R46" s="18">
        <f t="shared" si="4"/>
        <v>3.9965038785097606E-2</v>
      </c>
      <c r="S46" s="18">
        <f t="shared" si="4"/>
        <v>-0.32951548684006426</v>
      </c>
    </row>
    <row r="47" spans="2:19" ht="19.5" customHeight="1">
      <c r="B47" s="524">
        <f t="shared" si="0"/>
        <v>2021</v>
      </c>
      <c r="C47" s="702">
        <v>136404.70000000001</v>
      </c>
      <c r="D47" s="705">
        <v>3.527297813051896E-2</v>
      </c>
      <c r="E47" s="702">
        <v>-6145.4000000000005</v>
      </c>
      <c r="F47" s="704">
        <f>Inputs!D77</f>
        <v>14316.399999999998</v>
      </c>
      <c r="G47" s="703">
        <v>0.27530044239715407</v>
      </c>
      <c r="H47" s="702">
        <v>5509.1</v>
      </c>
      <c r="I47" s="702">
        <v>-12473</v>
      </c>
      <c r="J47" s="942" t="s">
        <v>122</v>
      </c>
      <c r="K47" s="943"/>
      <c r="L47" s="709">
        <f>_xlfn.XLOOKUP($J47,'Fin. Data'!$A:$A,'Fin. Data'!B:B,,0)</f>
        <v>3949</v>
      </c>
      <c r="M47" s="710">
        <f>_xlfn.XLOOKUP($J47,'Fin. Data'!$A:$A,'Fin. Data'!C:C,,0)</f>
        <v>-2548.6999999999998</v>
      </c>
      <c r="N47" s="20">
        <f t="shared" si="1"/>
        <v>0.32037429966430353</v>
      </c>
      <c r="O47" s="20">
        <f t="shared" si="2"/>
        <v>-0.29818444676314459</v>
      </c>
      <c r="P47" s="19"/>
      <c r="Q47" s="18">
        <f t="shared" si="3"/>
        <v>1.9737241135782972</v>
      </c>
      <c r="R47" s="18">
        <f t="shared" si="4"/>
        <v>0.15751985544396363</v>
      </c>
      <c r="S47" s="18">
        <f t="shared" si="4"/>
        <v>0.60323397472975238</v>
      </c>
    </row>
    <row r="48" spans="2:19" ht="19.5" customHeight="1">
      <c r="B48" s="524">
        <f>B49-1</f>
        <v>2022</v>
      </c>
      <c r="C48" s="702">
        <v>137339.98518776</v>
      </c>
      <c r="D48" s="705">
        <v>3.5008013095580978E-2</v>
      </c>
      <c r="E48" s="702">
        <v>-998.90000000000009</v>
      </c>
      <c r="F48" s="704">
        <f>Inputs!C$77</f>
        <v>-1009.1999999999995</v>
      </c>
      <c r="G48" s="703">
        <v>0.32792827690088283</v>
      </c>
      <c r="H48" s="702">
        <v>6520.1</v>
      </c>
      <c r="I48" s="702">
        <v>-15859.3</v>
      </c>
      <c r="J48" s="944" t="s">
        <v>123</v>
      </c>
      <c r="K48" s="945"/>
      <c r="L48" s="709">
        <f>_xlfn.XLOOKUP($J48,'Fin. Data'!$A:$A,'Fin. Data'!B:B,,0)</f>
        <v>-641.6</v>
      </c>
      <c r="M48" s="710">
        <f>_xlfn.XLOOKUP($J48,'Fin. Data'!$A:$A,'Fin. Data'!C:C,,0)</f>
        <v>-641.6</v>
      </c>
      <c r="N48" s="20">
        <f t="shared" si="1"/>
        <v>6.8566932646747514E-3</v>
      </c>
      <c r="O48" s="20">
        <f t="shared" si="2"/>
        <v>-7.5118418965799405E-3</v>
      </c>
      <c r="P48" s="19"/>
      <c r="Q48" s="18">
        <f t="shared" si="3"/>
        <v>-1.0704925819340056</v>
      </c>
      <c r="R48" s="18">
        <f t="shared" si="4"/>
        <v>0.18351454865586025</v>
      </c>
      <c r="S48" s="18">
        <f t="shared" si="4"/>
        <v>0.27149041930570017</v>
      </c>
    </row>
    <row r="49" spans="2:19" ht="19.5" customHeight="1">
      <c r="B49" s="524">
        <f>J15</f>
        <v>2023</v>
      </c>
      <c r="C49" s="702">
        <v>173212.07675797</v>
      </c>
      <c r="D49" s="705">
        <v>3.6453000958026269E-2</v>
      </c>
      <c r="E49" s="702">
        <v>-1323.2</v>
      </c>
      <c r="F49" s="704">
        <f>Inputs!B77</f>
        <v>8373.5</v>
      </c>
      <c r="G49" s="703">
        <v>0.28780252227974024</v>
      </c>
      <c r="H49" s="702">
        <v>7673</v>
      </c>
      <c r="I49" s="702">
        <v>-16229.1</v>
      </c>
      <c r="J49" s="944" t="s">
        <v>124</v>
      </c>
      <c r="K49" s="945"/>
      <c r="L49" s="709">
        <f>_xlfn.XLOOKUP($J49,'Fin. Data'!$A:$A,'Fin. Data'!B:B,,0)</f>
        <v>-681.6</v>
      </c>
      <c r="M49" s="710">
        <f>_xlfn.XLOOKUP($J49,'Fin. Data'!$A:$A,'Fin. Data'!C:C,,0)</f>
        <v>-357.3</v>
      </c>
      <c r="N49" s="20">
        <f t="shared" si="1"/>
        <v>0.26119189922125452</v>
      </c>
      <c r="O49" s="20">
        <f t="shared" si="2"/>
        <v>4.1275917559219888E-2</v>
      </c>
      <c r="P49" s="19"/>
      <c r="Q49" s="18">
        <f t="shared" si="3"/>
        <v>-9.2971660721363492</v>
      </c>
      <c r="R49" s="18">
        <f t="shared" si="4"/>
        <v>0.17682244137359859</v>
      </c>
      <c r="S49" s="18">
        <f t="shared" si="4"/>
        <v>2.3317548693826406E-2</v>
      </c>
    </row>
    <row r="50" spans="2:19" ht="19.5" customHeight="1">
      <c r="B50" s="525" t="s">
        <v>125</v>
      </c>
      <c r="C50" s="706">
        <f>IFERROR((C49/C41)^(1/8)-1,"")</f>
        <v>0.10840098621721683</v>
      </c>
      <c r="D50" s="706">
        <f>IFERROR((D49/D41)^(1/8)-1,"")</f>
        <v>-0.14067956780990443</v>
      </c>
      <c r="E50" s="707"/>
      <c r="F50" s="706" t="str">
        <f>IFERROR((F49/F41)^(1/8)-1,"")</f>
        <v/>
      </c>
      <c r="G50" s="707"/>
      <c r="H50" s="706">
        <f>IFERROR((H49/H41)^(1/8)-1,"")</f>
        <v>0.18443935950169466</v>
      </c>
      <c r="I50" s="113"/>
      <c r="J50" s="942" t="s">
        <v>126</v>
      </c>
      <c r="K50" s="943"/>
      <c r="L50" s="709">
        <f>_xlfn.XLOOKUP($J50,'Fin. Data'!$A:$A,'Fin. Data'!B:B,,0)</f>
        <v>18.399999999999999</v>
      </c>
      <c r="M50" s="710">
        <f>_xlfn.XLOOKUP($J50,'Fin. Data'!$A:$A,'Fin. Data'!C:C,,0)</f>
        <v>317.39999999999998</v>
      </c>
      <c r="N50" s="20">
        <f t="shared" si="1"/>
        <v>-0.99999937417189233</v>
      </c>
      <c r="O50" s="20">
        <f t="shared" si="2"/>
        <v>-4.8592040192216164</v>
      </c>
      <c r="P50" s="19"/>
      <c r="Q50" s="18"/>
      <c r="R50" s="18"/>
      <c r="S50" s="18"/>
    </row>
    <row r="51" spans="2:19" ht="19.5" customHeight="1">
      <c r="B51" s="525" t="s">
        <v>127</v>
      </c>
      <c r="C51" s="706">
        <f>IFERROR(AVERAGE(N42:N49),"")</f>
        <v>0.11693685360715964</v>
      </c>
      <c r="D51" s="706">
        <f>IFERROR(AVERAGE(O42:O49),"")</f>
        <v>-0.1132330851911586</v>
      </c>
      <c r="E51" s="707"/>
      <c r="F51" s="706">
        <f>IFERROR(AVERAGE(Q42:Q49),"")</f>
        <v>-3.3960260866585386</v>
      </c>
      <c r="G51" s="707"/>
      <c r="H51" s="706">
        <f>IFERROR(AVERAGE(S42:S49),"")</f>
        <v>0.19718922890660889</v>
      </c>
      <c r="I51" s="113"/>
      <c r="J51" s="949" t="s">
        <v>128</v>
      </c>
      <c r="K51" s="950"/>
      <c r="L51" s="711">
        <f>L43-L44+L47-L48-L49</f>
        <v>32917.1</v>
      </c>
      <c r="M51" s="712">
        <f>M43-M44+M47-M48-M49</f>
        <v>21640.1</v>
      </c>
    </row>
    <row r="52" spans="2:19" ht="19.5" customHeight="1">
      <c r="B52" s="525" t="s">
        <v>129</v>
      </c>
      <c r="C52" s="706">
        <f>IFERROR(STDEV(C42:C49)/AVERAGE(C42:C49),"")</f>
        <v>0.23637030418808705</v>
      </c>
      <c r="D52" s="706">
        <f>IFERROR(STDEV(D41:D49)/AVERAGE(D41:D49),"")</f>
        <v>0.56690678022512275</v>
      </c>
      <c r="E52" s="707"/>
      <c r="F52" s="708">
        <f>IFERROR(STDEV(F41:F49)/AVERAGE(F41:F49),"")</f>
        <v>1.2136905881197537</v>
      </c>
      <c r="G52" s="707"/>
      <c r="H52" s="706">
        <f>IFERROR(STDEV(H41:H49)/AVERAGE(H41:H49),"")</f>
        <v>0.41198873152202053</v>
      </c>
      <c r="I52" s="113"/>
      <c r="J52" s="784" t="s">
        <v>130</v>
      </c>
      <c r="K52" s="785"/>
      <c r="L52" s="713">
        <f>IFERROR(SUM(I46:I49)/(C49-C45),"")</f>
        <v>-0.6797449890346593</v>
      </c>
      <c r="M52" s="714">
        <f>IFERROR((SUM(I46:I49)-SUM(H46:H49))/(C49-C45),"")</f>
        <v>-0.99742242585358099</v>
      </c>
    </row>
    <row r="53" spans="2:19" ht="19.5" customHeight="1">
      <c r="B53" s="525" t="s">
        <v>131</v>
      </c>
      <c r="C53" s="706">
        <f>IFERROR(C49/C48-1,"")</f>
        <v>0.26119189922125452</v>
      </c>
      <c r="D53" s="706">
        <f>IFERROR(D49/D48-1,"")</f>
        <v>4.1275917559219888E-2</v>
      </c>
      <c r="E53" s="707"/>
      <c r="F53" s="706">
        <f>IFERROR(1-(F49/F48),"")</f>
        <v>9.2971660721363492</v>
      </c>
      <c r="G53" s="707"/>
      <c r="H53" s="706">
        <f>IFERROR(1-(H49/H48),"")</f>
        <v>-0.17682244137359859</v>
      </c>
      <c r="I53" s="113"/>
      <c r="J53" s="786" t="s">
        <v>132</v>
      </c>
      <c r="K53" s="787"/>
      <c r="L53" s="715">
        <f>IFERROR(L52/E22,"")</f>
        <v>-8.539036983950707</v>
      </c>
      <c r="M53" s="716">
        <f>IFERROR(M52/E22,"")</f>
        <v>-12.52973853486</v>
      </c>
    </row>
    <row r="54" spans="2:19" ht="18">
      <c r="B54" s="937" t="s">
        <v>133</v>
      </c>
      <c r="C54" s="853"/>
      <c r="D54" s="853"/>
      <c r="E54" s="853"/>
      <c r="F54" s="853"/>
      <c r="G54" s="853"/>
      <c r="H54" s="853"/>
      <c r="I54" s="853"/>
      <c r="J54" s="853"/>
      <c r="K54" s="853"/>
      <c r="L54" s="853"/>
      <c r="M54" s="938"/>
    </row>
    <row r="55" spans="2:19" ht="15.75">
      <c r="B55" s="929" t="s">
        <v>134</v>
      </c>
      <c r="C55" s="900"/>
      <c r="D55" s="900"/>
      <c r="E55" s="900"/>
      <c r="F55" s="900"/>
      <c r="G55" s="900"/>
      <c r="H55" s="900"/>
      <c r="I55" s="900"/>
      <c r="J55" s="900" t="s">
        <v>135</v>
      </c>
      <c r="K55" s="900"/>
      <c r="L55" s="900"/>
      <c r="M55" s="901"/>
    </row>
    <row r="56" spans="2:19">
      <c r="B56" s="946" t="s">
        <v>136</v>
      </c>
      <c r="C56" s="919"/>
      <c r="D56" s="919"/>
      <c r="E56" s="919" t="s">
        <v>137</v>
      </c>
      <c r="F56" s="919"/>
      <c r="G56" s="919"/>
      <c r="H56" s="919"/>
      <c r="I56" s="919"/>
      <c r="J56" s="919" t="s">
        <v>138</v>
      </c>
      <c r="K56" s="919"/>
      <c r="L56" s="919"/>
      <c r="M56" s="320" t="s">
        <v>139</v>
      </c>
    </row>
    <row r="57" spans="2:19" ht="15" customHeight="1">
      <c r="B57" s="930" t="s">
        <v>140</v>
      </c>
      <c r="C57" s="911"/>
      <c r="D57" s="912"/>
      <c r="E57" s="902" t="s">
        <v>141</v>
      </c>
      <c r="F57" s="911"/>
      <c r="G57" s="911"/>
      <c r="H57" s="911"/>
      <c r="I57" s="912"/>
      <c r="J57" s="933" t="s">
        <v>142</v>
      </c>
      <c r="K57" s="934"/>
      <c r="L57" s="934"/>
      <c r="M57" s="322">
        <v>8.2799999999999999E-2</v>
      </c>
    </row>
    <row r="58" spans="2:19" ht="15" customHeight="1">
      <c r="B58" s="947"/>
      <c r="C58" s="914"/>
      <c r="D58" s="915"/>
      <c r="E58" s="913"/>
      <c r="F58" s="914"/>
      <c r="G58" s="914"/>
      <c r="H58" s="914"/>
      <c r="I58" s="915"/>
      <c r="J58" s="933" t="s">
        <v>143</v>
      </c>
      <c r="K58" s="934"/>
      <c r="L58" s="934"/>
      <c r="M58" s="322">
        <v>6.6600000000000006E-2</v>
      </c>
    </row>
    <row r="59" spans="2:19" ht="15" customHeight="1">
      <c r="B59" s="947"/>
      <c r="C59" s="914"/>
      <c r="D59" s="915"/>
      <c r="E59" s="913"/>
      <c r="F59" s="914"/>
      <c r="G59" s="914"/>
      <c r="H59" s="914"/>
      <c r="I59" s="915"/>
      <c r="J59" s="933" t="s">
        <v>144</v>
      </c>
      <c r="K59" s="934"/>
      <c r="L59" s="934"/>
      <c r="M59" s="322">
        <v>6.6299999999999998E-2</v>
      </c>
    </row>
    <row r="60" spans="2:19" ht="15" customHeight="1">
      <c r="B60" s="947"/>
      <c r="C60" s="914"/>
      <c r="D60" s="915"/>
      <c r="E60" s="913"/>
      <c r="F60" s="914"/>
      <c r="G60" s="914"/>
      <c r="H60" s="914"/>
      <c r="I60" s="915"/>
      <c r="J60" s="933" t="s">
        <v>145</v>
      </c>
      <c r="K60" s="934"/>
      <c r="L60" s="934"/>
      <c r="M60" s="322">
        <v>6.6100000000000006E-2</v>
      </c>
    </row>
    <row r="61" spans="2:19">
      <c r="B61" s="947"/>
      <c r="C61" s="914"/>
      <c r="D61" s="915"/>
      <c r="E61" s="913"/>
      <c r="F61" s="914"/>
      <c r="G61" s="914"/>
      <c r="H61" s="914"/>
      <c r="I61" s="915"/>
      <c r="J61" s="933" t="s">
        <v>146</v>
      </c>
      <c r="K61" s="934"/>
      <c r="L61" s="934"/>
      <c r="M61" s="322">
        <v>5.8999999999999997E-2</v>
      </c>
    </row>
    <row r="62" spans="2:19">
      <c r="B62" s="947"/>
      <c r="C62" s="914"/>
      <c r="D62" s="915"/>
      <c r="E62" s="913"/>
      <c r="F62" s="914"/>
      <c r="G62" s="914"/>
      <c r="H62" s="914"/>
      <c r="I62" s="915"/>
      <c r="J62" s="933" t="s">
        <v>147</v>
      </c>
      <c r="K62" s="934"/>
      <c r="L62" s="934"/>
      <c r="M62" s="322">
        <v>0.05</v>
      </c>
    </row>
    <row r="63" spans="2:19">
      <c r="B63" s="947"/>
      <c r="C63" s="914"/>
      <c r="D63" s="915"/>
      <c r="E63" s="913"/>
      <c r="F63" s="914"/>
      <c r="G63" s="914"/>
      <c r="H63" s="914"/>
      <c r="I63" s="915"/>
      <c r="J63" s="933" t="s">
        <v>148</v>
      </c>
      <c r="K63" s="934"/>
      <c r="L63" s="934"/>
      <c r="M63" s="322">
        <v>4.5499999999999999E-2</v>
      </c>
    </row>
    <row r="64" spans="2:19">
      <c r="B64" s="947"/>
      <c r="C64" s="914"/>
      <c r="D64" s="915"/>
      <c r="E64" s="913"/>
      <c r="F64" s="914"/>
      <c r="G64" s="914"/>
      <c r="H64" s="914"/>
      <c r="I64" s="915"/>
      <c r="J64" s="933" t="s">
        <v>149</v>
      </c>
      <c r="K64" s="934"/>
      <c r="L64" s="934"/>
      <c r="M64" s="322">
        <v>4.3999999999999997E-2</v>
      </c>
    </row>
    <row r="65" spans="2:13">
      <c r="B65" s="947"/>
      <c r="C65" s="914"/>
      <c r="D65" s="915"/>
      <c r="E65" s="913"/>
      <c r="F65" s="914"/>
      <c r="G65" s="914"/>
      <c r="H65" s="914"/>
      <c r="I65" s="915"/>
      <c r="J65" s="933" t="s">
        <v>150</v>
      </c>
      <c r="K65" s="934"/>
      <c r="L65" s="934"/>
      <c r="M65" s="322">
        <v>4.3299999999999998E-2</v>
      </c>
    </row>
    <row r="66" spans="2:13">
      <c r="B66" s="948"/>
      <c r="C66" s="917"/>
      <c r="D66" s="918"/>
      <c r="E66" s="916"/>
      <c r="F66" s="917"/>
      <c r="G66" s="917"/>
      <c r="H66" s="917"/>
      <c r="I66" s="918"/>
      <c r="J66" s="933" t="s">
        <v>151</v>
      </c>
      <c r="K66" s="934"/>
      <c r="L66" s="934"/>
      <c r="M66" s="322">
        <v>4.0899999999999999E-2</v>
      </c>
    </row>
    <row r="67" spans="2:13">
      <c r="B67" s="946" t="s">
        <v>152</v>
      </c>
      <c r="C67" s="919"/>
      <c r="D67" s="919"/>
      <c r="E67" s="919" t="s">
        <v>153</v>
      </c>
      <c r="F67" s="919"/>
      <c r="G67" s="919"/>
      <c r="H67" s="919"/>
      <c r="I67" s="919"/>
      <c r="J67" s="933"/>
      <c r="K67" s="934"/>
      <c r="L67" s="934"/>
      <c r="M67" s="322"/>
    </row>
    <row r="68" spans="2:13" ht="15" customHeight="1">
      <c r="B68" s="930" t="s">
        <v>154</v>
      </c>
      <c r="C68" s="903"/>
      <c r="D68" s="904"/>
      <c r="E68" s="902" t="s">
        <v>155</v>
      </c>
      <c r="F68" s="903"/>
      <c r="G68" s="903"/>
      <c r="H68" s="903"/>
      <c r="I68" s="904"/>
      <c r="J68" s="933"/>
      <c r="K68" s="934"/>
      <c r="L68" s="934"/>
      <c r="M68" s="322"/>
    </row>
    <row r="69" spans="2:13" ht="15" customHeight="1">
      <c r="B69" s="931"/>
      <c r="C69" s="906"/>
      <c r="D69" s="907"/>
      <c r="E69" s="905"/>
      <c r="F69" s="906"/>
      <c r="G69" s="906"/>
      <c r="H69" s="906"/>
      <c r="I69" s="907"/>
      <c r="J69" s="933"/>
      <c r="K69" s="934"/>
      <c r="L69" s="934"/>
      <c r="M69" s="322"/>
    </row>
    <row r="70" spans="2:13" ht="15" customHeight="1">
      <c r="B70" s="931"/>
      <c r="C70" s="906"/>
      <c r="D70" s="907"/>
      <c r="E70" s="905"/>
      <c r="F70" s="906"/>
      <c r="G70" s="906"/>
      <c r="H70" s="906"/>
      <c r="I70" s="907"/>
      <c r="J70" s="933"/>
      <c r="K70" s="934"/>
      <c r="L70" s="934"/>
      <c r="M70" s="322"/>
    </row>
    <row r="71" spans="2:13" ht="15" customHeight="1">
      <c r="B71" s="931"/>
      <c r="C71" s="906"/>
      <c r="D71" s="907"/>
      <c r="E71" s="905"/>
      <c r="F71" s="906"/>
      <c r="G71" s="906"/>
      <c r="H71" s="906"/>
      <c r="I71" s="907"/>
      <c r="J71" s="933"/>
      <c r="K71" s="934"/>
      <c r="L71" s="934"/>
      <c r="M71" s="322"/>
    </row>
    <row r="72" spans="2:13">
      <c r="B72" s="931"/>
      <c r="C72" s="906"/>
      <c r="D72" s="907"/>
      <c r="E72" s="905"/>
      <c r="F72" s="906"/>
      <c r="G72" s="906"/>
      <c r="H72" s="906"/>
      <c r="I72" s="907"/>
      <c r="J72" s="933"/>
      <c r="K72" s="934"/>
      <c r="L72" s="934"/>
      <c r="M72" s="322"/>
    </row>
    <row r="73" spans="2:13">
      <c r="B73" s="931"/>
      <c r="C73" s="906"/>
      <c r="D73" s="907"/>
      <c r="E73" s="905"/>
      <c r="F73" s="906"/>
      <c r="G73" s="906"/>
      <c r="H73" s="906"/>
      <c r="I73" s="907"/>
      <c r="J73" s="933"/>
      <c r="K73" s="934"/>
      <c r="L73" s="934"/>
      <c r="M73" s="322"/>
    </row>
    <row r="74" spans="2:13">
      <c r="B74" s="931"/>
      <c r="C74" s="906"/>
      <c r="D74" s="907"/>
      <c r="E74" s="905"/>
      <c r="F74" s="906"/>
      <c r="G74" s="906"/>
      <c r="H74" s="906"/>
      <c r="I74" s="907"/>
      <c r="J74" s="933"/>
      <c r="K74" s="934"/>
      <c r="L74" s="934"/>
      <c r="M74" s="322"/>
    </row>
    <row r="75" spans="2:13">
      <c r="B75" s="931"/>
      <c r="C75" s="906"/>
      <c r="D75" s="907"/>
      <c r="E75" s="905"/>
      <c r="F75" s="906"/>
      <c r="G75" s="906"/>
      <c r="H75" s="906"/>
      <c r="I75" s="907"/>
      <c r="J75" s="935"/>
      <c r="K75" s="936"/>
      <c r="L75" s="936"/>
      <c r="M75" s="322"/>
    </row>
    <row r="76" spans="2:13">
      <c r="B76" s="932"/>
      <c r="C76" s="909"/>
      <c r="D76" s="910"/>
      <c r="E76" s="908"/>
      <c r="F76" s="909"/>
      <c r="G76" s="909"/>
      <c r="H76" s="909"/>
      <c r="I76" s="910"/>
      <c r="J76" s="935" t="s">
        <v>156</v>
      </c>
      <c r="K76" s="936"/>
      <c r="L76" s="936"/>
      <c r="M76" s="322">
        <f>SUM(M57:M75)</f>
        <v>0.5645</v>
      </c>
    </row>
    <row r="77" spans="2:13" ht="15.75">
      <c r="B77" s="940" t="s">
        <v>157</v>
      </c>
      <c r="C77" s="941"/>
      <c r="D77" s="941"/>
      <c r="E77" s="941"/>
      <c r="F77" s="941"/>
      <c r="G77" s="900" t="s">
        <v>158</v>
      </c>
      <c r="H77" s="900"/>
      <c r="I77" s="900"/>
      <c r="J77" s="900"/>
      <c r="K77" s="900"/>
      <c r="L77" s="900"/>
      <c r="M77" s="901"/>
    </row>
    <row r="78" spans="2:13" s="10" customFormat="1">
      <c r="B78" s="920" t="s">
        <v>159</v>
      </c>
      <c r="C78" s="921"/>
      <c r="D78" s="921"/>
      <c r="E78" s="921"/>
      <c r="F78" s="922"/>
      <c r="G78"/>
      <c r="H78"/>
      <c r="I78"/>
      <c r="J78"/>
      <c r="K78"/>
      <c r="L78"/>
      <c r="M78" s="48"/>
    </row>
    <row r="79" spans="2:13">
      <c r="B79" s="923"/>
      <c r="C79" s="924"/>
      <c r="D79" s="924"/>
      <c r="E79" s="924"/>
      <c r="F79" s="925"/>
      <c r="M79" s="48"/>
    </row>
    <row r="80" spans="2:13">
      <c r="B80" s="923"/>
      <c r="C80" s="924"/>
      <c r="D80" s="924"/>
      <c r="E80" s="924"/>
      <c r="F80" s="925"/>
      <c r="M80" s="48"/>
    </row>
    <row r="81" spans="2:13">
      <c r="B81" s="923"/>
      <c r="C81" s="924"/>
      <c r="D81" s="924"/>
      <c r="E81" s="924"/>
      <c r="F81" s="925"/>
      <c r="M81" s="48"/>
    </row>
    <row r="82" spans="2:13">
      <c r="B82" s="923"/>
      <c r="C82" s="924"/>
      <c r="D82" s="924"/>
      <c r="E82" s="924"/>
      <c r="F82" s="925"/>
      <c r="M82" s="48"/>
    </row>
    <row r="83" spans="2:13">
      <c r="B83" s="923"/>
      <c r="C83" s="924"/>
      <c r="D83" s="924"/>
      <c r="E83" s="924"/>
      <c r="F83" s="925"/>
      <c r="M83" s="48"/>
    </row>
    <row r="84" spans="2:13">
      <c r="B84" s="923"/>
      <c r="C84" s="924"/>
      <c r="D84" s="924"/>
      <c r="E84" s="924"/>
      <c r="F84" s="925"/>
      <c r="M84" s="48"/>
    </row>
    <row r="85" spans="2:13">
      <c r="B85" s="923"/>
      <c r="C85" s="924"/>
      <c r="D85" s="924"/>
      <c r="E85" s="924"/>
      <c r="F85" s="925"/>
      <c r="M85" s="48"/>
    </row>
    <row r="86" spans="2:13">
      <c r="B86" s="923"/>
      <c r="C86" s="924"/>
      <c r="D86" s="924"/>
      <c r="E86" s="924"/>
      <c r="F86" s="925"/>
      <c r="M86" s="48"/>
    </row>
    <row r="87" spans="2:13">
      <c r="B87" s="923"/>
      <c r="C87" s="924"/>
      <c r="D87" s="924"/>
      <c r="E87" s="924"/>
      <c r="F87" s="925"/>
      <c r="M87" s="48"/>
    </row>
    <row r="88" spans="2:13">
      <c r="B88" s="923"/>
      <c r="C88" s="924"/>
      <c r="D88" s="924"/>
      <c r="E88" s="924"/>
      <c r="F88" s="925"/>
      <c r="M88" s="48"/>
    </row>
    <row r="89" spans="2:13">
      <c r="B89" s="923"/>
      <c r="C89" s="924"/>
      <c r="D89" s="924"/>
      <c r="E89" s="924"/>
      <c r="F89" s="925"/>
      <c r="M89" s="48"/>
    </row>
    <row r="90" spans="2:13">
      <c r="B90" s="923"/>
      <c r="C90" s="924"/>
      <c r="D90" s="924"/>
      <c r="E90" s="924"/>
      <c r="F90" s="925"/>
      <c r="M90" s="48"/>
    </row>
    <row r="91" spans="2:13">
      <c r="B91" s="923"/>
      <c r="C91" s="924"/>
      <c r="D91" s="924"/>
      <c r="E91" s="924"/>
      <c r="F91" s="925"/>
      <c r="M91" s="48"/>
    </row>
    <row r="92" spans="2:13">
      <c r="B92" s="923"/>
      <c r="C92" s="924"/>
      <c r="D92" s="924"/>
      <c r="E92" s="924"/>
      <c r="F92" s="925"/>
      <c r="M92" s="48"/>
    </row>
    <row r="93" spans="2:13">
      <c r="B93" s="923"/>
      <c r="C93" s="924"/>
      <c r="D93" s="924"/>
      <c r="E93" s="924"/>
      <c r="F93" s="925"/>
      <c r="M93" s="48"/>
    </row>
    <row r="94" spans="2:13">
      <c r="B94" s="923"/>
      <c r="C94" s="924"/>
      <c r="D94" s="924"/>
      <c r="E94" s="924"/>
      <c r="F94" s="925"/>
      <c r="M94" s="48"/>
    </row>
    <row r="95" spans="2:13">
      <c r="B95" s="923"/>
      <c r="C95" s="924"/>
      <c r="D95" s="924"/>
      <c r="E95" s="924"/>
      <c r="F95" s="925"/>
      <c r="M95" s="48"/>
    </row>
    <row r="96" spans="2:13">
      <c r="B96" s="923"/>
      <c r="C96" s="924"/>
      <c r="D96" s="924"/>
      <c r="E96" s="924"/>
      <c r="F96" s="925"/>
      <c r="M96" s="48"/>
    </row>
    <row r="97" spans="2:13">
      <c r="B97" s="923"/>
      <c r="C97" s="924"/>
      <c r="D97" s="924"/>
      <c r="E97" s="924"/>
      <c r="F97" s="925"/>
      <c r="M97" s="48"/>
    </row>
    <row r="98" spans="2:13">
      <c r="B98" s="923"/>
      <c r="C98" s="924"/>
      <c r="D98" s="924"/>
      <c r="E98" s="924"/>
      <c r="F98" s="925"/>
      <c r="M98" s="48"/>
    </row>
    <row r="99" spans="2:13">
      <c r="B99" s="923"/>
      <c r="C99" s="924"/>
      <c r="D99" s="924"/>
      <c r="E99" s="924"/>
      <c r="F99" s="925"/>
      <c r="M99" s="48"/>
    </row>
    <row r="100" spans="2:13">
      <c r="B100" s="923"/>
      <c r="C100" s="924"/>
      <c r="D100" s="924"/>
      <c r="E100" s="924"/>
      <c r="F100" s="925"/>
      <c r="M100" s="48"/>
    </row>
    <row r="101" spans="2:13">
      <c r="B101" s="923"/>
      <c r="C101" s="924"/>
      <c r="D101" s="924"/>
      <c r="E101" s="924"/>
      <c r="F101" s="925"/>
      <c r="M101" s="48"/>
    </row>
    <row r="102" spans="2:13">
      <c r="B102" s="926"/>
      <c r="C102" s="927"/>
      <c r="D102" s="927"/>
      <c r="E102" s="927"/>
      <c r="F102" s="928"/>
      <c r="G102" s="899" t="e" vm="1">
        <f>E2</f>
        <v>#VALUE!</v>
      </c>
      <c r="H102" s="899"/>
      <c r="I102" s="526" t="e" vm="2">
        <f>Peers!C2</f>
        <v>#VALUE!</v>
      </c>
      <c r="J102" s="527" t="e" vm="3">
        <f>Peers!C3</f>
        <v>#VALUE!</v>
      </c>
      <c r="K102" s="528" t="e" vm="4">
        <f>Peers!C4</f>
        <v>#VALUE!</v>
      </c>
      <c r="L102" s="529" t="e" vm="5">
        <f>Peers!C5</f>
        <v>#VALUE!</v>
      </c>
      <c r="M102" s="530" t="e" vm="6">
        <f>Peers!C6</f>
        <v>#VALUE!</v>
      </c>
    </row>
  </sheetData>
  <mergeCells count="125">
    <mergeCell ref="B54:M54"/>
    <mergeCell ref="J40:M40"/>
    <mergeCell ref="B39:M39"/>
    <mergeCell ref="B77:F77"/>
    <mergeCell ref="J42:K42"/>
    <mergeCell ref="J43:K43"/>
    <mergeCell ref="J44:K44"/>
    <mergeCell ref="J45:K45"/>
    <mergeCell ref="J46:K46"/>
    <mergeCell ref="J47:K47"/>
    <mergeCell ref="J75:L75"/>
    <mergeCell ref="J71:L71"/>
    <mergeCell ref="J66:L66"/>
    <mergeCell ref="J67:L67"/>
    <mergeCell ref="J68:L68"/>
    <mergeCell ref="J69:L69"/>
    <mergeCell ref="B56:D56"/>
    <mergeCell ref="B67:D67"/>
    <mergeCell ref="B57:D66"/>
    <mergeCell ref="J55:M55"/>
    <mergeCell ref="J48:K48"/>
    <mergeCell ref="J49:K49"/>
    <mergeCell ref="J50:K50"/>
    <mergeCell ref="J51:K51"/>
    <mergeCell ref="G102:H102"/>
    <mergeCell ref="G77:M77"/>
    <mergeCell ref="E68:I76"/>
    <mergeCell ref="E57:I66"/>
    <mergeCell ref="J56:L56"/>
    <mergeCell ref="E67:I67"/>
    <mergeCell ref="E56:I56"/>
    <mergeCell ref="B78:F102"/>
    <mergeCell ref="B55:I55"/>
    <mergeCell ref="B68:D76"/>
    <mergeCell ref="J59:L59"/>
    <mergeCell ref="J60:L60"/>
    <mergeCell ref="J61:L61"/>
    <mergeCell ref="J62:L62"/>
    <mergeCell ref="J63:L63"/>
    <mergeCell ref="J64:L64"/>
    <mergeCell ref="J65:L65"/>
    <mergeCell ref="J57:L57"/>
    <mergeCell ref="J58:L58"/>
    <mergeCell ref="J70:L70"/>
    <mergeCell ref="J72:L72"/>
    <mergeCell ref="J73:L73"/>
    <mergeCell ref="J74:L74"/>
    <mergeCell ref="J76:L76"/>
    <mergeCell ref="C38:G38"/>
    <mergeCell ref="C37:G37"/>
    <mergeCell ref="I24:J24"/>
    <mergeCell ref="I25:J25"/>
    <mergeCell ref="I26:J26"/>
    <mergeCell ref="I29:M29"/>
    <mergeCell ref="B34:G34"/>
    <mergeCell ref="C35:G35"/>
    <mergeCell ref="C30:G30"/>
    <mergeCell ref="C31:G31"/>
    <mergeCell ref="L35:M36"/>
    <mergeCell ref="L37:M38"/>
    <mergeCell ref="F22:G24"/>
    <mergeCell ref="F25:G27"/>
    <mergeCell ref="H25:H27"/>
    <mergeCell ref="H22:H24"/>
    <mergeCell ref="B29:G29"/>
    <mergeCell ref="C36:G36"/>
    <mergeCell ref="I35:K36"/>
    <mergeCell ref="I37:K38"/>
    <mergeCell ref="B12:C12"/>
    <mergeCell ref="B3:C11"/>
    <mergeCell ref="L14:M14"/>
    <mergeCell ref="B14:C14"/>
    <mergeCell ref="D14:E14"/>
    <mergeCell ref="B13:M13"/>
    <mergeCell ref="J12:K12"/>
    <mergeCell ref="L12:M12"/>
    <mergeCell ref="L8:M8"/>
    <mergeCell ref="L9:M9"/>
    <mergeCell ref="L10:M10"/>
    <mergeCell ref="L11:M11"/>
    <mergeCell ref="J6:K6"/>
    <mergeCell ref="J7:K7"/>
    <mergeCell ref="J9:K9"/>
    <mergeCell ref="J10:K10"/>
    <mergeCell ref="J11:K11"/>
    <mergeCell ref="J8:K8"/>
    <mergeCell ref="F18:G18"/>
    <mergeCell ref="F19:G19"/>
    <mergeCell ref="F20:G20"/>
    <mergeCell ref="F16:G16"/>
    <mergeCell ref="J4:K4"/>
    <mergeCell ref="I34:M34"/>
    <mergeCell ref="I14:K14"/>
    <mergeCell ref="J5:K5"/>
    <mergeCell ref="L4:M4"/>
    <mergeCell ref="L5:M5"/>
    <mergeCell ref="L6:M6"/>
    <mergeCell ref="L7:M7"/>
    <mergeCell ref="I22:J22"/>
    <mergeCell ref="I23:J23"/>
    <mergeCell ref="I30:M33"/>
    <mergeCell ref="O2:U6"/>
    <mergeCell ref="J52:K52"/>
    <mergeCell ref="J53:K53"/>
    <mergeCell ref="B24:C24"/>
    <mergeCell ref="B28:M28"/>
    <mergeCell ref="H35:H38"/>
    <mergeCell ref="J15:K15"/>
    <mergeCell ref="H30:H33"/>
    <mergeCell ref="C32:G32"/>
    <mergeCell ref="C33:G33"/>
    <mergeCell ref="E2:K2"/>
    <mergeCell ref="F15:G15"/>
    <mergeCell ref="F21:G21"/>
    <mergeCell ref="J16:K16"/>
    <mergeCell ref="I17:J17"/>
    <mergeCell ref="I18:J18"/>
    <mergeCell ref="I19:J19"/>
    <mergeCell ref="I20:J20"/>
    <mergeCell ref="I21:J21"/>
    <mergeCell ref="D4:G12"/>
    <mergeCell ref="D3:G3"/>
    <mergeCell ref="H3:M3"/>
    <mergeCell ref="F14:H14"/>
    <mergeCell ref="F17:G17"/>
  </mergeCells>
  <phoneticPr fontId="0" type="noConversion"/>
  <conditionalFormatting sqref="C41:C49 D41:E41">
    <cfRule type="dataBar" priority="11">
      <dataBar>
        <cfvo type="min"/>
        <cfvo type="max"/>
        <color rgb="FF63C384"/>
      </dataBar>
      <extLst>
        <ext xmlns:x14="http://schemas.microsoft.com/office/spreadsheetml/2009/9/main" uri="{B025F937-C7B1-47D3-B67F-A62EFF666E3E}">
          <x14:id>{F4773E1D-8C81-41A2-B9F2-E9E8E2054B23}</x14:id>
        </ext>
      </extLst>
    </cfRule>
  </conditionalFormatting>
  <conditionalFormatting sqref="D41:D49">
    <cfRule type="dataBar" priority="10">
      <dataBar>
        <cfvo type="min"/>
        <cfvo type="max"/>
        <color rgb="FF638EC6"/>
      </dataBar>
      <extLst>
        <ext xmlns:x14="http://schemas.microsoft.com/office/spreadsheetml/2009/9/main" uri="{B025F937-C7B1-47D3-B67F-A62EFF666E3E}">
          <x14:id>{AB45923C-EAD5-474F-8382-F5BEE7164463}</x14:id>
        </ext>
      </extLst>
    </cfRule>
  </conditionalFormatting>
  <conditionalFormatting sqref="D42:D49">
    <cfRule type="dataBar" priority="17">
      <dataBar>
        <cfvo type="min"/>
        <cfvo type="max"/>
        <color rgb="FF638EC6"/>
      </dataBar>
      <extLst>
        <ext xmlns:x14="http://schemas.microsoft.com/office/spreadsheetml/2009/9/main" uri="{B025F937-C7B1-47D3-B67F-A62EFF666E3E}">
          <x14:id>{8F05AC94-FB75-41DC-A030-BD50695363B2}</x14:id>
        </ext>
      </extLst>
    </cfRule>
    <cfRule type="dataBar" priority="19">
      <dataBar>
        <cfvo type="min"/>
        <cfvo type="max"/>
        <color rgb="FF63C384"/>
      </dataBar>
      <extLst>
        <ext xmlns:x14="http://schemas.microsoft.com/office/spreadsheetml/2009/9/main" uri="{B025F937-C7B1-47D3-B67F-A62EFF666E3E}">
          <x14:id>{16E131EF-4CFA-4C45-B407-C7FA5F1CCD58}</x14:id>
        </ext>
      </extLst>
    </cfRule>
  </conditionalFormatting>
  <conditionalFormatting sqref="E41:E49">
    <cfRule type="dataBar" priority="9">
      <dataBar>
        <cfvo type="min"/>
        <cfvo type="max"/>
        <color rgb="FFFF555A"/>
      </dataBar>
      <extLst>
        <ext xmlns:x14="http://schemas.microsoft.com/office/spreadsheetml/2009/9/main" uri="{B025F937-C7B1-47D3-B67F-A62EFF666E3E}">
          <x14:id>{4C108334-4BC4-4B0F-A919-0620BA53FECB}</x14:id>
        </ext>
      </extLst>
    </cfRule>
  </conditionalFormatting>
  <conditionalFormatting sqref="E42:E49">
    <cfRule type="dataBar" priority="12">
      <dataBar>
        <cfvo type="min"/>
        <cfvo type="max"/>
        <color rgb="FF63C384"/>
      </dataBar>
      <extLst>
        <ext xmlns:x14="http://schemas.microsoft.com/office/spreadsheetml/2009/9/main" uri="{B025F937-C7B1-47D3-B67F-A62EFF666E3E}">
          <x14:id>{3D2B4733-6086-41B3-B3A7-1CB39146AAEB}</x14:id>
        </ext>
      </extLst>
    </cfRule>
  </conditionalFormatting>
  <conditionalFormatting sqref="E50:E53 G50:G53 I50:I53">
    <cfRule type="dataBar" priority="14">
      <dataBar>
        <cfvo type="min"/>
        <cfvo type="max"/>
        <color rgb="FF638EC6"/>
      </dataBar>
      <extLst>
        <ext xmlns:x14="http://schemas.microsoft.com/office/spreadsheetml/2009/9/main" uri="{B025F937-C7B1-47D3-B67F-A62EFF666E3E}">
          <x14:id>{4382A5A4-8938-4754-913D-04C8EB3E9944}</x14:id>
        </ext>
      </extLst>
    </cfRule>
    <cfRule type="dataBar" priority="15">
      <dataBar>
        <cfvo type="min"/>
        <cfvo type="max"/>
        <color rgb="FF63C384"/>
      </dataBar>
      <extLst>
        <ext xmlns:x14="http://schemas.microsoft.com/office/spreadsheetml/2009/9/main" uri="{B025F937-C7B1-47D3-B67F-A62EFF666E3E}">
          <x14:id>{CA48BEF9-536B-483E-93D1-1D70FAC05115}</x14:id>
        </ext>
      </extLst>
    </cfRule>
  </conditionalFormatting>
  <conditionalFormatting sqref="F41:F49">
    <cfRule type="dataBar" priority="16">
      <dataBar>
        <cfvo type="min"/>
        <cfvo type="max"/>
        <color rgb="FF63C384"/>
      </dataBar>
      <extLst>
        <ext xmlns:x14="http://schemas.microsoft.com/office/spreadsheetml/2009/9/main" uri="{B025F937-C7B1-47D3-B67F-A62EFF666E3E}">
          <x14:id>{FD1FEF9A-F365-4DFE-A927-1852D99D71EB}</x14:id>
        </ext>
      </extLst>
    </cfRule>
  </conditionalFormatting>
  <conditionalFormatting sqref="G41:G49">
    <cfRule type="dataBar" priority="18">
      <dataBar>
        <cfvo type="min"/>
        <cfvo type="max"/>
        <color rgb="FF63C384"/>
      </dataBar>
      <extLst>
        <ext xmlns:x14="http://schemas.microsoft.com/office/spreadsheetml/2009/9/main" uri="{B025F937-C7B1-47D3-B67F-A62EFF666E3E}">
          <x14:id>{ADD19CCF-E818-42F8-BF99-60EF2D3A801A}</x14:id>
        </ext>
      </extLst>
    </cfRule>
  </conditionalFormatting>
  <conditionalFormatting sqref="H16:H20">
    <cfRule type="dataBar" priority="8">
      <dataBar>
        <cfvo type="min"/>
        <cfvo type="max"/>
        <color rgb="FF638EC6"/>
      </dataBar>
      <extLst>
        <ext xmlns:x14="http://schemas.microsoft.com/office/spreadsheetml/2009/9/main" uri="{B025F937-C7B1-47D3-B67F-A62EFF666E3E}">
          <x14:id>{FB1A4ECC-D3E1-4C53-9ADF-103FFC3A87EE}</x14:id>
        </ext>
      </extLst>
    </cfRule>
  </conditionalFormatting>
  <conditionalFormatting sqref="H25 H22">
    <cfRule type="dataBar" priority="7">
      <dataBar>
        <cfvo type="min"/>
        <cfvo type="max"/>
        <color rgb="FF638EC6"/>
      </dataBar>
      <extLst>
        <ext xmlns:x14="http://schemas.microsoft.com/office/spreadsheetml/2009/9/main" uri="{B025F937-C7B1-47D3-B67F-A62EFF666E3E}">
          <x14:id>{6EB89896-7685-489D-A212-BEDCDA6C1614}</x14:id>
        </ext>
      </extLst>
    </cfRule>
  </conditionalFormatting>
  <conditionalFormatting sqref="H41:H49">
    <cfRule type="dataBar" priority="21">
      <dataBar>
        <cfvo type="min"/>
        <cfvo type="max"/>
        <color rgb="FF63C384"/>
      </dataBar>
      <extLst>
        <ext xmlns:x14="http://schemas.microsoft.com/office/spreadsheetml/2009/9/main" uri="{B025F937-C7B1-47D3-B67F-A62EFF666E3E}">
          <x14:id>{595E424D-F3AE-4040-A937-2E859AA15AD2}</x14:id>
        </ext>
      </extLst>
    </cfRule>
  </conditionalFormatting>
  <conditionalFormatting sqref="I41:I49">
    <cfRule type="dataBar" priority="13">
      <dataBar>
        <cfvo type="min"/>
        <cfvo type="max"/>
        <color rgb="FF63C384"/>
      </dataBar>
      <extLst>
        <ext xmlns:x14="http://schemas.microsoft.com/office/spreadsheetml/2009/9/main" uri="{B025F937-C7B1-47D3-B67F-A62EFF666E3E}">
          <x14:id>{60823727-C433-4BFE-A422-F2DB16A0B39B}</x14:id>
        </ext>
      </extLst>
    </cfRule>
  </conditionalFormatting>
  <conditionalFormatting sqref="L37:M38">
    <cfRule type="cellIs" dxfId="27" priority="1" operator="lessThan">
      <formula>0</formula>
    </cfRule>
    <cfRule type="cellIs" dxfId="26" priority="2" operator="greaterThan">
      <formula>0</formula>
    </cfRule>
  </conditionalFormatting>
  <conditionalFormatting sqref="M35:M38">
    <cfRule type="cellIs" dxfId="25" priority="3" operator="lessThan">
      <formula>0</formula>
    </cfRule>
    <cfRule type="cellIs" dxfId="24" priority="4" operator="greaterThan">
      <formula>0</formula>
    </cfRule>
  </conditionalFormatting>
  <printOptions horizontalCentered="1" verticalCentered="1"/>
  <pageMargins left="0" right="0" top="0.19685039370078741" bottom="0.19685039370078741" header="0" footer="0"/>
  <pageSetup paperSize="134" scale="64" orientation="landscape" r:id="rId1"/>
  <headerFooter alignWithMargins="0"/>
  <ignoredErrors>
    <ignoredError sqref="N42:S52" evalError="1"/>
  </ignoredErrors>
  <drawing r:id="rId2"/>
  <legacyDrawing r:id="rId3"/>
  <extLst>
    <ext xmlns:x14="http://schemas.microsoft.com/office/spreadsheetml/2009/9/main" uri="{78C0D931-6437-407d-A8EE-F0AAD7539E65}">
      <x14:conditionalFormattings>
        <x14:conditionalFormatting xmlns:xm="http://schemas.microsoft.com/office/excel/2006/main">
          <x14:cfRule type="dataBar" id="{F4773E1D-8C81-41A2-B9F2-E9E8E2054B23}">
            <x14:dataBar minLength="0" maxLength="100" border="1" negativeBarBorderColorSameAsPositive="0">
              <x14:cfvo type="autoMin"/>
              <x14:cfvo type="autoMax"/>
              <x14:borderColor rgb="FF63C384"/>
              <x14:negativeFillColor rgb="FFFF0000"/>
              <x14:negativeBorderColor rgb="FFFF0000"/>
              <x14:axisColor rgb="FF000000"/>
            </x14:dataBar>
          </x14:cfRule>
          <xm:sqref>C41:C49 D41:E41</xm:sqref>
        </x14:conditionalFormatting>
        <x14:conditionalFormatting xmlns:xm="http://schemas.microsoft.com/office/excel/2006/main">
          <x14:cfRule type="dataBar" id="{AB45923C-EAD5-474F-8382-F5BEE7164463}">
            <x14:dataBar minLength="0" maxLength="100" gradient="0">
              <x14:cfvo type="autoMin"/>
              <x14:cfvo type="autoMax"/>
              <x14:negativeFillColor rgb="FFFF0000"/>
              <x14:axisColor rgb="FF000000"/>
            </x14:dataBar>
          </x14:cfRule>
          <xm:sqref>D41:D49</xm:sqref>
        </x14:conditionalFormatting>
        <x14:conditionalFormatting xmlns:xm="http://schemas.microsoft.com/office/excel/2006/main">
          <x14:cfRule type="dataBar" id="{8F05AC94-FB75-41DC-A030-BD50695363B2}">
            <x14:dataBar minLength="0" maxLength="100" gradient="0">
              <x14:cfvo type="autoMin"/>
              <x14:cfvo type="autoMax"/>
              <x14:negativeFillColor rgb="FFFF0000"/>
              <x14:axisColor rgb="FF000000"/>
            </x14:dataBar>
          </x14:cfRule>
          <x14:cfRule type="dataBar" id="{16E131EF-4CFA-4C45-B407-C7FA5F1CCD58}">
            <x14:dataBar minLength="0" maxLength="100" gradient="0">
              <x14:cfvo type="autoMin"/>
              <x14:cfvo type="autoMax"/>
              <x14:negativeFillColor rgb="FFFF0000"/>
              <x14:axisColor rgb="FF000000"/>
            </x14:dataBar>
          </x14:cfRule>
          <xm:sqref>D42:D49</xm:sqref>
        </x14:conditionalFormatting>
        <x14:conditionalFormatting xmlns:xm="http://schemas.microsoft.com/office/excel/2006/main">
          <x14:cfRule type="dataBar" id="{4C108334-4BC4-4B0F-A919-0620BA53FECB}">
            <x14:dataBar minLength="0" maxLength="100" border="1" negativeBarBorderColorSameAsPositive="0">
              <x14:cfvo type="autoMin"/>
              <x14:cfvo type="autoMax"/>
              <x14:borderColor rgb="FFFF555A"/>
              <x14:negativeFillColor rgb="FFFF0000"/>
              <x14:negativeBorderColor rgb="FFFF0000"/>
              <x14:axisColor rgb="FF000000"/>
            </x14:dataBar>
          </x14:cfRule>
          <xm:sqref>E41:E49</xm:sqref>
        </x14:conditionalFormatting>
        <x14:conditionalFormatting xmlns:xm="http://schemas.microsoft.com/office/excel/2006/main">
          <x14:cfRule type="dataBar" id="{3D2B4733-6086-41B3-B3A7-1CB39146AAEB}">
            <x14:dataBar minLength="0" maxLength="100" border="1" negativeBarBorderColorSameAsPositive="0">
              <x14:cfvo type="autoMin"/>
              <x14:cfvo type="autoMax"/>
              <x14:borderColor rgb="FF63C384"/>
              <x14:negativeFillColor rgb="FFFF0000"/>
              <x14:negativeBorderColor rgb="FFFF0000"/>
              <x14:axisColor rgb="FF000000"/>
            </x14:dataBar>
          </x14:cfRule>
          <xm:sqref>E42:E49</xm:sqref>
        </x14:conditionalFormatting>
        <x14:conditionalFormatting xmlns:xm="http://schemas.microsoft.com/office/excel/2006/main">
          <x14:cfRule type="dataBar" id="{4382A5A4-8938-4754-913D-04C8EB3E9944}">
            <x14:dataBar minLength="0" maxLength="100" gradient="0">
              <x14:cfvo type="autoMin"/>
              <x14:cfvo type="autoMax"/>
              <x14:negativeFillColor rgb="FFFF0000"/>
              <x14:axisColor rgb="FF000000"/>
            </x14:dataBar>
          </x14:cfRule>
          <x14:cfRule type="dataBar" id="{CA48BEF9-536B-483E-93D1-1D70FAC05115}">
            <x14:dataBar minLength="0" maxLength="100" gradient="0">
              <x14:cfvo type="autoMin"/>
              <x14:cfvo type="autoMax"/>
              <x14:negativeFillColor rgb="FFFF0000"/>
              <x14:axisColor rgb="FF000000"/>
            </x14:dataBar>
          </x14:cfRule>
          <xm:sqref>E50:E53 G50:G53 I50:I53</xm:sqref>
        </x14:conditionalFormatting>
        <x14:conditionalFormatting xmlns:xm="http://schemas.microsoft.com/office/excel/2006/main">
          <x14:cfRule type="dataBar" id="{FD1FEF9A-F365-4DFE-A927-1852D99D71EB}">
            <x14:dataBar minLength="0" maxLength="100" gradient="0">
              <x14:cfvo type="autoMin"/>
              <x14:cfvo type="autoMax"/>
              <x14:negativeFillColor rgb="FFFF0000"/>
              <x14:axisColor rgb="FF000000"/>
            </x14:dataBar>
          </x14:cfRule>
          <xm:sqref>F41:F49</xm:sqref>
        </x14:conditionalFormatting>
        <x14:conditionalFormatting xmlns:xm="http://schemas.microsoft.com/office/excel/2006/main">
          <x14:cfRule type="dataBar" id="{ADD19CCF-E818-42F8-BF99-60EF2D3A801A}">
            <x14:dataBar minLength="0" maxLength="100" border="1" negativeBarBorderColorSameAsPositive="0">
              <x14:cfvo type="autoMin"/>
              <x14:cfvo type="autoMax"/>
              <x14:borderColor rgb="FF63C384"/>
              <x14:negativeFillColor rgb="FFFF0000"/>
              <x14:negativeBorderColor rgb="FFFF0000"/>
              <x14:axisColor rgb="FF000000"/>
            </x14:dataBar>
          </x14:cfRule>
          <xm:sqref>G41:G49</xm:sqref>
        </x14:conditionalFormatting>
        <x14:conditionalFormatting xmlns:xm="http://schemas.microsoft.com/office/excel/2006/main">
          <x14:cfRule type="dataBar" id="{FB1A4ECC-D3E1-4C53-9ADF-103FFC3A87EE}">
            <x14:dataBar minLength="0" maxLength="100" border="1" negativeBarBorderColorSameAsPositive="0">
              <x14:cfvo type="autoMin"/>
              <x14:cfvo type="autoMax"/>
              <x14:borderColor rgb="FF638EC6"/>
              <x14:negativeFillColor rgb="FFFF0000"/>
              <x14:negativeBorderColor rgb="FFFF0000"/>
              <x14:axisColor rgb="FF000000"/>
            </x14:dataBar>
          </x14:cfRule>
          <xm:sqref>H16:H20</xm:sqref>
        </x14:conditionalFormatting>
        <x14:conditionalFormatting xmlns:xm="http://schemas.microsoft.com/office/excel/2006/main">
          <x14:cfRule type="dataBar" id="{6EB89896-7685-489D-A212-BEDCDA6C1614}">
            <x14:dataBar minLength="0" maxLength="100" border="1" negativeBarBorderColorSameAsPositive="0">
              <x14:cfvo type="autoMin"/>
              <x14:cfvo type="autoMax"/>
              <x14:borderColor rgb="FF638EC6"/>
              <x14:negativeFillColor rgb="FFFF0000"/>
              <x14:negativeBorderColor rgb="FFFF0000"/>
              <x14:axisColor rgb="FF000000"/>
            </x14:dataBar>
          </x14:cfRule>
          <xm:sqref>H25 H22</xm:sqref>
        </x14:conditionalFormatting>
        <x14:conditionalFormatting xmlns:xm="http://schemas.microsoft.com/office/excel/2006/main">
          <x14:cfRule type="dataBar" id="{595E424D-F3AE-4040-A937-2E859AA15AD2}">
            <x14:dataBar minLength="0" maxLength="100" border="1" negativeBarBorderColorSameAsPositive="0">
              <x14:cfvo type="autoMin"/>
              <x14:cfvo type="autoMax"/>
              <x14:borderColor rgb="FF63C384"/>
              <x14:negativeFillColor rgb="FFFF0000"/>
              <x14:negativeBorderColor rgb="FFFF0000"/>
              <x14:axisColor rgb="FF000000"/>
            </x14:dataBar>
          </x14:cfRule>
          <xm:sqref>H41:H49</xm:sqref>
        </x14:conditionalFormatting>
        <x14:conditionalFormatting xmlns:xm="http://schemas.microsoft.com/office/excel/2006/main">
          <x14:cfRule type="dataBar" id="{60823727-C433-4BFE-A422-F2DB16A0B39B}">
            <x14:dataBar minLength="0" maxLength="100" border="1" negativeBarBorderColorSameAsPositive="0">
              <x14:cfvo type="autoMin"/>
              <x14:cfvo type="autoMax"/>
              <x14:borderColor rgb="FF63C384"/>
              <x14:negativeFillColor rgb="FFFF0000"/>
              <x14:negativeBorderColor rgb="FFFF0000"/>
              <x14:axisColor rgb="FF000000"/>
            </x14:dataBar>
          </x14:cfRule>
          <xm:sqref>I41:I49</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tabColor theme="9"/>
  </sheetPr>
  <dimension ref="B1:Y100"/>
  <sheetViews>
    <sheetView showGridLines="0" zoomScale="78" zoomScaleNormal="55" workbookViewId="0">
      <selection activeCell="X40" sqref="X40"/>
    </sheetView>
  </sheetViews>
  <sheetFormatPr defaultColWidth="11.42578125" defaultRowHeight="12.75"/>
  <cols>
    <col min="1" max="1" width="2.140625" customWidth="1"/>
    <col min="2" max="2" width="11.140625" customWidth="1"/>
    <col min="3" max="3" width="30.42578125" customWidth="1"/>
    <col min="4" max="4" width="15.42578125" style="2" customWidth="1"/>
    <col min="5" max="9" width="15.42578125" customWidth="1"/>
    <col min="10" max="10" width="11.42578125" customWidth="1"/>
    <col min="11" max="11" width="14.140625" customWidth="1"/>
    <col min="12" max="12" width="14.42578125" customWidth="1"/>
    <col min="17" max="17" width="12.5703125" customWidth="1"/>
  </cols>
  <sheetData>
    <row r="1" spans="2:25" ht="7.5" customHeight="1"/>
    <row r="2" spans="2:25" ht="21" thickBot="1">
      <c r="B2" s="955" t="str">
        <f>"Categories "&amp;"("&amp;OP!$J$15&amp;")"</f>
        <v>Categories (2023)</v>
      </c>
      <c r="C2" s="956"/>
      <c r="D2" s="956"/>
      <c r="E2" s="956"/>
      <c r="F2" s="956"/>
      <c r="G2" s="956"/>
      <c r="H2" s="956"/>
      <c r="I2" s="956"/>
      <c r="J2" s="956"/>
      <c r="K2" s="956"/>
      <c r="L2" s="956"/>
      <c r="M2" s="956"/>
      <c r="N2" s="956"/>
      <c r="O2" s="956"/>
      <c r="P2" s="956"/>
      <c r="Q2" s="951" t="s">
        <v>160</v>
      </c>
      <c r="R2" s="952"/>
      <c r="S2" s="952"/>
      <c r="T2" s="952"/>
      <c r="U2" s="952"/>
      <c r="V2" s="952"/>
      <c r="W2" s="952"/>
      <c r="X2" s="952"/>
      <c r="Y2" s="953"/>
    </row>
    <row r="3" spans="2:25" ht="18.75" thickBot="1">
      <c r="B3" s="150"/>
      <c r="C3" s="151"/>
      <c r="D3" s="972" t="s">
        <v>161</v>
      </c>
      <c r="E3" s="972"/>
      <c r="F3" s="972"/>
      <c r="G3" s="972"/>
      <c r="H3" s="972"/>
      <c r="I3" s="973"/>
      <c r="J3" s="130"/>
      <c r="K3" s="954" t="s">
        <v>162</v>
      </c>
      <c r="L3" s="954"/>
      <c r="M3" s="954"/>
      <c r="N3" s="954"/>
      <c r="O3" s="954"/>
      <c r="P3" s="954"/>
      <c r="Q3" s="121"/>
      <c r="Y3" s="145"/>
    </row>
    <row r="4" spans="2:25" ht="13.5" thickBot="1">
      <c r="B4" s="136" t="s">
        <v>163</v>
      </c>
      <c r="C4" s="137" t="s">
        <v>164</v>
      </c>
      <c r="D4" s="138">
        <f>OP!J15</f>
        <v>2023</v>
      </c>
      <c r="E4" s="138">
        <f>D4-1</f>
        <v>2022</v>
      </c>
      <c r="F4" s="138">
        <f>E4-1</f>
        <v>2021</v>
      </c>
      <c r="G4" s="138">
        <f>F4-1</f>
        <v>2020</v>
      </c>
      <c r="H4" s="138">
        <f>G4-1</f>
        <v>2019</v>
      </c>
      <c r="I4" s="138">
        <f>H4-1</f>
        <v>2018</v>
      </c>
      <c r="J4" s="131"/>
      <c r="K4" s="138">
        <f>OP!J15</f>
        <v>2023</v>
      </c>
      <c r="L4" s="138">
        <f t="shared" ref="L4:P4" si="0">K4-1</f>
        <v>2022</v>
      </c>
      <c r="M4" s="138">
        <f t="shared" si="0"/>
        <v>2021</v>
      </c>
      <c r="N4" s="138">
        <f t="shared" si="0"/>
        <v>2020</v>
      </c>
      <c r="O4" s="138">
        <f t="shared" si="0"/>
        <v>2019</v>
      </c>
      <c r="P4" s="152">
        <f t="shared" si="0"/>
        <v>2018</v>
      </c>
      <c r="Q4" s="121"/>
      <c r="Y4" s="145"/>
    </row>
    <row r="5" spans="2:25">
      <c r="B5" s="134">
        <f t="shared" ref="B5:B12" si="1">IFERROR(D5/$D$13,"")</f>
        <v>0.88491970249191598</v>
      </c>
      <c r="C5" s="135" t="s">
        <v>165</v>
      </c>
      <c r="D5" s="139">
        <v>153278.79999999999</v>
      </c>
      <c r="E5" s="139">
        <v>121890.9</v>
      </c>
      <c r="F5" s="139">
        <v>121307.2</v>
      </c>
      <c r="G5" s="139">
        <v>92385.9</v>
      </c>
      <c r="H5" s="139">
        <v>86251.4</v>
      </c>
      <c r="I5" s="139">
        <v>91597.1</v>
      </c>
      <c r="J5" s="132"/>
      <c r="K5" s="230">
        <f t="shared" ref="K5:O10" si="2">(D5-E5)/E5</f>
        <v>0.25750814868050032</v>
      </c>
      <c r="L5" s="230">
        <f t="shared" si="2"/>
        <v>4.8117506627800913E-3</v>
      </c>
      <c r="M5" s="230">
        <f t="shared" si="2"/>
        <v>0.31304885269288935</v>
      </c>
      <c r="N5" s="230">
        <f t="shared" si="2"/>
        <v>7.1123483213026112E-2</v>
      </c>
      <c r="O5" s="230">
        <f t="shared" si="2"/>
        <v>-5.8361017979826998E-2</v>
      </c>
      <c r="P5" s="230" t="s">
        <v>17</v>
      </c>
      <c r="Q5" s="121"/>
      <c r="Y5" s="145"/>
    </row>
    <row r="6" spans="2:25">
      <c r="B6" s="134">
        <f t="shared" si="1"/>
        <v>7.282632102491686E-2</v>
      </c>
      <c r="C6" s="135" t="s">
        <v>166</v>
      </c>
      <c r="D6" s="139">
        <v>12614.4</v>
      </c>
      <c r="E6" s="139">
        <v>8008.2</v>
      </c>
      <c r="F6" s="139">
        <v>6872.1</v>
      </c>
      <c r="G6" s="139">
        <v>5141</v>
      </c>
      <c r="H6" s="139">
        <v>4292.6000000000004</v>
      </c>
      <c r="I6" s="139">
        <v>3746</v>
      </c>
      <c r="J6" s="132"/>
      <c r="K6" s="230">
        <f t="shared" ref="K6:O9" si="3">(D6-E6)/E6</f>
        <v>0.5751854349291976</v>
      </c>
      <c r="L6" s="230">
        <f t="shared" si="3"/>
        <v>0.16532064434452343</v>
      </c>
      <c r="M6" s="230">
        <f t="shared" si="3"/>
        <v>0.33672437269013816</v>
      </c>
      <c r="N6" s="230">
        <f t="shared" si="3"/>
        <v>0.19764245445650644</v>
      </c>
      <c r="O6" s="230">
        <f t="shared" si="3"/>
        <v>0.14591564335290988</v>
      </c>
      <c r="P6" s="230" t="s">
        <v>17</v>
      </c>
      <c r="Q6" s="121"/>
      <c r="Y6" s="145"/>
    </row>
    <row r="7" spans="2:25">
      <c r="B7" s="134">
        <f t="shared" si="1"/>
        <v>1.6473444984501665E-2</v>
      </c>
      <c r="C7" s="135" t="s">
        <v>167</v>
      </c>
      <c r="D7" s="139">
        <v>2853.4</v>
      </c>
      <c r="E7" s="139">
        <v>2565.4</v>
      </c>
      <c r="F7" s="139">
        <v>3061.2</v>
      </c>
      <c r="G7" s="139">
        <v>2691.4</v>
      </c>
      <c r="H7" s="139">
        <v>2584.9</v>
      </c>
      <c r="I7" s="139">
        <v>957</v>
      </c>
      <c r="J7" s="132"/>
      <c r="K7" s="230">
        <f t="shared" si="3"/>
        <v>0.11226319482341934</v>
      </c>
      <c r="L7" s="230">
        <f t="shared" si="3"/>
        <v>-0.16196262903436554</v>
      </c>
      <c r="M7" s="230">
        <f t="shared" si="3"/>
        <v>0.13740060934829446</v>
      </c>
      <c r="N7" s="230">
        <f t="shared" si="3"/>
        <v>4.1200820147781342E-2</v>
      </c>
      <c r="O7" s="230">
        <f t="shared" si="3"/>
        <v>1.701044932079415</v>
      </c>
      <c r="P7" s="230" t="s">
        <v>17</v>
      </c>
      <c r="Q7" s="121"/>
      <c r="Y7" s="145"/>
    </row>
    <row r="8" spans="2:25">
      <c r="B8" s="134">
        <f t="shared" si="1"/>
        <v>1.4317129115113784E-2</v>
      </c>
      <c r="C8" s="135" t="s">
        <v>168</v>
      </c>
      <c r="D8" s="139">
        <v>2479.9</v>
      </c>
      <c r="E8" s="139">
        <v>2258.5</v>
      </c>
      <c r="F8" s="139">
        <v>2197.6999999999998</v>
      </c>
      <c r="G8" s="139">
        <v>1232.7</v>
      </c>
      <c r="H8" s="139">
        <v>652.20000000000005</v>
      </c>
      <c r="I8" s="139">
        <v>461.4</v>
      </c>
      <c r="J8" s="132"/>
      <c r="K8" s="230">
        <f t="shared" si="3"/>
        <v>9.8029665707327907E-2</v>
      </c>
      <c r="L8" s="230">
        <f t="shared" si="3"/>
        <v>2.766528643581935E-2</v>
      </c>
      <c r="M8" s="230">
        <f t="shared" si="3"/>
        <v>0.7828344284903056</v>
      </c>
      <c r="N8" s="230">
        <f t="shared" si="3"/>
        <v>0.89006439742410293</v>
      </c>
      <c r="O8" s="230">
        <f t="shared" si="3"/>
        <v>0.41352405721716534</v>
      </c>
      <c r="P8" s="230" t="s">
        <v>17</v>
      </c>
      <c r="Q8" s="121"/>
      <c r="Y8" s="145"/>
    </row>
    <row r="9" spans="2:25">
      <c r="B9" s="134">
        <f t="shared" si="1"/>
        <v>1.1463402383551728E-2</v>
      </c>
      <c r="C9" s="135" t="s">
        <v>169</v>
      </c>
      <c r="D9" s="139">
        <v>1985.6</v>
      </c>
      <c r="E9" s="139">
        <v>2617</v>
      </c>
      <c r="F9" s="139">
        <v>2966.4</v>
      </c>
      <c r="G9" s="139">
        <v>1856.6</v>
      </c>
      <c r="H9" s="139">
        <v>1327</v>
      </c>
      <c r="I9" s="139">
        <v>1038.5</v>
      </c>
      <c r="J9" s="132"/>
      <c r="K9" s="230">
        <f t="shared" si="3"/>
        <v>-0.24126862820022932</v>
      </c>
      <c r="L9" s="230">
        <f t="shared" si="3"/>
        <v>-0.11778586839266454</v>
      </c>
      <c r="M9" s="230">
        <f t="shared" si="3"/>
        <v>0.59775934503931927</v>
      </c>
      <c r="N9" s="230">
        <f t="shared" si="3"/>
        <v>0.39909570459683491</v>
      </c>
      <c r="O9" s="230">
        <f t="shared" si="3"/>
        <v>0.27780452575830522</v>
      </c>
      <c r="P9" s="230" t="s">
        <v>17</v>
      </c>
      <c r="Q9" s="121"/>
      <c r="Y9" s="145"/>
    </row>
    <row r="10" spans="2:25" ht="13.5" thickBot="1">
      <c r="B10" s="134">
        <f t="shared" si="1"/>
        <v>0</v>
      </c>
      <c r="C10" s="124" t="s">
        <v>170</v>
      </c>
      <c r="D10" s="128">
        <v>0</v>
      </c>
      <c r="E10" s="128">
        <v>0</v>
      </c>
      <c r="F10" s="128">
        <v>0</v>
      </c>
      <c r="G10" s="128">
        <v>0</v>
      </c>
      <c r="H10" s="128">
        <v>1102.5999999999999</v>
      </c>
      <c r="I10" s="128">
        <v>1430.1</v>
      </c>
      <c r="J10" s="132"/>
      <c r="K10" s="636" t="s">
        <v>17</v>
      </c>
      <c r="L10" s="636" t="s">
        <v>17</v>
      </c>
      <c r="M10" s="636" t="s">
        <v>17</v>
      </c>
      <c r="N10" s="230">
        <f t="shared" si="2"/>
        <v>-1</v>
      </c>
      <c r="O10" s="230">
        <f t="shared" si="2"/>
        <v>-0.22900496468778408</v>
      </c>
      <c r="P10" s="230" t="s">
        <v>17</v>
      </c>
      <c r="Q10" s="121"/>
      <c r="Y10" s="145"/>
    </row>
    <row r="11" spans="2:25" ht="13.5" hidden="1" customHeight="1" thickBot="1">
      <c r="B11" s="125">
        <f t="shared" si="1"/>
        <v>0</v>
      </c>
      <c r="C11" s="124"/>
      <c r="D11" s="128"/>
      <c r="E11" s="128"/>
      <c r="F11" s="128"/>
      <c r="G11" s="128"/>
      <c r="H11" s="128"/>
      <c r="I11" s="128"/>
      <c r="J11" s="132"/>
      <c r="K11" s="128"/>
      <c r="L11" s="128"/>
      <c r="M11" s="128"/>
      <c r="N11" s="128"/>
      <c r="O11" s="128"/>
      <c r="P11" s="153"/>
      <c r="Q11" s="121"/>
      <c r="Y11" s="145"/>
    </row>
    <row r="12" spans="2:25" ht="13.5" hidden="1" customHeight="1" thickBot="1">
      <c r="B12" s="126">
        <f t="shared" si="1"/>
        <v>0</v>
      </c>
      <c r="C12" s="140"/>
      <c r="D12" s="572"/>
      <c r="E12" s="572"/>
      <c r="F12" s="572"/>
      <c r="G12" s="572"/>
      <c r="H12" s="572"/>
      <c r="I12" s="572"/>
      <c r="J12" s="132"/>
      <c r="K12" s="129"/>
      <c r="L12" s="129"/>
      <c r="M12" s="129"/>
      <c r="N12" s="129"/>
      <c r="O12" s="129"/>
      <c r="P12" s="154"/>
      <c r="Q12" s="121"/>
      <c r="Y12" s="145"/>
    </row>
    <row r="13" spans="2:25" ht="13.5" thickBot="1">
      <c r="B13" s="127">
        <f>SUM(B5:B12)</f>
        <v>0.99999999999999989</v>
      </c>
      <c r="C13" s="570" t="s">
        <v>156</v>
      </c>
      <c r="D13" s="567">
        <f>SUM(D5:D12)</f>
        <v>173212.09999999998</v>
      </c>
      <c r="E13" s="568">
        <f t="shared" ref="E13:I13" si="4">SUM(E5:E12)</f>
        <v>137340</v>
      </c>
      <c r="F13" s="568">
        <f t="shared" si="4"/>
        <v>136404.6</v>
      </c>
      <c r="G13" s="568">
        <f t="shared" si="4"/>
        <v>103307.59999999999</v>
      </c>
      <c r="H13" s="568">
        <f t="shared" si="4"/>
        <v>96210.7</v>
      </c>
      <c r="I13" s="569">
        <f t="shared" si="4"/>
        <v>99230.1</v>
      </c>
      <c r="J13" s="571"/>
      <c r="K13" s="232">
        <f>(D13-E13)/E13</f>
        <v>0.26119193243046435</v>
      </c>
      <c r="L13" s="232">
        <f>(E13-F13)/F13</f>
        <v>6.8575399949854631E-3</v>
      </c>
      <c r="M13" s="232">
        <f>(F13-G13)/G13</f>
        <v>0.32037333168130921</v>
      </c>
      <c r="N13" s="232">
        <f t="shared" ref="N13:O13" si="5">(G13-H13)/H13</f>
        <v>7.3764144736500142E-2</v>
      </c>
      <c r="O13" s="232">
        <f t="shared" si="5"/>
        <v>-3.0428267229399231E-2</v>
      </c>
      <c r="P13" s="232" t="s">
        <v>17</v>
      </c>
      <c r="Q13" s="121"/>
      <c r="Y13" s="145"/>
    </row>
    <row r="14" spans="2:25">
      <c r="B14" s="148"/>
      <c r="C14" s="6"/>
      <c r="D14" s="14"/>
      <c r="E14" s="14"/>
      <c r="F14" s="14"/>
      <c r="G14" s="14"/>
      <c r="H14" s="14"/>
      <c r="I14" s="14"/>
      <c r="J14" s="14"/>
      <c r="K14" s="14"/>
      <c r="L14" s="14"/>
      <c r="M14" s="14"/>
      <c r="N14" s="14"/>
      <c r="O14" s="14"/>
      <c r="P14" s="14"/>
      <c r="Q14" s="121"/>
      <c r="Y14" s="145"/>
    </row>
    <row r="15" spans="2:25" ht="21" thickBot="1">
      <c r="B15" s="955" t="str">
        <f>"Regions Revenue "&amp;"("&amp;OP!$J$15&amp;")"</f>
        <v>Regions Revenue (2023)</v>
      </c>
      <c r="C15" s="956"/>
      <c r="D15" s="956"/>
      <c r="E15" s="956"/>
      <c r="F15" s="956"/>
      <c r="G15" s="956"/>
      <c r="H15" s="956"/>
      <c r="I15" s="956"/>
      <c r="J15" s="956"/>
      <c r="K15" s="956"/>
      <c r="L15" s="956"/>
      <c r="M15" s="956"/>
      <c r="N15" s="956"/>
      <c r="O15" s="956"/>
      <c r="P15" s="956"/>
      <c r="Q15" s="121"/>
      <c r="S15" s="236"/>
      <c r="Y15" s="145"/>
    </row>
    <row r="16" spans="2:25" ht="21" thickBot="1">
      <c r="B16" s="150"/>
      <c r="C16" s="151"/>
      <c r="D16" s="961" t="s">
        <v>161</v>
      </c>
      <c r="E16" s="962"/>
      <c r="F16" s="962"/>
      <c r="G16" s="962"/>
      <c r="H16" s="962"/>
      <c r="I16" s="963"/>
      <c r="J16" s="130"/>
      <c r="K16" s="957" t="s">
        <v>162</v>
      </c>
      <c r="L16" s="958"/>
      <c r="M16" s="958"/>
      <c r="N16" s="958"/>
      <c r="O16" s="958"/>
      <c r="P16" s="958"/>
      <c r="Q16" s="121"/>
      <c r="Y16" s="145"/>
    </row>
    <row r="17" spans="2:25" ht="13.5" thickBot="1">
      <c r="B17" s="149" t="s">
        <v>163</v>
      </c>
      <c r="C17" s="120" t="s">
        <v>171</v>
      </c>
      <c r="D17" s="138">
        <f>OP!J15</f>
        <v>2023</v>
      </c>
      <c r="E17" s="138">
        <f>D17-1</f>
        <v>2022</v>
      </c>
      <c r="F17" s="138">
        <f>E17-1</f>
        <v>2021</v>
      </c>
      <c r="G17" s="138">
        <f>F17-1</f>
        <v>2020</v>
      </c>
      <c r="H17" s="138">
        <f>G17-1</f>
        <v>2019</v>
      </c>
      <c r="I17" s="138">
        <f>H17-1</f>
        <v>2018</v>
      </c>
      <c r="J17" s="131"/>
      <c r="K17" s="138">
        <f>OP!J15</f>
        <v>2023</v>
      </c>
      <c r="L17" s="138">
        <f t="shared" ref="L17:P17" si="6">K17-1</f>
        <v>2022</v>
      </c>
      <c r="M17" s="138">
        <f t="shared" si="6"/>
        <v>2021</v>
      </c>
      <c r="N17" s="138">
        <f t="shared" si="6"/>
        <v>2020</v>
      </c>
      <c r="O17" s="138">
        <f t="shared" si="6"/>
        <v>2019</v>
      </c>
      <c r="P17" s="152">
        <f t="shared" si="6"/>
        <v>2018</v>
      </c>
      <c r="Q17" s="121"/>
      <c r="Y17" s="145"/>
    </row>
    <row r="18" spans="2:25">
      <c r="B18" s="134">
        <f t="shared" ref="B18:B23" si="7">IFERROR(D18/$D$24,"")</f>
        <v>0.69048853428168944</v>
      </c>
      <c r="C18" s="123" t="s">
        <v>172</v>
      </c>
      <c r="D18" s="139">
        <v>119600.9</v>
      </c>
      <c r="E18" s="139">
        <v>110589.9</v>
      </c>
      <c r="F18" s="139">
        <v>120242.9</v>
      </c>
      <c r="G18" s="139">
        <v>96635.7</v>
      </c>
      <c r="H18" s="139">
        <v>88278</v>
      </c>
      <c r="I18" s="139"/>
      <c r="J18" s="132"/>
      <c r="K18" s="230">
        <f>(D18-E18)/E18</f>
        <v>8.1481220256099343E-2</v>
      </c>
      <c r="L18" s="230">
        <f t="shared" ref="L18:O24" si="8">(E18-F18)/F18</f>
        <v>-8.027916825026675E-2</v>
      </c>
      <c r="M18" s="230">
        <f t="shared" si="8"/>
        <v>0.24429067104600058</v>
      </c>
      <c r="N18" s="230">
        <f t="shared" si="8"/>
        <v>9.4674777407734625E-2</v>
      </c>
      <c r="O18" s="230" t="e">
        <f t="shared" si="8"/>
        <v>#DIV/0!</v>
      </c>
      <c r="P18" s="230" t="s">
        <v>17</v>
      </c>
      <c r="Q18" s="121"/>
      <c r="Y18" s="145"/>
    </row>
    <row r="19" spans="2:25" ht="13.5" thickBot="1">
      <c r="B19" s="134">
        <f t="shared" si="7"/>
        <v>0.30951146571831051</v>
      </c>
      <c r="C19" s="453" t="s">
        <v>173</v>
      </c>
      <c r="D19" s="139">
        <v>53611.1</v>
      </c>
      <c r="E19" s="139">
        <v>26750.1</v>
      </c>
      <c r="F19" s="139">
        <v>16161.8</v>
      </c>
      <c r="G19" s="139">
        <v>6671.9</v>
      </c>
      <c r="H19" s="139">
        <v>5503.1</v>
      </c>
      <c r="I19" s="139"/>
      <c r="J19" s="132"/>
      <c r="K19" s="230">
        <f>(D19-E19)/E19</f>
        <v>1.0041457788942845</v>
      </c>
      <c r="L19" s="230">
        <f t="shared" ref="L19" si="9">(E19-F19)/F19</f>
        <v>0.65514361024143353</v>
      </c>
      <c r="M19" s="230">
        <f t="shared" ref="M19" si="10">(F19-G19)/G19</f>
        <v>1.4223684407739925</v>
      </c>
      <c r="N19" s="230">
        <f t="shared" ref="N19" si="11">(G19-H19)/H19</f>
        <v>0.21238938053097331</v>
      </c>
      <c r="O19" s="230" t="e">
        <f t="shared" ref="O19" si="12">(H19-I19)/I19</f>
        <v>#DIV/0!</v>
      </c>
      <c r="P19" s="230" t="s">
        <v>17</v>
      </c>
      <c r="Q19" s="121"/>
      <c r="Y19" s="145"/>
    </row>
    <row r="20" spans="2:25" ht="13.5" hidden="1" customHeight="1" thickBot="1">
      <c r="B20" s="134">
        <f t="shared" si="7"/>
        <v>0</v>
      </c>
      <c r="C20" s="124"/>
      <c r="D20" s="139"/>
      <c r="E20" s="139"/>
      <c r="F20" s="139"/>
      <c r="G20" s="139"/>
      <c r="H20" s="139"/>
      <c r="I20" s="139"/>
      <c r="J20" s="132"/>
      <c r="K20" s="234" t="e">
        <f t="shared" ref="K20:K23" si="13">(D20-E20)/E20</f>
        <v>#DIV/0!</v>
      </c>
      <c r="L20" s="234" t="e">
        <f t="shared" si="8"/>
        <v>#DIV/0!</v>
      </c>
      <c r="M20" s="234" t="e">
        <f t="shared" si="8"/>
        <v>#DIV/0!</v>
      </c>
      <c r="N20" s="234" t="e">
        <f t="shared" si="8"/>
        <v>#DIV/0!</v>
      </c>
      <c r="O20" s="234" t="e">
        <f t="shared" si="8"/>
        <v>#DIV/0!</v>
      </c>
      <c r="P20" s="234" t="s">
        <v>17</v>
      </c>
      <c r="Q20" s="121"/>
      <c r="Y20" s="145"/>
    </row>
    <row r="21" spans="2:25" ht="13.5" hidden="1" customHeight="1" thickBot="1">
      <c r="B21" s="134">
        <f t="shared" si="7"/>
        <v>0</v>
      </c>
      <c r="C21" s="124"/>
      <c r="D21" s="139"/>
      <c r="E21" s="139"/>
      <c r="F21" s="139"/>
      <c r="G21" s="139"/>
      <c r="H21" s="139"/>
      <c r="I21" s="139"/>
      <c r="J21" s="132"/>
      <c r="K21" s="234" t="e">
        <f t="shared" si="13"/>
        <v>#DIV/0!</v>
      </c>
      <c r="L21" s="234" t="e">
        <f t="shared" si="8"/>
        <v>#DIV/0!</v>
      </c>
      <c r="M21" s="234" t="e">
        <f t="shared" si="8"/>
        <v>#DIV/0!</v>
      </c>
      <c r="N21" s="234" t="e">
        <f t="shared" si="8"/>
        <v>#DIV/0!</v>
      </c>
      <c r="O21" s="234" t="e">
        <f t="shared" si="8"/>
        <v>#DIV/0!</v>
      </c>
      <c r="P21" s="234" t="s">
        <v>17</v>
      </c>
      <c r="Q21" s="121"/>
      <c r="Y21" s="145"/>
    </row>
    <row r="22" spans="2:25" ht="13.5" hidden="1" customHeight="1" thickBot="1">
      <c r="B22" s="134">
        <f t="shared" si="7"/>
        <v>0</v>
      </c>
      <c r="C22" s="124"/>
      <c r="D22" s="139"/>
      <c r="E22" s="139"/>
      <c r="F22" s="139"/>
      <c r="G22" s="139"/>
      <c r="H22" s="139"/>
      <c r="I22" s="139"/>
      <c r="J22" s="132"/>
      <c r="K22" s="234" t="e">
        <f t="shared" si="13"/>
        <v>#DIV/0!</v>
      </c>
      <c r="L22" s="234" t="e">
        <f t="shared" si="8"/>
        <v>#DIV/0!</v>
      </c>
      <c r="M22" s="234" t="e">
        <f t="shared" si="8"/>
        <v>#DIV/0!</v>
      </c>
      <c r="N22" s="234" t="e">
        <f t="shared" si="8"/>
        <v>#DIV/0!</v>
      </c>
      <c r="O22" s="234" t="e">
        <f t="shared" si="8"/>
        <v>#DIV/0!</v>
      </c>
      <c r="P22" s="234" t="s">
        <v>17</v>
      </c>
      <c r="Q22" s="121"/>
      <c r="Y22" s="145"/>
    </row>
    <row r="23" spans="2:25" ht="13.5" hidden="1" customHeight="1" thickBot="1">
      <c r="B23" s="134">
        <f t="shared" si="7"/>
        <v>0</v>
      </c>
      <c r="C23" s="140"/>
      <c r="D23" s="573"/>
      <c r="E23" s="573"/>
      <c r="F23" s="573"/>
      <c r="G23" s="573"/>
      <c r="H23" s="573"/>
      <c r="I23" s="573"/>
      <c r="J23" s="132"/>
      <c r="K23" s="235" t="e">
        <f t="shared" si="13"/>
        <v>#DIV/0!</v>
      </c>
      <c r="L23" s="235" t="e">
        <f t="shared" si="8"/>
        <v>#DIV/0!</v>
      </c>
      <c r="M23" s="235" t="e">
        <f t="shared" si="8"/>
        <v>#DIV/0!</v>
      </c>
      <c r="N23" s="235" t="e">
        <f t="shared" si="8"/>
        <v>#DIV/0!</v>
      </c>
      <c r="O23" s="235" t="e">
        <f t="shared" si="8"/>
        <v>#DIV/0!</v>
      </c>
      <c r="P23" s="235" t="s">
        <v>17</v>
      </c>
      <c r="Q23" s="121"/>
      <c r="Y23" s="145"/>
    </row>
    <row r="24" spans="2:25" ht="13.5" thickBot="1">
      <c r="B24" s="127">
        <f>SUM(B18:B23)</f>
        <v>1</v>
      </c>
      <c r="C24" s="570" t="s">
        <v>156</v>
      </c>
      <c r="D24" s="567">
        <f>SUM(D18:D23)</f>
        <v>173212</v>
      </c>
      <c r="E24" s="568">
        <f t="shared" ref="E24:I24" si="14">SUM(E18:E23)</f>
        <v>137340</v>
      </c>
      <c r="F24" s="568">
        <f t="shared" si="14"/>
        <v>136404.69999999998</v>
      </c>
      <c r="G24" s="568">
        <f t="shared" si="14"/>
        <v>103307.59999999999</v>
      </c>
      <c r="H24" s="568">
        <f t="shared" si="14"/>
        <v>93781.1</v>
      </c>
      <c r="I24" s="569">
        <f t="shared" si="14"/>
        <v>0</v>
      </c>
      <c r="J24" s="571"/>
      <c r="K24" s="231">
        <f>(D24-E24)/E24</f>
        <v>0.26119120431047038</v>
      </c>
      <c r="L24" s="232">
        <f t="shared" si="8"/>
        <v>6.8568018550681726E-3</v>
      </c>
      <c r="M24" s="232">
        <f t="shared" ref="M24" si="15">(F24-G24)/G24</f>
        <v>0.32037429966430342</v>
      </c>
      <c r="N24" s="232">
        <f t="shared" ref="N24" si="16">(G24-H24)/H24</f>
        <v>0.10158230176442785</v>
      </c>
      <c r="O24" s="232" t="e">
        <f t="shared" ref="O24" si="17">(H24-I24)/I24</f>
        <v>#DIV/0!</v>
      </c>
      <c r="P24" s="232" t="s">
        <v>17</v>
      </c>
      <c r="Q24" s="121"/>
      <c r="Y24" s="145"/>
    </row>
    <row r="25" spans="2:25">
      <c r="B25" s="148"/>
      <c r="C25" s="6"/>
      <c r="D25" s="14"/>
      <c r="E25" s="14"/>
      <c r="F25" s="14"/>
      <c r="G25" s="14"/>
      <c r="H25" s="14"/>
      <c r="I25" s="14"/>
      <c r="J25" s="14"/>
      <c r="K25" s="14"/>
      <c r="L25" s="14"/>
      <c r="M25" s="14"/>
      <c r="N25" s="14"/>
      <c r="O25" s="14"/>
      <c r="P25" s="14"/>
      <c r="Q25" s="121"/>
      <c r="Y25" s="145"/>
    </row>
    <row r="26" spans="2:25" ht="26.25" customHeight="1" thickBot="1">
      <c r="B26" s="1001" t="s">
        <v>174</v>
      </c>
      <c r="C26" s="1002"/>
      <c r="D26" s="1002"/>
      <c r="E26" s="1002"/>
      <c r="F26" s="1002"/>
      <c r="G26" s="1002"/>
      <c r="H26" s="1002"/>
      <c r="I26" s="1002"/>
      <c r="J26" s="1002"/>
      <c r="K26" s="1002"/>
      <c r="L26" s="1002"/>
      <c r="M26" s="1002"/>
      <c r="N26" s="1002"/>
      <c r="O26" s="1002"/>
      <c r="P26" s="1002"/>
      <c r="T26" s="10"/>
      <c r="U26" s="10"/>
    </row>
    <row r="27" spans="2:25" ht="21" thickBot="1">
      <c r="B27" s="150"/>
      <c r="C27" s="151"/>
      <c r="D27" s="961" t="s">
        <v>161</v>
      </c>
      <c r="E27" s="962"/>
      <c r="F27" s="962"/>
      <c r="G27" s="962"/>
      <c r="H27" s="962"/>
      <c r="I27" s="963"/>
      <c r="J27" s="130"/>
      <c r="K27" s="957" t="s">
        <v>162</v>
      </c>
      <c r="L27" s="958"/>
      <c r="M27" s="958"/>
      <c r="N27" s="958"/>
      <c r="O27" s="958"/>
      <c r="P27" s="958"/>
      <c r="T27" s="10"/>
      <c r="U27" s="10"/>
    </row>
    <row r="28" spans="2:25" ht="13.5" thickBot="1">
      <c r="B28" s="149" t="s">
        <v>163</v>
      </c>
      <c r="C28" s="120" t="s">
        <v>171</v>
      </c>
      <c r="D28" s="138">
        <v>2023</v>
      </c>
      <c r="E28" s="138">
        <f>D28-1</f>
        <v>2022</v>
      </c>
      <c r="F28" s="138">
        <f>E28-1</f>
        <v>2021</v>
      </c>
      <c r="G28" s="138">
        <f>F28-1</f>
        <v>2020</v>
      </c>
      <c r="H28" s="138">
        <f>G28-1</f>
        <v>2019</v>
      </c>
      <c r="I28" s="138">
        <f>H28-1</f>
        <v>2018</v>
      </c>
      <c r="J28" s="131"/>
      <c r="K28" s="138">
        <v>2023</v>
      </c>
      <c r="L28" s="138">
        <f t="shared" ref="L28" si="18">K28-1</f>
        <v>2022</v>
      </c>
      <c r="M28" s="138">
        <f t="shared" ref="M28" si="19">L28-1</f>
        <v>2021</v>
      </c>
      <c r="N28" s="138">
        <f t="shared" ref="N28" si="20">M28-1</f>
        <v>2020</v>
      </c>
      <c r="O28" s="138">
        <f t="shared" ref="O28" si="21">N28-1</f>
        <v>2019</v>
      </c>
      <c r="P28" s="138">
        <f t="shared" ref="P28" si="22">O28-1</f>
        <v>2018</v>
      </c>
      <c r="T28" s="10"/>
      <c r="U28" s="10"/>
    </row>
    <row r="29" spans="2:25">
      <c r="B29" s="134">
        <f>IFERROR(D29/$D$35,"")</f>
        <v>0.7432217657535849</v>
      </c>
      <c r="C29" s="123" t="s">
        <v>172</v>
      </c>
      <c r="D29" s="637">
        <v>914.68600000000004</v>
      </c>
      <c r="E29" s="637">
        <v>894.34300000000007</v>
      </c>
      <c r="F29" s="637">
        <v>1138.2</v>
      </c>
      <c r="G29" s="637">
        <v>1041.4880000000001</v>
      </c>
      <c r="H29" s="637">
        <v>995.12300000000005</v>
      </c>
      <c r="I29" s="637">
        <v>1006.044</v>
      </c>
      <c r="J29" s="132"/>
      <c r="K29" s="230">
        <f t="shared" ref="K29:L35" si="23">(D29-E29)/E29</f>
        <v>2.274630650656399E-2</v>
      </c>
      <c r="L29" s="230">
        <f t="shared" si="23"/>
        <v>-0.21424793533649619</v>
      </c>
      <c r="M29" s="230">
        <f t="shared" ref="M29:M35" si="24">(F29-G29)/G29</f>
        <v>9.2859447252392716E-2</v>
      </c>
      <c r="N29" s="230">
        <f t="shared" ref="N29:N35" si="25">(G29-H29)/H29</f>
        <v>4.6592230307208264E-2</v>
      </c>
      <c r="O29" s="230">
        <f t="shared" ref="O29:O35" si="26">(H29-I29)/I29</f>
        <v>-1.0855390022702721E-2</v>
      </c>
      <c r="P29" s="230" t="s">
        <v>17</v>
      </c>
      <c r="T29" s="10"/>
      <c r="U29" s="10"/>
    </row>
    <row r="30" spans="2:25" ht="13.5" thickBot="1">
      <c r="B30" s="134">
        <f>IFERROR(D30/$D$35,"")</f>
        <v>0.25677823424641505</v>
      </c>
      <c r="C30" s="453" t="s">
        <v>173</v>
      </c>
      <c r="D30" s="637">
        <v>316.01800000000003</v>
      </c>
      <c r="E30" s="637">
        <v>173.18</v>
      </c>
      <c r="F30" s="637">
        <v>142.79300000000001</v>
      </c>
      <c r="G30" s="637">
        <v>70.11</v>
      </c>
      <c r="H30" s="637">
        <v>65.174999999999997</v>
      </c>
      <c r="I30" s="637">
        <v>46.994999999999997</v>
      </c>
      <c r="J30" s="132"/>
      <c r="K30" s="230">
        <f t="shared" si="23"/>
        <v>0.82479501097124386</v>
      </c>
      <c r="L30" s="230">
        <f t="shared" si="23"/>
        <v>0.21280454924260991</v>
      </c>
      <c r="M30" s="230">
        <f t="shared" si="24"/>
        <v>1.0366994722578806</v>
      </c>
      <c r="N30" s="230">
        <f t="shared" si="25"/>
        <v>7.5719217491369423E-2</v>
      </c>
      <c r="O30" s="230">
        <f t="shared" si="26"/>
        <v>0.38684966485796363</v>
      </c>
      <c r="P30" s="230" t="s">
        <v>17</v>
      </c>
      <c r="T30" s="10"/>
      <c r="U30" s="10"/>
    </row>
    <row r="31" spans="2:25" ht="13.5" hidden="1" thickBot="1">
      <c r="B31" s="134">
        <f>IFERROR(D31/$D$24,"")</f>
        <v>0</v>
      </c>
      <c r="C31" s="124"/>
      <c r="D31" s="139"/>
      <c r="E31" s="139"/>
      <c r="F31" s="139"/>
      <c r="G31" s="139"/>
      <c r="H31" s="139"/>
      <c r="I31" s="139"/>
      <c r="J31" s="132"/>
      <c r="K31" s="234" t="e">
        <f t="shared" si="23"/>
        <v>#DIV/0!</v>
      </c>
      <c r="L31" s="234" t="e">
        <f t="shared" si="23"/>
        <v>#DIV/0!</v>
      </c>
      <c r="M31" s="234" t="e">
        <f t="shared" si="24"/>
        <v>#DIV/0!</v>
      </c>
      <c r="N31" s="234" t="e">
        <f t="shared" si="25"/>
        <v>#DIV/0!</v>
      </c>
      <c r="O31" s="234" t="e">
        <f t="shared" si="26"/>
        <v>#DIV/0!</v>
      </c>
      <c r="P31" s="648" t="s">
        <v>17</v>
      </c>
      <c r="T31" s="10"/>
      <c r="U31" s="10"/>
    </row>
    <row r="32" spans="2:25" ht="13.5" hidden="1" thickBot="1">
      <c r="B32" s="134">
        <f>IFERROR(D32/$D$24,"")</f>
        <v>0</v>
      </c>
      <c r="C32" s="124"/>
      <c r="D32" s="139"/>
      <c r="E32" s="139"/>
      <c r="F32" s="139"/>
      <c r="G32" s="139"/>
      <c r="H32" s="139"/>
      <c r="I32" s="139"/>
      <c r="J32" s="132"/>
      <c r="K32" s="234" t="e">
        <f t="shared" si="23"/>
        <v>#DIV/0!</v>
      </c>
      <c r="L32" s="234" t="e">
        <f t="shared" si="23"/>
        <v>#DIV/0!</v>
      </c>
      <c r="M32" s="234" t="e">
        <f t="shared" si="24"/>
        <v>#DIV/0!</v>
      </c>
      <c r="N32" s="234" t="e">
        <f t="shared" si="25"/>
        <v>#DIV/0!</v>
      </c>
      <c r="O32" s="234" t="e">
        <f t="shared" si="26"/>
        <v>#DIV/0!</v>
      </c>
      <c r="P32" s="648" t="s">
        <v>17</v>
      </c>
      <c r="T32" s="10"/>
      <c r="U32" s="10"/>
    </row>
    <row r="33" spans="2:21" ht="13.5" hidden="1" thickBot="1">
      <c r="B33" s="134">
        <f>IFERROR(D33/$D$24,"")</f>
        <v>0</v>
      </c>
      <c r="C33" s="124"/>
      <c r="D33" s="139"/>
      <c r="E33" s="139"/>
      <c r="F33" s="139"/>
      <c r="G33" s="139"/>
      <c r="H33" s="139"/>
      <c r="I33" s="139"/>
      <c r="J33" s="132"/>
      <c r="K33" s="234" t="e">
        <f t="shared" si="23"/>
        <v>#DIV/0!</v>
      </c>
      <c r="L33" s="234" t="e">
        <f t="shared" si="23"/>
        <v>#DIV/0!</v>
      </c>
      <c r="M33" s="234" t="e">
        <f t="shared" si="24"/>
        <v>#DIV/0!</v>
      </c>
      <c r="N33" s="234" t="e">
        <f t="shared" si="25"/>
        <v>#DIV/0!</v>
      </c>
      <c r="O33" s="234" t="e">
        <f t="shared" si="26"/>
        <v>#DIV/0!</v>
      </c>
      <c r="P33" s="648" t="s">
        <v>17</v>
      </c>
      <c r="T33" s="10"/>
      <c r="U33" s="10"/>
    </row>
    <row r="34" spans="2:21" ht="13.5" hidden="1" thickBot="1">
      <c r="B34" s="134">
        <f>IFERROR(D34/$D$24,"")</f>
        <v>0</v>
      </c>
      <c r="C34" s="140"/>
      <c r="D34" s="573"/>
      <c r="E34" s="573"/>
      <c r="F34" s="573"/>
      <c r="G34" s="573"/>
      <c r="H34" s="573"/>
      <c r="I34" s="573"/>
      <c r="J34" s="132"/>
      <c r="K34" s="235" t="e">
        <f t="shared" si="23"/>
        <v>#DIV/0!</v>
      </c>
      <c r="L34" s="235" t="e">
        <f t="shared" si="23"/>
        <v>#DIV/0!</v>
      </c>
      <c r="M34" s="235" t="e">
        <f t="shared" si="24"/>
        <v>#DIV/0!</v>
      </c>
      <c r="N34" s="235" t="e">
        <f t="shared" si="25"/>
        <v>#DIV/0!</v>
      </c>
      <c r="O34" s="235" t="e">
        <f t="shared" si="26"/>
        <v>#DIV/0!</v>
      </c>
      <c r="P34" s="650" t="s">
        <v>17</v>
      </c>
      <c r="T34" s="10"/>
      <c r="U34" s="10"/>
    </row>
    <row r="35" spans="2:21" ht="13.5" thickBot="1">
      <c r="B35" s="127">
        <f>SUM(B29:B34)</f>
        <v>1</v>
      </c>
      <c r="C35" s="570" t="s">
        <v>156</v>
      </c>
      <c r="D35" s="644">
        <f>SUM(D29:D34)</f>
        <v>1230.7040000000002</v>
      </c>
      <c r="E35" s="645">
        <f t="shared" ref="E35:I35" si="27">SUM(E29:E34)</f>
        <v>1067.5230000000001</v>
      </c>
      <c r="F35" s="645">
        <f t="shared" si="27"/>
        <v>1280.9929999999999</v>
      </c>
      <c r="G35" s="645">
        <f t="shared" si="27"/>
        <v>1111.598</v>
      </c>
      <c r="H35" s="645">
        <f t="shared" si="27"/>
        <v>1060.298</v>
      </c>
      <c r="I35" s="646">
        <f t="shared" si="27"/>
        <v>1053.039</v>
      </c>
      <c r="J35" s="571"/>
      <c r="K35" s="231">
        <f t="shared" si="23"/>
        <v>0.15285947000673525</v>
      </c>
      <c r="L35" s="232">
        <f t="shared" si="23"/>
        <v>-0.16664415808673413</v>
      </c>
      <c r="M35" s="232">
        <f t="shared" si="24"/>
        <v>0.15238872326146682</v>
      </c>
      <c r="N35" s="232">
        <f t="shared" si="25"/>
        <v>4.8382624507449748E-2</v>
      </c>
      <c r="O35" s="232">
        <f t="shared" si="26"/>
        <v>6.8933819165292211E-3</v>
      </c>
      <c r="P35" s="649" t="s">
        <v>17</v>
      </c>
      <c r="T35" s="10"/>
      <c r="U35" s="10"/>
    </row>
    <row r="36" spans="2:21">
      <c r="C36" s="13"/>
      <c r="D36" s="14"/>
      <c r="E36" s="15"/>
      <c r="F36" s="14"/>
      <c r="G36" s="15"/>
      <c r="H36" s="14"/>
      <c r="I36" s="15"/>
      <c r="T36" s="10"/>
      <c r="U36" s="10"/>
    </row>
    <row r="37" spans="2:21" ht="26.25" customHeight="1" thickBot="1">
      <c r="B37" s="1001" t="s">
        <v>175</v>
      </c>
      <c r="C37" s="1002"/>
      <c r="D37" s="1002"/>
      <c r="E37" s="1002"/>
      <c r="F37" s="1002"/>
      <c r="G37" s="1002"/>
      <c r="H37" s="1002"/>
      <c r="I37" s="1002"/>
      <c r="J37" s="1002"/>
      <c r="K37" s="1002"/>
      <c r="L37" s="1002"/>
      <c r="M37" s="1002"/>
      <c r="N37" s="1002"/>
      <c r="O37" s="1002"/>
      <c r="P37" s="1002"/>
      <c r="T37" s="10"/>
      <c r="U37" s="10"/>
    </row>
    <row r="38" spans="2:21" ht="21" thickBot="1">
      <c r="B38" s="150"/>
      <c r="C38" s="151"/>
      <c r="D38" s="961" t="s">
        <v>161</v>
      </c>
      <c r="E38" s="962"/>
      <c r="F38" s="962"/>
      <c r="G38" s="962"/>
      <c r="H38" s="962"/>
      <c r="I38" s="963"/>
      <c r="J38" s="130"/>
      <c r="K38" s="957" t="s">
        <v>162</v>
      </c>
      <c r="L38" s="958"/>
      <c r="M38" s="958"/>
      <c r="N38" s="958"/>
      <c r="O38" s="958"/>
      <c r="P38" s="1003"/>
      <c r="T38" s="10"/>
      <c r="U38" s="10"/>
    </row>
    <row r="39" spans="2:21" ht="13.5" thickBot="1">
      <c r="B39" s="149" t="s">
        <v>163</v>
      </c>
      <c r="C39" s="120" t="s">
        <v>171</v>
      </c>
      <c r="D39" s="138">
        <v>2023</v>
      </c>
      <c r="E39" s="138">
        <f>D39-1</f>
        <v>2022</v>
      </c>
      <c r="F39" s="138">
        <f>E39-1</f>
        <v>2021</v>
      </c>
      <c r="G39" s="138">
        <f>F39-1</f>
        <v>2020</v>
      </c>
      <c r="H39" s="138">
        <f>G39-1</f>
        <v>2019</v>
      </c>
      <c r="I39" s="138">
        <f>H39-1</f>
        <v>2018</v>
      </c>
      <c r="J39" s="131"/>
      <c r="K39" s="138">
        <v>2023</v>
      </c>
      <c r="L39" s="138">
        <f t="shared" ref="L39" si="28">K39-1</f>
        <v>2022</v>
      </c>
      <c r="M39" s="138">
        <f t="shared" ref="M39" si="29">L39-1</f>
        <v>2021</v>
      </c>
      <c r="N39" s="138">
        <f t="shared" ref="N39" si="30">M39-1</f>
        <v>2020</v>
      </c>
      <c r="O39" s="138">
        <f t="shared" ref="O39" si="31">N39-1</f>
        <v>2019</v>
      </c>
      <c r="P39" s="138">
        <f t="shared" ref="P39" si="32">O39-1</f>
        <v>2018</v>
      </c>
    </row>
    <row r="40" spans="2:21">
      <c r="B40" s="134">
        <f>IFERROR(D40/$D$49,"")</f>
        <v>0.74702800528788227</v>
      </c>
      <c r="C40" s="123" t="s">
        <v>176</v>
      </c>
      <c r="D40" s="637">
        <v>918.83100000000002</v>
      </c>
      <c r="E40" s="637">
        <v>762.68700000000001</v>
      </c>
      <c r="F40" s="637">
        <v>907.178</v>
      </c>
      <c r="G40" s="637">
        <v>829.00900000000001</v>
      </c>
      <c r="H40" s="637">
        <v>869.49700000000007</v>
      </c>
      <c r="I40" s="637">
        <v>884.06799999999998</v>
      </c>
      <c r="J40" s="132"/>
      <c r="K40" s="652">
        <f t="shared" ref="K40:K49" si="33">(D40-E40)/E40</f>
        <v>0.20472880749245759</v>
      </c>
      <c r="L40" s="230">
        <f t="shared" ref="L40:L49" si="34">(E40-F40)/F40</f>
        <v>-0.15927524697468412</v>
      </c>
      <c r="M40" s="230">
        <f t="shared" ref="M40:M49" si="35">(F40-G40)/G40</f>
        <v>9.4292100568268838E-2</v>
      </c>
      <c r="N40" s="230">
        <f t="shared" ref="N40:N49" si="36">(G40-H40)/H40</f>
        <v>-4.6564853012718906E-2</v>
      </c>
      <c r="O40" s="230">
        <f t="shared" ref="O40:O49" si="37">(H40-I40)/I40</f>
        <v>-1.6481763846219875E-2</v>
      </c>
      <c r="P40" s="230" t="s">
        <v>17</v>
      </c>
    </row>
    <row r="41" spans="2:21" ht="10.15" customHeight="1">
      <c r="B41" s="638"/>
      <c r="C41" s="641" t="s">
        <v>177</v>
      </c>
      <c r="D41" s="642">
        <v>668.75700000000006</v>
      </c>
      <c r="E41" s="642">
        <v>646.90300000000002</v>
      </c>
      <c r="F41" s="642">
        <v>814.28300000000002</v>
      </c>
      <c r="G41" s="642">
        <v>780.572</v>
      </c>
      <c r="H41" s="642">
        <v>808.471</v>
      </c>
      <c r="I41" s="642">
        <v>856.29</v>
      </c>
      <c r="J41" s="639"/>
      <c r="K41" s="653">
        <f t="shared" si="33"/>
        <v>3.3782499076368544E-2</v>
      </c>
      <c r="L41" s="651">
        <f t="shared" si="34"/>
        <v>-0.20555507114848276</v>
      </c>
      <c r="M41" s="651">
        <f t="shared" si="35"/>
        <v>4.3187559891976667E-2</v>
      </c>
      <c r="N41" s="651">
        <f t="shared" si="36"/>
        <v>-3.4508349711987199E-2</v>
      </c>
      <c r="O41" s="651">
        <f t="shared" si="37"/>
        <v>-5.5844398509850589E-2</v>
      </c>
      <c r="P41" s="651" t="s">
        <v>17</v>
      </c>
    </row>
    <row r="42" spans="2:21" ht="10.15" customHeight="1">
      <c r="B42" s="638"/>
      <c r="C42" s="643" t="s">
        <v>178</v>
      </c>
      <c r="D42" s="642">
        <v>250.07400000000001</v>
      </c>
      <c r="E42" s="642">
        <v>115.78400000000001</v>
      </c>
      <c r="F42" s="642">
        <v>92.894999999999996</v>
      </c>
      <c r="G42" s="642">
        <v>48.436999999999998</v>
      </c>
      <c r="H42" s="642">
        <v>43.785000000000004</v>
      </c>
      <c r="I42" s="642">
        <v>27.778000000000002</v>
      </c>
      <c r="J42" s="639"/>
      <c r="K42" s="653">
        <f t="shared" si="33"/>
        <v>1.1598321011538728</v>
      </c>
      <c r="L42" s="651">
        <f t="shared" si="34"/>
        <v>0.24639646913181562</v>
      </c>
      <c r="M42" s="651">
        <f t="shared" si="35"/>
        <v>0.91785205524702196</v>
      </c>
      <c r="N42" s="651">
        <f t="shared" si="36"/>
        <v>0.1062464314262874</v>
      </c>
      <c r="O42" s="651">
        <f t="shared" si="37"/>
        <v>0.57624739002087988</v>
      </c>
      <c r="P42" s="651" t="s">
        <v>17</v>
      </c>
    </row>
    <row r="43" spans="2:21">
      <c r="B43" s="134">
        <f>IFERROR(D43/$D$49,"")</f>
        <v>0.1637300383257641</v>
      </c>
      <c r="C43" s="124" t="s">
        <v>179</v>
      </c>
      <c r="D43" s="637">
        <v>201.38499999999999</v>
      </c>
      <c r="E43" s="637">
        <v>196.453</v>
      </c>
      <c r="F43" s="637">
        <v>237.059</v>
      </c>
      <c r="G43" s="637">
        <v>228.67000000000002</v>
      </c>
      <c r="H43" s="637">
        <v>164.86099999999999</v>
      </c>
      <c r="I43" s="637">
        <v>146.244</v>
      </c>
      <c r="J43" s="132"/>
      <c r="K43" s="652">
        <f t="shared" si="33"/>
        <v>2.5105241457244163E-2</v>
      </c>
      <c r="L43" s="230">
        <f t="shared" si="34"/>
        <v>-0.17129069134687988</v>
      </c>
      <c r="M43" s="230">
        <f t="shared" si="35"/>
        <v>3.6686054139152408E-2</v>
      </c>
      <c r="N43" s="230">
        <f t="shared" si="36"/>
        <v>0.38704727012452933</v>
      </c>
      <c r="O43" s="230">
        <f t="shared" si="37"/>
        <v>0.12730094909876638</v>
      </c>
      <c r="P43" s="230" t="s">
        <v>17</v>
      </c>
    </row>
    <row r="44" spans="2:21" ht="10.15" customHeight="1">
      <c r="B44" s="638"/>
      <c r="C44" s="641" t="s">
        <v>177</v>
      </c>
      <c r="D44" s="642">
        <v>158.16</v>
      </c>
      <c r="E44" s="642">
        <v>147.49</v>
      </c>
      <c r="F44" s="642">
        <v>190.74</v>
      </c>
      <c r="G44" s="642">
        <v>209.85900000000001</v>
      </c>
      <c r="H44" s="642">
        <v>147.40800000000002</v>
      </c>
      <c r="I44" s="642">
        <v>133.28300000000002</v>
      </c>
      <c r="J44" s="639"/>
      <c r="K44" s="653">
        <f t="shared" si="33"/>
        <v>7.2343887721201344E-2</v>
      </c>
      <c r="L44" s="651">
        <f t="shared" si="34"/>
        <v>-0.22674845339205199</v>
      </c>
      <c r="M44" s="651">
        <f t="shared" si="35"/>
        <v>-9.1104026989550127E-2</v>
      </c>
      <c r="N44" s="651">
        <f t="shared" si="36"/>
        <v>0.42366085965483546</v>
      </c>
      <c r="O44" s="651">
        <f t="shared" si="37"/>
        <v>0.10597750650870702</v>
      </c>
      <c r="P44" s="651" t="s">
        <v>17</v>
      </c>
      <c r="T44" s="10"/>
      <c r="U44" s="10"/>
    </row>
    <row r="45" spans="2:21" ht="10.15" customHeight="1">
      <c r="B45" s="638"/>
      <c r="C45" s="643" t="s">
        <v>178</v>
      </c>
      <c r="D45" s="642">
        <v>43.225000000000001</v>
      </c>
      <c r="E45" s="642">
        <v>48.963000000000001</v>
      </c>
      <c r="F45" s="642">
        <v>46.319000000000003</v>
      </c>
      <c r="G45" s="642">
        <v>18.811</v>
      </c>
      <c r="H45" s="642">
        <v>17.452999999999999</v>
      </c>
      <c r="I45" s="642">
        <v>12.961</v>
      </c>
      <c r="J45" s="639"/>
      <c r="K45" s="653">
        <f t="shared" si="33"/>
        <v>-0.11719053162592161</v>
      </c>
      <c r="L45" s="651">
        <f t="shared" si="34"/>
        <v>5.7082406787711266E-2</v>
      </c>
      <c r="M45" s="651">
        <f t="shared" si="35"/>
        <v>1.4623358673116795</v>
      </c>
      <c r="N45" s="651">
        <f t="shared" si="36"/>
        <v>7.7808972669455148E-2</v>
      </c>
      <c r="O45" s="651">
        <f t="shared" si="37"/>
        <v>0.34657819612684199</v>
      </c>
      <c r="P45" s="651" t="s">
        <v>17</v>
      </c>
      <c r="T45" s="10"/>
      <c r="U45" s="10"/>
    </row>
    <row r="46" spans="2:21">
      <c r="B46" s="134">
        <f>IFERROR(D46/$D$49,"")</f>
        <v>8.9241956386353627E-2</v>
      </c>
      <c r="C46" s="124" t="s">
        <v>180</v>
      </c>
      <c r="D46" s="637">
        <v>109.76600000000001</v>
      </c>
      <c r="E46" s="637">
        <v>102.605</v>
      </c>
      <c r="F46" s="637">
        <v>136.714</v>
      </c>
      <c r="G46" s="637">
        <v>58.192999999999998</v>
      </c>
      <c r="H46" s="637">
        <v>41.530999999999999</v>
      </c>
      <c r="I46" s="637">
        <v>13.395</v>
      </c>
      <c r="J46" s="132"/>
      <c r="K46" s="654">
        <f t="shared" si="33"/>
        <v>6.9791920471711913E-2</v>
      </c>
      <c r="L46" s="636">
        <f t="shared" si="34"/>
        <v>-0.2494916394809602</v>
      </c>
      <c r="M46" s="636">
        <f t="shared" ref="M46:M48" si="38">(F46-G46)/G46</f>
        <v>1.3493203649923531</v>
      </c>
      <c r="N46" s="230">
        <f t="shared" ref="N46:N48" si="39">(G46-H46)/H46</f>
        <v>0.40119428860369361</v>
      </c>
      <c r="O46" s="230">
        <f t="shared" ref="O46:O48" si="40">(H46-I46)/I46</f>
        <v>2.1004852556924227</v>
      </c>
      <c r="P46" s="230" t="s">
        <v>17</v>
      </c>
      <c r="T46" s="10"/>
      <c r="U46" s="10"/>
    </row>
    <row r="47" spans="2:21" ht="10.15" customHeight="1">
      <c r="B47" s="638"/>
      <c r="C47" s="641" t="s">
        <v>177</v>
      </c>
      <c r="D47" s="642">
        <v>89.055000000000007</v>
      </c>
      <c r="E47" s="642">
        <v>95.165000000000006</v>
      </c>
      <c r="F47" s="642">
        <v>136.03700000000001</v>
      </c>
      <c r="G47" s="642">
        <v>56.523000000000003</v>
      </c>
      <c r="H47" s="642">
        <v>37.365000000000002</v>
      </c>
      <c r="I47" s="642">
        <v>9.0050000000000008</v>
      </c>
      <c r="J47" s="639"/>
      <c r="K47" s="653">
        <f t="shared" si="33"/>
        <v>-6.42042767824305E-2</v>
      </c>
      <c r="L47" s="651">
        <f t="shared" si="34"/>
        <v>-0.30044767232444114</v>
      </c>
      <c r="M47" s="651">
        <f t="shared" si="38"/>
        <v>1.406754772393539</v>
      </c>
      <c r="N47" s="651">
        <f t="shared" si="39"/>
        <v>0.51272581292653552</v>
      </c>
      <c r="O47" s="651">
        <f t="shared" si="40"/>
        <v>3.1493614658523041</v>
      </c>
      <c r="P47" s="651" t="s">
        <v>17</v>
      </c>
      <c r="T47" s="10"/>
      <c r="U47" s="10"/>
    </row>
    <row r="48" spans="2:21" ht="10.15" customHeight="1" thickBot="1">
      <c r="B48" s="638"/>
      <c r="C48" s="643" t="s">
        <v>178</v>
      </c>
      <c r="D48" s="642">
        <v>20.711000000000002</v>
      </c>
      <c r="E48" s="642">
        <v>7.44</v>
      </c>
      <c r="F48" s="642">
        <v>0.67700000000000005</v>
      </c>
      <c r="G48" s="642">
        <v>1.67</v>
      </c>
      <c r="H48" s="642">
        <v>4.1660000000000004</v>
      </c>
      <c r="I48" s="642">
        <v>4.3899999999999997</v>
      </c>
      <c r="J48" s="639"/>
      <c r="K48" s="640">
        <f t="shared" si="33"/>
        <v>1.7837365591397849</v>
      </c>
      <c r="L48" s="640">
        <f t="shared" si="34"/>
        <v>9.9896602658788769</v>
      </c>
      <c r="M48" s="640">
        <f t="shared" si="38"/>
        <v>-0.59461077844311372</v>
      </c>
      <c r="N48" s="640">
        <f t="shared" si="39"/>
        <v>-0.59913586173787814</v>
      </c>
      <c r="O48" s="640">
        <f t="shared" si="40"/>
        <v>-5.1025056947608047E-2</v>
      </c>
      <c r="P48" s="655" t="s">
        <v>17</v>
      </c>
      <c r="T48" s="10"/>
      <c r="U48" s="10"/>
    </row>
    <row r="49" spans="2:22" ht="13.5" thickBot="1">
      <c r="B49" s="127">
        <f>SUM(B40:B48)</f>
        <v>1</v>
      </c>
      <c r="C49" s="570" t="s">
        <v>156</v>
      </c>
      <c r="D49" s="644">
        <f>SUM(D40,D43,D46)</f>
        <v>1229.982</v>
      </c>
      <c r="E49" s="645">
        <f>SUM(E40,E43,E46)</f>
        <v>1061.7449999999999</v>
      </c>
      <c r="F49" s="645">
        <f t="shared" ref="F49:I49" si="41">SUM(F40,F43,F46)</f>
        <v>1280.951</v>
      </c>
      <c r="G49" s="645">
        <f t="shared" si="41"/>
        <v>1115.8720000000001</v>
      </c>
      <c r="H49" s="645">
        <f t="shared" si="41"/>
        <v>1075.8890000000001</v>
      </c>
      <c r="I49" s="646">
        <f t="shared" si="41"/>
        <v>1043.7069999999999</v>
      </c>
      <c r="J49" s="571"/>
      <c r="K49" s="231">
        <f t="shared" si="33"/>
        <v>0.15845330093384014</v>
      </c>
      <c r="L49" s="232">
        <f t="shared" si="34"/>
        <v>-0.17112754508174016</v>
      </c>
      <c r="M49" s="232">
        <f t="shared" si="35"/>
        <v>0.14793721860571815</v>
      </c>
      <c r="N49" s="232">
        <f t="shared" si="36"/>
        <v>3.7162755637430947E-2</v>
      </c>
      <c r="O49" s="232">
        <f t="shared" si="37"/>
        <v>3.0834324192517869E-2</v>
      </c>
      <c r="P49" s="649" t="s">
        <v>17</v>
      </c>
      <c r="T49" s="10"/>
      <c r="U49" s="10"/>
    </row>
    <row r="50" spans="2:22">
      <c r="D50" s="656"/>
      <c r="T50" s="10"/>
      <c r="U50" s="10"/>
    </row>
    <row r="51" spans="2:22" ht="26.25" customHeight="1" thickBot="1">
      <c r="B51" s="1009" t="s">
        <v>181</v>
      </c>
      <c r="C51" s="1010"/>
      <c r="D51" s="1010"/>
      <c r="E51" s="1010"/>
      <c r="F51" s="1010"/>
      <c r="G51" s="1010"/>
      <c r="H51" s="1010"/>
      <c r="I51" s="1010"/>
      <c r="J51" s="1010"/>
      <c r="K51" s="1010"/>
      <c r="L51" s="1010"/>
      <c r="T51" s="10"/>
      <c r="U51" s="10"/>
    </row>
    <row r="52" spans="2:22" ht="21" thickBot="1">
      <c r="B52" s="150"/>
      <c r="C52" s="151"/>
      <c r="D52" s="961" t="s">
        <v>161</v>
      </c>
      <c r="E52" s="962"/>
      <c r="F52" s="962"/>
      <c r="G52" s="962"/>
      <c r="H52" s="130"/>
      <c r="I52" s="1007" t="s">
        <v>162</v>
      </c>
      <c r="J52" s="1008"/>
      <c r="K52" s="1008"/>
      <c r="L52" s="1008"/>
    </row>
    <row r="53" spans="2:22">
      <c r="B53" s="149" t="s">
        <v>163</v>
      </c>
      <c r="C53" s="120" t="s">
        <v>171</v>
      </c>
      <c r="D53" s="138">
        <v>2023</v>
      </c>
      <c r="E53" s="138">
        <f>D53-1</f>
        <v>2022</v>
      </c>
      <c r="F53" s="138">
        <f>E53-1</f>
        <v>2021</v>
      </c>
      <c r="G53" s="138">
        <f>F53-1</f>
        <v>2020</v>
      </c>
      <c r="H53" s="131"/>
      <c r="I53" s="133">
        <v>2023</v>
      </c>
      <c r="J53" s="133">
        <f t="shared" ref="J53" si="42">I53-1</f>
        <v>2022</v>
      </c>
      <c r="K53" s="133">
        <f t="shared" ref="K53" si="43">J53-1</f>
        <v>2021</v>
      </c>
      <c r="L53" s="133">
        <f t="shared" ref="L53" si="44">K53-1</f>
        <v>2020</v>
      </c>
    </row>
    <row r="54" spans="2:22">
      <c r="B54" s="134">
        <f>IFERROR(D54/$D$56,"")</f>
        <v>0.78711127939780812</v>
      </c>
      <c r="C54" s="123" t="s">
        <v>182</v>
      </c>
      <c r="D54" s="637">
        <v>968.70100000000002</v>
      </c>
      <c r="E54" s="637">
        <v>935.68899999999996</v>
      </c>
      <c r="F54" s="637">
        <v>1144.04</v>
      </c>
      <c r="G54" s="637">
        <v>1054.1770000000001</v>
      </c>
      <c r="H54" s="132"/>
      <c r="I54" s="233">
        <f t="shared" ref="I54:K56" si="45">(D54-E54)/E54</f>
        <v>3.5280953393702456E-2</v>
      </c>
      <c r="J54" s="233">
        <f t="shared" si="45"/>
        <v>-0.1821186322156568</v>
      </c>
      <c r="K54" s="233">
        <f t="shared" si="45"/>
        <v>8.524469799663606E-2</v>
      </c>
      <c r="L54" s="647" t="s">
        <v>17</v>
      </c>
      <c r="U54" s="10"/>
      <c r="V54" s="10"/>
    </row>
    <row r="55" spans="2:22">
      <c r="B55" s="134">
        <f>IFERROR(D55/$D$56,"")</f>
        <v>0.21288872060219191</v>
      </c>
      <c r="C55" s="124" t="s">
        <v>183</v>
      </c>
      <c r="D55" s="637">
        <v>262.00299999999999</v>
      </c>
      <c r="E55" s="637">
        <v>131.834</v>
      </c>
      <c r="F55" s="637">
        <v>136.953</v>
      </c>
      <c r="G55" s="637">
        <v>57.420999999999999</v>
      </c>
      <c r="H55" s="132"/>
      <c r="I55" s="234">
        <f t="shared" si="45"/>
        <v>0.98737048105951408</v>
      </c>
      <c r="J55" s="234">
        <f t="shared" si="45"/>
        <v>-3.7377786539907851E-2</v>
      </c>
      <c r="K55" s="234">
        <f t="shared" si="45"/>
        <v>1.3850681806307799</v>
      </c>
      <c r="L55" s="648" t="s">
        <v>17</v>
      </c>
      <c r="U55" s="10"/>
      <c r="V55" s="10"/>
    </row>
    <row r="56" spans="2:22">
      <c r="B56" s="127">
        <f>SUM(B54:B55)</f>
        <v>1</v>
      </c>
      <c r="C56" s="570" t="s">
        <v>156</v>
      </c>
      <c r="D56" s="644">
        <f>SUM(D54:D55)</f>
        <v>1230.704</v>
      </c>
      <c r="E56" s="645">
        <f t="shared" ref="E56:G56" si="46">SUM(E54:E55)</f>
        <v>1067.5229999999999</v>
      </c>
      <c r="F56" s="645">
        <f t="shared" si="46"/>
        <v>1280.9929999999999</v>
      </c>
      <c r="G56" s="646">
        <f t="shared" si="46"/>
        <v>1111.5980000000002</v>
      </c>
      <c r="H56" s="571"/>
      <c r="I56" s="231">
        <f t="shared" si="45"/>
        <v>0.15285947000673528</v>
      </c>
      <c r="J56" s="232">
        <f t="shared" si="45"/>
        <v>-0.1666441580867343</v>
      </c>
      <c r="K56" s="232">
        <f t="shared" si="45"/>
        <v>0.15238872326146657</v>
      </c>
      <c r="L56" s="649" t="s">
        <v>17</v>
      </c>
      <c r="U56" s="10"/>
      <c r="V56" s="10"/>
    </row>
    <row r="57" spans="2:22">
      <c r="U57" s="10"/>
      <c r="V57" s="10"/>
    </row>
    <row r="58" spans="2:22">
      <c r="T58" s="10"/>
      <c r="U58" s="10"/>
    </row>
    <row r="59" spans="2:22">
      <c r="T59" s="10"/>
      <c r="U59" s="10"/>
    </row>
    <row r="60" spans="2:22" ht="20.25">
      <c r="B60" s="961" t="s">
        <v>184</v>
      </c>
      <c r="C60" s="963"/>
      <c r="D60" s="961" t="s">
        <v>185</v>
      </c>
      <c r="E60" s="962"/>
      <c r="F60" s="962"/>
      <c r="G60" s="962"/>
      <c r="H60" s="962"/>
      <c r="I60" s="970" t="s">
        <v>186</v>
      </c>
      <c r="J60" s="971"/>
      <c r="K60" s="971"/>
      <c r="L60" s="971"/>
      <c r="M60" s="971"/>
      <c r="N60" s="971"/>
      <c r="O60" s="971"/>
      <c r="P60" s="971"/>
      <c r="Q60" s="121"/>
    </row>
    <row r="61" spans="2:22" ht="30.75" customHeight="1">
      <c r="B61" s="959" t="str">
        <f>C5</f>
        <v>Automobiles</v>
      </c>
      <c r="C61" s="960"/>
      <c r="D61" s="964" t="s">
        <v>187</v>
      </c>
      <c r="E61" s="965"/>
      <c r="F61" s="965"/>
      <c r="G61" s="965"/>
      <c r="H61" s="965"/>
      <c r="I61" s="121"/>
      <c r="Q61" s="121"/>
    </row>
    <row r="62" spans="2:22" ht="54.75" customHeight="1">
      <c r="B62" s="959" t="str">
        <f t="shared" ref="B62" si="47">C6</f>
        <v>Automotive Parts &amp; Components</v>
      </c>
      <c r="C62" s="960"/>
      <c r="D62" s="964" t="s">
        <v>188</v>
      </c>
      <c r="E62" s="965"/>
      <c r="F62" s="965"/>
      <c r="G62" s="965"/>
      <c r="H62" s="965"/>
      <c r="I62" s="121"/>
      <c r="Q62" s="121"/>
    </row>
    <row r="63" spans="2:22" ht="39" customHeight="1" thickBot="1">
      <c r="B63" s="959" t="s">
        <v>189</v>
      </c>
      <c r="C63" s="960"/>
      <c r="D63" s="966" t="s">
        <v>190</v>
      </c>
      <c r="E63" s="965"/>
      <c r="F63" s="965"/>
      <c r="G63" s="965"/>
      <c r="H63" s="967"/>
      <c r="I63" s="121"/>
      <c r="Q63" s="121"/>
    </row>
    <row r="64" spans="2:22" ht="28.5" hidden="1" customHeight="1">
      <c r="B64" s="959"/>
      <c r="C64" s="960"/>
      <c r="D64" s="968"/>
      <c r="E64" s="969"/>
      <c r="F64" s="969"/>
      <c r="G64" s="969"/>
      <c r="H64" s="969"/>
      <c r="I64" s="121"/>
      <c r="Q64" s="121"/>
    </row>
    <row r="65" spans="2:21" ht="56.25" customHeight="1" thickBot="1">
      <c r="I65" s="122"/>
      <c r="Q65" s="121"/>
    </row>
    <row r="66" spans="2:21" ht="21" thickBot="1">
      <c r="B66" s="961" t="s">
        <v>191</v>
      </c>
      <c r="C66" s="962"/>
      <c r="D66" s="962"/>
      <c r="E66" s="962"/>
      <c r="F66" s="962"/>
      <c r="G66" s="962"/>
      <c r="H66" s="962"/>
      <c r="I66" s="962"/>
      <c r="J66" s="1004" t="s">
        <v>192</v>
      </c>
      <c r="K66" s="1005"/>
      <c r="L66" s="1005"/>
      <c r="M66" s="1005"/>
      <c r="N66" s="1005"/>
      <c r="O66" s="1005"/>
      <c r="P66" s="1005"/>
      <c r="Q66" s="1006"/>
    </row>
    <row r="67" spans="2:21">
      <c r="B67" s="974" t="s">
        <v>193</v>
      </c>
      <c r="C67" s="975"/>
      <c r="D67" s="974" t="s">
        <v>185</v>
      </c>
      <c r="E67" s="978"/>
      <c r="F67" s="978"/>
      <c r="G67" s="978"/>
      <c r="H67" s="978"/>
      <c r="I67" s="978"/>
      <c r="J67" s="141"/>
      <c r="K67" s="143"/>
      <c r="L67" s="143"/>
      <c r="M67" s="143"/>
      <c r="N67" s="143"/>
      <c r="O67" s="143"/>
      <c r="P67" s="143"/>
      <c r="Q67" s="144"/>
    </row>
    <row r="68" spans="2:21">
      <c r="B68" s="976" t="s">
        <v>194</v>
      </c>
      <c r="C68" s="977"/>
      <c r="D68" s="983" t="s">
        <v>195</v>
      </c>
      <c r="E68" s="984"/>
      <c r="F68" s="984"/>
      <c r="G68" s="984"/>
      <c r="H68" s="984"/>
      <c r="I68" s="984"/>
      <c r="J68" s="121"/>
      <c r="Q68" s="145"/>
    </row>
    <row r="69" spans="2:21">
      <c r="B69" s="990" t="s">
        <v>196</v>
      </c>
      <c r="C69" s="991"/>
      <c r="D69" s="983" t="s">
        <v>197</v>
      </c>
      <c r="E69" s="984"/>
      <c r="F69" s="984"/>
      <c r="G69" s="984"/>
      <c r="H69" s="984"/>
      <c r="I69" s="984"/>
      <c r="J69" s="121"/>
      <c r="Q69" s="145"/>
    </row>
    <row r="70" spans="2:21">
      <c r="B70" s="974" t="s">
        <v>198</v>
      </c>
      <c r="C70" s="978"/>
      <c r="D70" s="978"/>
      <c r="E70" s="978"/>
      <c r="F70" s="978"/>
      <c r="G70" s="978"/>
      <c r="H70" s="978"/>
      <c r="I70" s="978"/>
      <c r="J70" s="121"/>
      <c r="Q70" s="145"/>
    </row>
    <row r="71" spans="2:21" ht="13.5" customHeight="1">
      <c r="B71" s="1014" t="s">
        <v>199</v>
      </c>
      <c r="C71" s="1015"/>
      <c r="D71" s="986" t="s">
        <v>200</v>
      </c>
      <c r="E71" s="987"/>
      <c r="F71" s="988"/>
      <c r="G71" s="986" t="s">
        <v>201</v>
      </c>
      <c r="H71" s="987"/>
      <c r="I71" s="989"/>
      <c r="J71" s="121"/>
      <c r="Q71" s="145"/>
      <c r="T71" s="10"/>
      <c r="U71" s="10"/>
    </row>
    <row r="72" spans="2:21">
      <c r="B72" s="992" t="s">
        <v>202</v>
      </c>
      <c r="C72" s="993"/>
      <c r="D72" s="998">
        <v>0.3206</v>
      </c>
      <c r="E72" s="999"/>
      <c r="F72" s="1000"/>
      <c r="G72" s="994" t="s">
        <v>203</v>
      </c>
      <c r="H72" s="995"/>
      <c r="I72" s="995"/>
      <c r="J72" s="121"/>
      <c r="Q72" s="145"/>
      <c r="T72" s="10"/>
      <c r="U72" s="10"/>
    </row>
    <row r="73" spans="2:21">
      <c r="B73" s="992" t="s">
        <v>204</v>
      </c>
      <c r="C73" s="993"/>
      <c r="D73" s="998">
        <v>7.0199999999999999E-2</v>
      </c>
      <c r="E73" s="999"/>
      <c r="F73" s="1000"/>
      <c r="G73" s="994" t="s">
        <v>205</v>
      </c>
      <c r="H73" s="995"/>
      <c r="I73" s="995"/>
      <c r="J73" s="121"/>
      <c r="Q73" s="145"/>
      <c r="T73" s="10"/>
      <c r="U73" s="10"/>
    </row>
    <row r="74" spans="2:21">
      <c r="B74" s="979" t="s">
        <v>206</v>
      </c>
      <c r="C74" s="980"/>
      <c r="D74" s="1011">
        <v>0.1552</v>
      </c>
      <c r="E74" s="1012"/>
      <c r="F74" s="1013"/>
      <c r="G74" s="996" t="s">
        <v>207</v>
      </c>
      <c r="H74" s="997"/>
      <c r="I74" s="997"/>
      <c r="J74" s="121"/>
      <c r="Q74" s="145"/>
      <c r="T74" s="10"/>
      <c r="U74" s="10"/>
    </row>
    <row r="75" spans="2:21" ht="12.75" customHeight="1">
      <c r="B75" s="981" t="s">
        <v>208</v>
      </c>
      <c r="C75" s="982"/>
      <c r="D75" s="985">
        <f>AVERAGE(D72:F74)</f>
        <v>0.18200000000000002</v>
      </c>
      <c r="E75" s="985"/>
      <c r="F75" s="985"/>
      <c r="G75" s="985"/>
      <c r="H75" s="985"/>
      <c r="I75" s="985"/>
      <c r="J75" s="121"/>
      <c r="Q75" s="145"/>
      <c r="T75" s="10"/>
      <c r="U75" s="10"/>
    </row>
    <row r="76" spans="2:21" ht="20.25">
      <c r="B76" s="951" t="s">
        <v>209</v>
      </c>
      <c r="C76" s="952"/>
      <c r="D76" s="952"/>
      <c r="E76" s="952"/>
      <c r="F76" s="952"/>
      <c r="G76" s="952"/>
      <c r="H76" s="952"/>
      <c r="I76" s="952"/>
      <c r="J76" s="121"/>
      <c r="Q76" s="145"/>
      <c r="T76" s="10"/>
      <c r="U76" s="10"/>
    </row>
    <row r="77" spans="2:21">
      <c r="B77" s="696" t="s">
        <v>210</v>
      </c>
      <c r="C77" s="697"/>
      <c r="D77" s="142"/>
      <c r="E77" s="143"/>
      <c r="F77" s="143"/>
      <c r="G77" s="143"/>
      <c r="H77" s="143"/>
      <c r="I77" s="143"/>
      <c r="J77" s="121"/>
      <c r="Q77" s="145"/>
      <c r="T77" s="10"/>
      <c r="U77" s="10"/>
    </row>
    <row r="78" spans="2:21">
      <c r="B78" s="698" t="s">
        <v>211</v>
      </c>
      <c r="C78" s="13"/>
      <c r="J78" s="121"/>
      <c r="Q78" s="145"/>
      <c r="T78" s="10"/>
      <c r="U78" s="10"/>
    </row>
    <row r="79" spans="2:21" ht="12.75" customHeight="1">
      <c r="B79" s="698" t="s">
        <v>212</v>
      </c>
      <c r="C79" s="13"/>
      <c r="D79" s="669"/>
      <c r="E79" s="669"/>
      <c r="F79" s="669"/>
      <c r="G79" s="669"/>
      <c r="H79" s="669"/>
      <c r="I79" s="669"/>
      <c r="J79" s="121"/>
      <c r="Q79" s="145"/>
      <c r="T79" s="10"/>
      <c r="U79" s="10"/>
    </row>
    <row r="80" spans="2:21">
      <c r="B80" s="698" t="s">
        <v>213</v>
      </c>
      <c r="C80" s="13"/>
      <c r="D80" s="669"/>
      <c r="E80" s="669"/>
      <c r="F80" s="669"/>
      <c r="G80" s="669"/>
      <c r="H80" s="669"/>
      <c r="I80" s="669"/>
      <c r="J80" s="121"/>
      <c r="Q80" s="145"/>
      <c r="T80" s="10"/>
      <c r="U80" s="10"/>
    </row>
    <row r="81" spans="2:21">
      <c r="B81" s="698" t="s">
        <v>214</v>
      </c>
      <c r="C81" s="13"/>
      <c r="D81" s="669"/>
      <c r="E81" s="669"/>
      <c r="F81" s="669"/>
      <c r="G81" s="669"/>
      <c r="H81" s="669"/>
      <c r="I81" s="669"/>
      <c r="J81" s="121"/>
      <c r="Q81" s="145"/>
      <c r="T81" s="10"/>
      <c r="U81" s="10"/>
    </row>
    <row r="82" spans="2:21">
      <c r="B82" s="698" t="s">
        <v>215</v>
      </c>
      <c r="C82" s="13"/>
      <c r="D82" s="669"/>
      <c r="E82" s="669"/>
      <c r="F82" s="669"/>
      <c r="G82" s="669"/>
      <c r="H82" s="669"/>
      <c r="I82" s="669"/>
      <c r="J82" s="121"/>
      <c r="Q82" s="145"/>
      <c r="T82" s="10"/>
      <c r="U82" s="10"/>
    </row>
    <row r="83" spans="2:21">
      <c r="B83" s="698" t="s">
        <v>216</v>
      </c>
      <c r="C83" s="13"/>
      <c r="D83" s="669"/>
      <c r="E83" s="669"/>
      <c r="F83" s="669"/>
      <c r="G83" s="669"/>
      <c r="H83" s="669"/>
      <c r="I83" s="669"/>
      <c r="J83" s="121"/>
      <c r="Q83" s="145"/>
      <c r="T83" s="10"/>
      <c r="U83" s="10"/>
    </row>
    <row r="84" spans="2:21">
      <c r="B84" s="698" t="s">
        <v>217</v>
      </c>
      <c r="C84" s="13"/>
      <c r="D84" s="669"/>
      <c r="E84" s="669"/>
      <c r="F84" s="669"/>
      <c r="G84" s="669"/>
      <c r="H84" s="669"/>
      <c r="I84" s="669"/>
      <c r="J84" s="121"/>
      <c r="Q84" s="145"/>
      <c r="T84" s="10"/>
      <c r="U84" s="10"/>
    </row>
    <row r="85" spans="2:21">
      <c r="B85" s="699" t="s">
        <v>218</v>
      </c>
      <c r="C85" s="13"/>
      <c r="D85" s="669"/>
      <c r="E85" s="669"/>
      <c r="F85" s="669"/>
      <c r="G85" s="669"/>
      <c r="H85" s="669"/>
      <c r="I85" s="669"/>
      <c r="J85" s="121"/>
      <c r="Q85" s="145"/>
      <c r="T85" s="10"/>
      <c r="U85" s="10"/>
    </row>
    <row r="86" spans="2:21">
      <c r="B86" s="700" t="s">
        <v>219</v>
      </c>
      <c r="C86" s="701"/>
      <c r="D86" s="670"/>
      <c r="E86" s="670"/>
      <c r="F86" s="670"/>
      <c r="G86" s="670"/>
      <c r="H86" s="670"/>
      <c r="I86" s="670"/>
      <c r="J86" s="122"/>
      <c r="K86" s="146"/>
      <c r="L86" s="146"/>
      <c r="M86" s="146"/>
      <c r="N86" s="146"/>
      <c r="O86" s="146"/>
      <c r="P86" s="146"/>
      <c r="Q86" s="147"/>
      <c r="T86" s="10"/>
      <c r="U86" s="10"/>
    </row>
    <row r="87" spans="2:21">
      <c r="T87" s="10"/>
      <c r="U87" s="10"/>
    </row>
    <row r="88" spans="2:21">
      <c r="T88" s="10"/>
      <c r="U88" s="10"/>
    </row>
    <row r="89" spans="2:21">
      <c r="T89" s="10"/>
      <c r="U89" s="10"/>
    </row>
    <row r="90" spans="2:21">
      <c r="T90" s="10"/>
      <c r="U90" s="10"/>
    </row>
    <row r="91" spans="2:21">
      <c r="O91" s="237"/>
      <c r="T91" s="10"/>
      <c r="U91" s="10"/>
    </row>
    <row r="92" spans="2:21">
      <c r="O92" s="237"/>
      <c r="T92" s="10"/>
      <c r="U92" s="10"/>
    </row>
    <row r="93" spans="2:21">
      <c r="O93" s="237"/>
      <c r="T93" s="10"/>
      <c r="U93" s="10"/>
    </row>
    <row r="94" spans="2:21">
      <c r="T94" s="10"/>
      <c r="U94" s="10"/>
    </row>
    <row r="95" spans="2:21">
      <c r="T95" s="10"/>
      <c r="U95" s="10"/>
    </row>
    <row r="96" spans="2:21">
      <c r="T96" s="10"/>
      <c r="U96" s="10"/>
    </row>
    <row r="97" spans="20:21">
      <c r="T97" s="10"/>
      <c r="U97" s="10"/>
    </row>
    <row r="98" spans="20:21">
      <c r="T98" s="10"/>
      <c r="U98" s="10"/>
    </row>
    <row r="99" spans="20:21">
      <c r="T99" s="10"/>
      <c r="U99" s="10"/>
    </row>
    <row r="100" spans="20:21">
      <c r="T100" s="10"/>
      <c r="U100" s="10"/>
    </row>
  </sheetData>
  <mergeCells count="51">
    <mergeCell ref="D73:F73"/>
    <mergeCell ref="D74:F74"/>
    <mergeCell ref="B70:I70"/>
    <mergeCell ref="B71:C71"/>
    <mergeCell ref="B72:C72"/>
    <mergeCell ref="G72:I72"/>
    <mergeCell ref="B26:P26"/>
    <mergeCell ref="B37:P37"/>
    <mergeCell ref="D38:I38"/>
    <mergeCell ref="K38:P38"/>
    <mergeCell ref="J66:Q66"/>
    <mergeCell ref="B66:I66"/>
    <mergeCell ref="D52:G52"/>
    <mergeCell ref="I52:L52"/>
    <mergeCell ref="B51:L51"/>
    <mergeCell ref="K27:P27"/>
    <mergeCell ref="D27:I27"/>
    <mergeCell ref="B63:C63"/>
    <mergeCell ref="B62:C62"/>
    <mergeCell ref="B76:I76"/>
    <mergeCell ref="B67:C67"/>
    <mergeCell ref="B68:C68"/>
    <mergeCell ref="D67:I67"/>
    <mergeCell ref="B74:C74"/>
    <mergeCell ref="B75:C75"/>
    <mergeCell ref="D68:I68"/>
    <mergeCell ref="D69:I69"/>
    <mergeCell ref="D75:I75"/>
    <mergeCell ref="D71:F71"/>
    <mergeCell ref="G71:I71"/>
    <mergeCell ref="B69:C69"/>
    <mergeCell ref="B73:C73"/>
    <mergeCell ref="G73:I73"/>
    <mergeCell ref="G74:I74"/>
    <mergeCell ref="D72:F72"/>
    <mergeCell ref="Q2:Y2"/>
    <mergeCell ref="K3:P3"/>
    <mergeCell ref="B2:P2"/>
    <mergeCell ref="K16:P16"/>
    <mergeCell ref="B64:C64"/>
    <mergeCell ref="B15:P15"/>
    <mergeCell ref="D16:I16"/>
    <mergeCell ref="D60:H60"/>
    <mergeCell ref="D61:H61"/>
    <mergeCell ref="D62:H62"/>
    <mergeCell ref="D63:H63"/>
    <mergeCell ref="D64:H64"/>
    <mergeCell ref="I60:P60"/>
    <mergeCell ref="D3:I3"/>
    <mergeCell ref="B61:C61"/>
    <mergeCell ref="B60:C60"/>
  </mergeCells>
  <phoneticPr fontId="0" type="noConversion"/>
  <conditionalFormatting sqref="B5:B12">
    <cfRule type="dataBar" priority="226">
      <dataBar>
        <cfvo type="min"/>
        <cfvo type="max"/>
        <color rgb="FF638EC6"/>
      </dataBar>
      <extLst>
        <ext xmlns:x14="http://schemas.microsoft.com/office/spreadsheetml/2009/9/main" uri="{B025F937-C7B1-47D3-B67F-A62EFF666E3E}">
          <x14:id>{6E381EE6-DF6C-4880-BDC6-793A4FBC9886}</x14:id>
        </ext>
      </extLst>
    </cfRule>
  </conditionalFormatting>
  <conditionalFormatting sqref="B18:B23">
    <cfRule type="dataBar" priority="197">
      <dataBar>
        <cfvo type="min"/>
        <cfvo type="max"/>
        <color rgb="FF638EC6"/>
      </dataBar>
      <extLst>
        <ext xmlns:x14="http://schemas.microsoft.com/office/spreadsheetml/2009/9/main" uri="{B025F937-C7B1-47D3-B67F-A62EFF666E3E}">
          <x14:id>{070902CC-8EB6-43DB-B9AD-5811F17D394B}</x14:id>
        </ext>
      </extLst>
    </cfRule>
  </conditionalFormatting>
  <conditionalFormatting sqref="B29:B34">
    <cfRule type="dataBar" priority="158">
      <dataBar>
        <cfvo type="min"/>
        <cfvo type="max"/>
        <color rgb="FF638EC6"/>
      </dataBar>
      <extLst>
        <ext xmlns:x14="http://schemas.microsoft.com/office/spreadsheetml/2009/9/main" uri="{B025F937-C7B1-47D3-B67F-A62EFF666E3E}">
          <x14:id>{972919B0-73B8-48BF-8BB6-887C0A9FF5F3}</x14:id>
        </ext>
      </extLst>
    </cfRule>
  </conditionalFormatting>
  <conditionalFormatting sqref="B40:B48">
    <cfRule type="dataBar" priority="126">
      <dataBar>
        <cfvo type="min"/>
        <cfvo type="max"/>
        <color rgb="FF638EC6"/>
      </dataBar>
      <extLst>
        <ext xmlns:x14="http://schemas.microsoft.com/office/spreadsheetml/2009/9/main" uri="{B025F937-C7B1-47D3-B67F-A62EFF666E3E}">
          <x14:id>{863A9C89-1C6A-4F7F-9FC6-52FE7865C11C}</x14:id>
        </ext>
      </extLst>
    </cfRule>
  </conditionalFormatting>
  <conditionalFormatting sqref="B54:B55">
    <cfRule type="dataBar" priority="279">
      <dataBar>
        <cfvo type="min"/>
        <cfvo type="max"/>
        <color rgb="FF638EC6"/>
      </dataBar>
      <extLst>
        <ext xmlns:x14="http://schemas.microsoft.com/office/spreadsheetml/2009/9/main" uri="{B025F937-C7B1-47D3-B67F-A62EFF666E3E}">
          <x14:id>{E7C842DE-076E-4616-9BFA-8B86D90743D2}</x14:id>
        </ext>
      </extLst>
    </cfRule>
  </conditionalFormatting>
  <conditionalFormatting sqref="D5:D12">
    <cfRule type="dataBar" priority="209">
      <dataBar>
        <cfvo type="min"/>
        <cfvo type="max"/>
        <color rgb="FF63C384"/>
      </dataBar>
      <extLst>
        <ext xmlns:x14="http://schemas.microsoft.com/office/spreadsheetml/2009/9/main" uri="{B025F937-C7B1-47D3-B67F-A62EFF666E3E}">
          <x14:id>{767D33FE-8570-4B26-81B7-5505E2A08A62}</x14:id>
        </ext>
      </extLst>
    </cfRule>
  </conditionalFormatting>
  <conditionalFormatting sqref="D18:D23">
    <cfRule type="dataBar" priority="167">
      <dataBar>
        <cfvo type="min"/>
        <cfvo type="max"/>
        <color rgb="FF63C384"/>
      </dataBar>
      <extLst>
        <ext xmlns:x14="http://schemas.microsoft.com/office/spreadsheetml/2009/9/main" uri="{B025F937-C7B1-47D3-B67F-A62EFF666E3E}">
          <x14:id>{3F107DCC-63A1-497B-B919-528218A545C1}</x14:id>
        </ext>
      </extLst>
    </cfRule>
  </conditionalFormatting>
  <conditionalFormatting sqref="D29:D34">
    <cfRule type="dataBar" priority="135">
      <dataBar>
        <cfvo type="min"/>
        <cfvo type="max"/>
        <color rgb="FF63C384"/>
      </dataBar>
      <extLst>
        <ext xmlns:x14="http://schemas.microsoft.com/office/spreadsheetml/2009/9/main" uri="{B025F937-C7B1-47D3-B67F-A62EFF666E3E}">
          <x14:id>{384B1865-D0D4-4329-8EB2-17A34DF02C01}</x14:id>
        </ext>
      </extLst>
    </cfRule>
  </conditionalFormatting>
  <conditionalFormatting sqref="D40 D43 D46">
    <cfRule type="dataBar" priority="103">
      <dataBar>
        <cfvo type="min"/>
        <cfvo type="max"/>
        <color rgb="FF63C384"/>
      </dataBar>
      <extLst>
        <ext xmlns:x14="http://schemas.microsoft.com/office/spreadsheetml/2009/9/main" uri="{B025F937-C7B1-47D3-B67F-A62EFF666E3E}">
          <x14:id>{B4B99515-9754-4AC2-9B30-0480725103EF}</x14:id>
        </ext>
      </extLst>
    </cfRule>
  </conditionalFormatting>
  <conditionalFormatting sqref="D54:D55">
    <cfRule type="dataBar" priority="271">
      <dataBar>
        <cfvo type="min"/>
        <cfvo type="max"/>
        <color rgb="FF63C384"/>
      </dataBar>
      <extLst>
        <ext xmlns:x14="http://schemas.microsoft.com/office/spreadsheetml/2009/9/main" uri="{B025F937-C7B1-47D3-B67F-A62EFF666E3E}">
          <x14:id>{441F7801-B4D1-4328-8D7E-D3AEBB68D51B}</x14:id>
        </ext>
      </extLst>
    </cfRule>
  </conditionalFormatting>
  <conditionalFormatting sqref="D54:G55">
    <cfRule type="dataBar" priority="272">
      <dataBar>
        <cfvo type="min"/>
        <cfvo type="max"/>
        <color rgb="FF63C384"/>
      </dataBar>
      <extLst>
        <ext xmlns:x14="http://schemas.microsoft.com/office/spreadsheetml/2009/9/main" uri="{B025F937-C7B1-47D3-B67F-A62EFF666E3E}">
          <x14:id>{2B08F4D1-349C-4A16-B061-0D8787A90E07}</x14:id>
        </ext>
      </extLst>
    </cfRule>
  </conditionalFormatting>
  <conditionalFormatting sqref="D5:I10">
    <cfRule type="dataBar" priority="183">
      <dataBar>
        <cfvo type="min"/>
        <cfvo type="max"/>
        <color rgb="FF63C384"/>
      </dataBar>
      <extLst>
        <ext xmlns:x14="http://schemas.microsoft.com/office/spreadsheetml/2009/9/main" uri="{B025F937-C7B1-47D3-B67F-A62EFF666E3E}">
          <x14:id>{83BDDF4E-0A7D-4B3E-A60B-AD52AC0FFA68}</x14:id>
        </ext>
      </extLst>
    </cfRule>
  </conditionalFormatting>
  <conditionalFormatting sqref="D18:I23">
    <cfRule type="dataBar" priority="161">
      <dataBar>
        <cfvo type="min"/>
        <cfvo type="max"/>
        <color rgb="FF63C384"/>
      </dataBar>
      <extLst>
        <ext xmlns:x14="http://schemas.microsoft.com/office/spreadsheetml/2009/9/main" uri="{B025F937-C7B1-47D3-B67F-A62EFF666E3E}">
          <x14:id>{5BBC426E-7FA9-4F5C-AC78-B3996BA8F931}</x14:id>
        </ext>
      </extLst>
    </cfRule>
  </conditionalFormatting>
  <conditionalFormatting sqref="D29:I34">
    <cfRule type="dataBar" priority="129">
      <dataBar>
        <cfvo type="min"/>
        <cfvo type="max"/>
        <color rgb="FF63C384"/>
      </dataBar>
      <extLst>
        <ext xmlns:x14="http://schemas.microsoft.com/office/spreadsheetml/2009/9/main" uri="{B025F937-C7B1-47D3-B67F-A62EFF666E3E}">
          <x14:id>{613A7C61-CDDD-44E3-B519-D298E6417E21}</x14:id>
        </ext>
      </extLst>
    </cfRule>
  </conditionalFormatting>
  <conditionalFormatting sqref="D40:I40 D43:I43 D46:I46">
    <cfRule type="dataBar" priority="97">
      <dataBar>
        <cfvo type="min"/>
        <cfvo type="max"/>
        <color rgb="FF63C384"/>
      </dataBar>
      <extLst>
        <ext xmlns:x14="http://schemas.microsoft.com/office/spreadsheetml/2009/9/main" uri="{B025F937-C7B1-47D3-B67F-A62EFF666E3E}">
          <x14:id>{94CA0B8C-F449-45AA-AC7D-D5E2E17D88BF}</x14:id>
        </ext>
      </extLst>
    </cfRule>
  </conditionalFormatting>
  <conditionalFormatting sqref="E5:E12">
    <cfRule type="dataBar" priority="208">
      <dataBar>
        <cfvo type="min"/>
        <cfvo type="max"/>
        <color rgb="FF63C384"/>
      </dataBar>
      <extLst>
        <ext xmlns:x14="http://schemas.microsoft.com/office/spreadsheetml/2009/9/main" uri="{B025F937-C7B1-47D3-B67F-A62EFF666E3E}">
          <x14:id>{740A2B96-C6E5-4177-AC04-9573B81E30EC}</x14:id>
        </ext>
      </extLst>
    </cfRule>
  </conditionalFormatting>
  <conditionalFormatting sqref="E18:E23">
    <cfRule type="dataBar" priority="166">
      <dataBar>
        <cfvo type="min"/>
        <cfvo type="max"/>
        <color rgb="FF63C384"/>
      </dataBar>
      <extLst>
        <ext xmlns:x14="http://schemas.microsoft.com/office/spreadsheetml/2009/9/main" uri="{B025F937-C7B1-47D3-B67F-A62EFF666E3E}">
          <x14:id>{5AA7A103-2149-42E1-9BBB-48A01258D43D}</x14:id>
        </ext>
      </extLst>
    </cfRule>
  </conditionalFormatting>
  <conditionalFormatting sqref="E29:E34">
    <cfRule type="dataBar" priority="134">
      <dataBar>
        <cfvo type="min"/>
        <cfvo type="max"/>
        <color rgb="FF63C384"/>
      </dataBar>
      <extLst>
        <ext xmlns:x14="http://schemas.microsoft.com/office/spreadsheetml/2009/9/main" uri="{B025F937-C7B1-47D3-B67F-A62EFF666E3E}">
          <x14:id>{0B530FA8-547C-44E3-8DA5-7740827A0F0F}</x14:id>
        </ext>
      </extLst>
    </cfRule>
  </conditionalFormatting>
  <conditionalFormatting sqref="E40 E43 E46">
    <cfRule type="dataBar" priority="102">
      <dataBar>
        <cfvo type="min"/>
        <cfvo type="max"/>
        <color rgb="FF63C384"/>
      </dataBar>
      <extLst>
        <ext xmlns:x14="http://schemas.microsoft.com/office/spreadsheetml/2009/9/main" uri="{B025F937-C7B1-47D3-B67F-A62EFF666E3E}">
          <x14:id>{13ACEEE8-B899-4683-A01A-F72B7ABD3FC6}</x14:id>
        </ext>
      </extLst>
    </cfRule>
  </conditionalFormatting>
  <conditionalFormatting sqref="E54:E55">
    <cfRule type="dataBar" priority="273">
      <dataBar>
        <cfvo type="min"/>
        <cfvo type="max"/>
        <color rgb="FF63C384"/>
      </dataBar>
      <extLst>
        <ext xmlns:x14="http://schemas.microsoft.com/office/spreadsheetml/2009/9/main" uri="{B025F937-C7B1-47D3-B67F-A62EFF666E3E}">
          <x14:id>{1968FF61-A6BE-4D47-9AB5-F25CB6910901}</x14:id>
        </ext>
      </extLst>
    </cfRule>
  </conditionalFormatting>
  <conditionalFormatting sqref="F5:F12">
    <cfRule type="dataBar" priority="207">
      <dataBar>
        <cfvo type="min"/>
        <cfvo type="max"/>
        <color rgb="FF63C384"/>
      </dataBar>
      <extLst>
        <ext xmlns:x14="http://schemas.microsoft.com/office/spreadsheetml/2009/9/main" uri="{B025F937-C7B1-47D3-B67F-A62EFF666E3E}">
          <x14:id>{5EFE30C4-0901-404E-9108-731E3BE4821E}</x14:id>
        </ext>
      </extLst>
    </cfRule>
  </conditionalFormatting>
  <conditionalFormatting sqref="F18:F23">
    <cfRule type="dataBar" priority="165">
      <dataBar>
        <cfvo type="min"/>
        <cfvo type="max"/>
        <color rgb="FF63C384"/>
      </dataBar>
      <extLst>
        <ext xmlns:x14="http://schemas.microsoft.com/office/spreadsheetml/2009/9/main" uri="{B025F937-C7B1-47D3-B67F-A62EFF666E3E}">
          <x14:id>{5EE1521A-2483-44CA-9CCA-E5FC63E6246F}</x14:id>
        </ext>
      </extLst>
    </cfRule>
  </conditionalFormatting>
  <conditionalFormatting sqref="F29:F34">
    <cfRule type="dataBar" priority="133">
      <dataBar>
        <cfvo type="min"/>
        <cfvo type="max"/>
        <color rgb="FF63C384"/>
      </dataBar>
      <extLst>
        <ext xmlns:x14="http://schemas.microsoft.com/office/spreadsheetml/2009/9/main" uri="{B025F937-C7B1-47D3-B67F-A62EFF666E3E}">
          <x14:id>{4371DC2C-3C52-4D7D-8A63-0448257D7225}</x14:id>
        </ext>
      </extLst>
    </cfRule>
  </conditionalFormatting>
  <conditionalFormatting sqref="F40 F43 F46">
    <cfRule type="dataBar" priority="101">
      <dataBar>
        <cfvo type="min"/>
        <cfvo type="max"/>
        <color rgb="FF63C384"/>
      </dataBar>
      <extLst>
        <ext xmlns:x14="http://schemas.microsoft.com/office/spreadsheetml/2009/9/main" uri="{B025F937-C7B1-47D3-B67F-A62EFF666E3E}">
          <x14:id>{22511D4E-44F5-4EEE-9287-252308F5A2AB}</x14:id>
        </ext>
      </extLst>
    </cfRule>
  </conditionalFormatting>
  <conditionalFormatting sqref="F54:F55">
    <cfRule type="dataBar" priority="274">
      <dataBar>
        <cfvo type="min"/>
        <cfvo type="max"/>
        <color rgb="FF63C384"/>
      </dataBar>
      <extLst>
        <ext xmlns:x14="http://schemas.microsoft.com/office/spreadsheetml/2009/9/main" uri="{B025F937-C7B1-47D3-B67F-A62EFF666E3E}">
          <x14:id>{C9FBE745-CA11-400A-9B25-06C1D1A4B428}</x14:id>
        </ext>
      </extLst>
    </cfRule>
  </conditionalFormatting>
  <conditionalFormatting sqref="G5:G12">
    <cfRule type="dataBar" priority="206">
      <dataBar>
        <cfvo type="min"/>
        <cfvo type="max"/>
        <color rgb="FF63C384"/>
      </dataBar>
      <extLst>
        <ext xmlns:x14="http://schemas.microsoft.com/office/spreadsheetml/2009/9/main" uri="{B025F937-C7B1-47D3-B67F-A62EFF666E3E}">
          <x14:id>{A1F44ECC-EF2B-4606-87E9-B7F443AC18BF}</x14:id>
        </ext>
      </extLst>
    </cfRule>
  </conditionalFormatting>
  <conditionalFormatting sqref="G18:G23">
    <cfRule type="dataBar" priority="164">
      <dataBar>
        <cfvo type="min"/>
        <cfvo type="max"/>
        <color rgb="FF63C384"/>
      </dataBar>
      <extLst>
        <ext xmlns:x14="http://schemas.microsoft.com/office/spreadsheetml/2009/9/main" uri="{B025F937-C7B1-47D3-B67F-A62EFF666E3E}">
          <x14:id>{00DC50B7-1706-4DFB-A90F-9F95CB19CA6D}</x14:id>
        </ext>
      </extLst>
    </cfRule>
  </conditionalFormatting>
  <conditionalFormatting sqref="G29:G34">
    <cfRule type="dataBar" priority="132">
      <dataBar>
        <cfvo type="min"/>
        <cfvo type="max"/>
        <color rgb="FF63C384"/>
      </dataBar>
      <extLst>
        <ext xmlns:x14="http://schemas.microsoft.com/office/spreadsheetml/2009/9/main" uri="{B025F937-C7B1-47D3-B67F-A62EFF666E3E}">
          <x14:id>{29CB7842-1D71-4F33-935E-D0BA58F697AE}</x14:id>
        </ext>
      </extLst>
    </cfRule>
  </conditionalFormatting>
  <conditionalFormatting sqref="G40 G43 G46">
    <cfRule type="dataBar" priority="100">
      <dataBar>
        <cfvo type="min"/>
        <cfvo type="max"/>
        <color rgb="FF63C384"/>
      </dataBar>
      <extLst>
        <ext xmlns:x14="http://schemas.microsoft.com/office/spreadsheetml/2009/9/main" uri="{B025F937-C7B1-47D3-B67F-A62EFF666E3E}">
          <x14:id>{E34B0EB6-AD9B-405F-9313-6D51E4556017}</x14:id>
        </ext>
      </extLst>
    </cfRule>
  </conditionalFormatting>
  <conditionalFormatting sqref="G54:G55">
    <cfRule type="dataBar" priority="275">
      <dataBar>
        <cfvo type="min"/>
        <cfvo type="max"/>
        <color rgb="FF63C384"/>
      </dataBar>
      <extLst>
        <ext xmlns:x14="http://schemas.microsoft.com/office/spreadsheetml/2009/9/main" uri="{B025F937-C7B1-47D3-B67F-A62EFF666E3E}">
          <x14:id>{95FCF058-2B02-41A3-B199-87CEF819F55F}</x14:id>
        </ext>
      </extLst>
    </cfRule>
  </conditionalFormatting>
  <conditionalFormatting sqref="H5:H12">
    <cfRule type="dataBar" priority="205">
      <dataBar>
        <cfvo type="min"/>
        <cfvo type="max"/>
        <color rgb="FF63C384"/>
      </dataBar>
      <extLst>
        <ext xmlns:x14="http://schemas.microsoft.com/office/spreadsheetml/2009/9/main" uri="{B025F937-C7B1-47D3-B67F-A62EFF666E3E}">
          <x14:id>{4320827E-AAAF-46DA-9F47-1F13F9C2B2E6}</x14:id>
        </ext>
      </extLst>
    </cfRule>
  </conditionalFormatting>
  <conditionalFormatting sqref="H18:H23">
    <cfRule type="dataBar" priority="163">
      <dataBar>
        <cfvo type="min"/>
        <cfvo type="max"/>
        <color rgb="FF63C384"/>
      </dataBar>
      <extLst>
        <ext xmlns:x14="http://schemas.microsoft.com/office/spreadsheetml/2009/9/main" uri="{B025F937-C7B1-47D3-B67F-A62EFF666E3E}">
          <x14:id>{EED505F4-1AE5-4E85-A25F-1DAC1EADC97D}</x14:id>
        </ext>
      </extLst>
    </cfRule>
  </conditionalFormatting>
  <conditionalFormatting sqref="H29:H34">
    <cfRule type="dataBar" priority="131">
      <dataBar>
        <cfvo type="min"/>
        <cfvo type="max"/>
        <color rgb="FF63C384"/>
      </dataBar>
      <extLst>
        <ext xmlns:x14="http://schemas.microsoft.com/office/spreadsheetml/2009/9/main" uri="{B025F937-C7B1-47D3-B67F-A62EFF666E3E}">
          <x14:id>{39950A1C-21CD-4603-AB74-E08B46E94FB9}</x14:id>
        </ext>
      </extLst>
    </cfRule>
  </conditionalFormatting>
  <conditionalFormatting sqref="H40 H43 H46">
    <cfRule type="dataBar" priority="99">
      <dataBar>
        <cfvo type="min"/>
        <cfvo type="max"/>
        <color rgb="FF63C384"/>
      </dataBar>
      <extLst>
        <ext xmlns:x14="http://schemas.microsoft.com/office/spreadsheetml/2009/9/main" uri="{B025F937-C7B1-47D3-B67F-A62EFF666E3E}">
          <x14:id>{98F2E17C-BC42-47C7-8A01-2F398E1031A7}</x14:id>
        </ext>
      </extLst>
    </cfRule>
  </conditionalFormatting>
  <conditionalFormatting sqref="I5:I12">
    <cfRule type="dataBar" priority="204">
      <dataBar>
        <cfvo type="min"/>
        <cfvo type="max"/>
        <color rgb="FF63C384"/>
      </dataBar>
      <extLst>
        <ext xmlns:x14="http://schemas.microsoft.com/office/spreadsheetml/2009/9/main" uri="{B025F937-C7B1-47D3-B67F-A62EFF666E3E}">
          <x14:id>{5091493A-8CC0-4646-874A-93DEE51CD4AB}</x14:id>
        </ext>
      </extLst>
    </cfRule>
  </conditionalFormatting>
  <conditionalFormatting sqref="I18:I23">
    <cfRule type="dataBar" priority="162">
      <dataBar>
        <cfvo type="min"/>
        <cfvo type="max"/>
        <color rgb="FF63C384"/>
      </dataBar>
      <extLst>
        <ext xmlns:x14="http://schemas.microsoft.com/office/spreadsheetml/2009/9/main" uri="{B025F937-C7B1-47D3-B67F-A62EFF666E3E}">
          <x14:id>{A192D211-7CF8-4DE2-A7D7-7E84CEAE76AC}</x14:id>
        </ext>
      </extLst>
    </cfRule>
  </conditionalFormatting>
  <conditionalFormatting sqref="I29:I34">
    <cfRule type="dataBar" priority="130">
      <dataBar>
        <cfvo type="min"/>
        <cfvo type="max"/>
        <color rgb="FF63C384"/>
      </dataBar>
      <extLst>
        <ext xmlns:x14="http://schemas.microsoft.com/office/spreadsheetml/2009/9/main" uri="{B025F937-C7B1-47D3-B67F-A62EFF666E3E}">
          <x14:id>{DAD18344-5C52-4FC2-B48A-3E1E66A9DE34}</x14:id>
        </ext>
      </extLst>
    </cfRule>
  </conditionalFormatting>
  <conditionalFormatting sqref="I40 I43 I46">
    <cfRule type="dataBar" priority="98">
      <dataBar>
        <cfvo type="min"/>
        <cfvo type="max"/>
        <color rgb="FF63C384"/>
      </dataBar>
      <extLst>
        <ext xmlns:x14="http://schemas.microsoft.com/office/spreadsheetml/2009/9/main" uri="{B025F937-C7B1-47D3-B67F-A62EFF666E3E}">
          <x14:id>{DFC14C5A-1101-4E2F-8DA9-5D5D695D51E1}</x14:id>
        </ext>
      </extLst>
    </cfRule>
  </conditionalFormatting>
  <conditionalFormatting sqref="I54:I55">
    <cfRule type="dataBar" priority="280">
      <dataBar>
        <cfvo type="min"/>
        <cfvo type="max"/>
        <color rgb="FF63C384"/>
      </dataBar>
      <extLst>
        <ext xmlns:x14="http://schemas.microsoft.com/office/spreadsheetml/2009/9/main" uri="{B025F937-C7B1-47D3-B67F-A62EFF666E3E}">
          <x14:id>{A7AA75C6-74FF-49F7-B822-E7AB391C1AC3}</x14:id>
        </ext>
      </extLst>
    </cfRule>
  </conditionalFormatting>
  <conditionalFormatting sqref="I54:L55">
    <cfRule type="dataBar" priority="293">
      <dataBar>
        <cfvo type="min"/>
        <cfvo type="max"/>
        <color rgb="FF63C384"/>
      </dataBar>
      <extLst>
        <ext xmlns:x14="http://schemas.microsoft.com/office/spreadsheetml/2009/9/main" uri="{B025F937-C7B1-47D3-B67F-A62EFF666E3E}">
          <x14:id>{D9A1A0A0-AB96-481A-94B7-BB26CE5B3F1F}</x14:id>
        </ext>
      </extLst>
    </cfRule>
    <cfRule type="dataBar" priority="295">
      <dataBar>
        <cfvo type="min"/>
        <cfvo type="max"/>
        <color rgb="FF63C384"/>
      </dataBar>
      <extLst>
        <ext xmlns:x14="http://schemas.microsoft.com/office/spreadsheetml/2009/9/main" uri="{B025F937-C7B1-47D3-B67F-A62EFF666E3E}">
          <x14:id>{A7368CA4-7A69-4BAF-85E9-14C43D4CE0D8}</x14:id>
        </ext>
      </extLst>
    </cfRule>
    <cfRule type="dataBar" priority="296">
      <dataBar>
        <cfvo type="min"/>
        <cfvo type="max"/>
        <color rgb="FF63C384"/>
      </dataBar>
      <extLst>
        <ext xmlns:x14="http://schemas.microsoft.com/office/spreadsheetml/2009/9/main" uri="{B025F937-C7B1-47D3-B67F-A62EFF666E3E}">
          <x14:id>{D0FFE44D-FA66-46A3-B128-6583F3610D3F}</x14:id>
        </ext>
      </extLst>
    </cfRule>
    <cfRule type="dataBar" priority="299">
      <dataBar>
        <cfvo type="min"/>
        <cfvo type="max"/>
        <color rgb="FF63C384"/>
      </dataBar>
      <extLst>
        <ext xmlns:x14="http://schemas.microsoft.com/office/spreadsheetml/2009/9/main" uri="{B025F937-C7B1-47D3-B67F-A62EFF666E3E}">
          <x14:id>{7AC5821E-B227-419A-B4C6-27F9889FBA38}</x14:id>
        </ext>
      </extLst>
    </cfRule>
    <cfRule type="dataBar" priority="300">
      <dataBar>
        <cfvo type="min"/>
        <cfvo type="max"/>
        <color rgb="FF63C384"/>
      </dataBar>
      <extLst>
        <ext xmlns:x14="http://schemas.microsoft.com/office/spreadsheetml/2009/9/main" uri="{B025F937-C7B1-47D3-B67F-A62EFF666E3E}">
          <x14:id>{A07FBE4A-D174-4BA7-8455-B72B59A85AC4}</x14:id>
        </ext>
      </extLst>
    </cfRule>
    <cfRule type="dataBar" priority="301">
      <dataBar>
        <cfvo type="min"/>
        <cfvo type="max"/>
        <color rgb="FF63C384"/>
      </dataBar>
      <extLst>
        <ext xmlns:x14="http://schemas.microsoft.com/office/spreadsheetml/2009/9/main" uri="{B025F937-C7B1-47D3-B67F-A62EFF666E3E}">
          <x14:id>{7DC284CC-AA85-4547-A334-19EA5A7BE45D}</x14:id>
        </ext>
      </extLst>
    </cfRule>
    <cfRule type="dataBar" priority="302">
      <dataBar>
        <cfvo type="min"/>
        <cfvo type="max"/>
        <color rgb="FF63C384"/>
      </dataBar>
      <extLst>
        <ext xmlns:x14="http://schemas.microsoft.com/office/spreadsheetml/2009/9/main" uri="{B025F937-C7B1-47D3-B67F-A62EFF666E3E}">
          <x14:id>{4F82DA98-62C8-4FB0-8500-E489587C7ACA}</x14:id>
        </ext>
      </extLst>
    </cfRule>
    <cfRule type="dataBar" priority="307">
      <dataBar>
        <cfvo type="min"/>
        <cfvo type="max"/>
        <color rgb="FF63C384"/>
      </dataBar>
      <extLst>
        <ext xmlns:x14="http://schemas.microsoft.com/office/spreadsheetml/2009/9/main" uri="{B025F937-C7B1-47D3-B67F-A62EFF666E3E}">
          <x14:id>{E7F37615-0AE4-4A4A-B912-19D9BD83911C}</x14:id>
        </ext>
      </extLst>
    </cfRule>
  </conditionalFormatting>
  <conditionalFormatting sqref="J54:J55">
    <cfRule type="dataBar" priority="289">
      <dataBar>
        <cfvo type="min"/>
        <cfvo type="max"/>
        <color rgb="FF63C384"/>
      </dataBar>
      <extLst>
        <ext xmlns:x14="http://schemas.microsoft.com/office/spreadsheetml/2009/9/main" uri="{B025F937-C7B1-47D3-B67F-A62EFF666E3E}">
          <x14:id>{6542EFEB-8CDE-4FB2-A461-DB1D732127CD}</x14:id>
        </ext>
      </extLst>
    </cfRule>
  </conditionalFormatting>
  <conditionalFormatting sqref="K5:K12">
    <cfRule type="dataBar" priority="216">
      <dataBar>
        <cfvo type="min"/>
        <cfvo type="max"/>
        <color rgb="FF63C384"/>
      </dataBar>
      <extLst>
        <ext xmlns:x14="http://schemas.microsoft.com/office/spreadsheetml/2009/9/main" uri="{B025F937-C7B1-47D3-B67F-A62EFF666E3E}">
          <x14:id>{5A27FB5F-AC6D-40FD-B152-7630C251B9C8}</x14:id>
        </ext>
      </extLst>
    </cfRule>
  </conditionalFormatting>
  <conditionalFormatting sqref="K18:K19">
    <cfRule type="dataBar" priority="27">
      <dataBar>
        <cfvo type="min"/>
        <cfvo type="max"/>
        <color rgb="FF63C384"/>
      </dataBar>
      <extLst>
        <ext xmlns:x14="http://schemas.microsoft.com/office/spreadsheetml/2009/9/main" uri="{B025F937-C7B1-47D3-B67F-A62EFF666E3E}">
          <x14:id>{EC97311F-6E0C-4340-B88C-6BD9D0ACE38B}</x14:id>
        </ext>
      </extLst>
    </cfRule>
  </conditionalFormatting>
  <conditionalFormatting sqref="K20:K22">
    <cfRule type="dataBar" priority="174">
      <dataBar>
        <cfvo type="min"/>
        <cfvo type="max"/>
        <color rgb="FF63C384"/>
      </dataBar>
      <extLst>
        <ext xmlns:x14="http://schemas.microsoft.com/office/spreadsheetml/2009/9/main" uri="{B025F937-C7B1-47D3-B67F-A62EFF666E3E}">
          <x14:id>{60785AC6-7D44-400D-A2D8-9BBBDC5C548B}</x14:id>
        </ext>
      </extLst>
    </cfRule>
  </conditionalFormatting>
  <conditionalFormatting sqref="K29:K30">
    <cfRule type="dataBar" priority="22">
      <dataBar>
        <cfvo type="min"/>
        <cfvo type="max"/>
        <color rgb="FF63C384"/>
      </dataBar>
      <extLst>
        <ext xmlns:x14="http://schemas.microsoft.com/office/spreadsheetml/2009/9/main" uri="{B025F937-C7B1-47D3-B67F-A62EFF666E3E}">
          <x14:id>{5D585EFD-089A-4086-A2BD-E05CCBA9AD02}</x14:id>
        </ext>
      </extLst>
    </cfRule>
  </conditionalFormatting>
  <conditionalFormatting sqref="K31:K33">
    <cfRule type="dataBar" priority="142">
      <dataBar>
        <cfvo type="min"/>
        <cfvo type="max"/>
        <color rgb="FF63C384"/>
      </dataBar>
      <extLst>
        <ext xmlns:x14="http://schemas.microsoft.com/office/spreadsheetml/2009/9/main" uri="{B025F937-C7B1-47D3-B67F-A62EFF666E3E}">
          <x14:id>{1CEBAC69-F354-4AC6-A8A0-1CD58EF83787}</x14:id>
        </ext>
      </extLst>
    </cfRule>
  </conditionalFormatting>
  <conditionalFormatting sqref="K55">
    <cfRule type="dataBar" priority="278">
      <dataBar>
        <cfvo type="min"/>
        <cfvo type="max"/>
        <color rgb="FF63C384"/>
      </dataBar>
      <extLst>
        <ext xmlns:x14="http://schemas.microsoft.com/office/spreadsheetml/2009/9/main" uri="{B025F937-C7B1-47D3-B67F-A62EFF666E3E}">
          <x14:id>{5635FBB0-E3A3-4778-9D45-A61B4DD4AABB}</x14:id>
        </ext>
      </extLst>
    </cfRule>
  </conditionalFormatting>
  <conditionalFormatting sqref="K20:O22">
    <cfRule type="dataBar" priority="194">
      <dataBar>
        <cfvo type="min"/>
        <cfvo type="max"/>
        <color rgb="FF63C384"/>
      </dataBar>
      <extLst>
        <ext xmlns:x14="http://schemas.microsoft.com/office/spreadsheetml/2009/9/main" uri="{B025F937-C7B1-47D3-B67F-A62EFF666E3E}">
          <x14:id>{BE9D279A-ADD8-46F4-B26E-577DEFFA037B}</x14:id>
        </ext>
      </extLst>
    </cfRule>
  </conditionalFormatting>
  <conditionalFormatting sqref="K20:O23">
    <cfRule type="dataBar" priority="186">
      <dataBar>
        <cfvo type="min"/>
        <cfvo type="max"/>
        <color rgb="FF63C384"/>
      </dataBar>
      <extLst>
        <ext xmlns:x14="http://schemas.microsoft.com/office/spreadsheetml/2009/9/main" uri="{B025F937-C7B1-47D3-B67F-A62EFF666E3E}">
          <x14:id>{CBC457F7-3DB8-46A0-988B-11CCF8FF31E5}</x14:id>
        </ext>
      </extLst>
    </cfRule>
    <cfRule type="dataBar" priority="222">
      <dataBar>
        <cfvo type="min"/>
        <cfvo type="max"/>
        <color rgb="FF63C384"/>
      </dataBar>
      <extLst>
        <ext xmlns:x14="http://schemas.microsoft.com/office/spreadsheetml/2009/9/main" uri="{B025F937-C7B1-47D3-B67F-A62EFF666E3E}">
          <x14:id>{589E11FE-E342-4D21-9EB3-CB0F15AE87A6}</x14:id>
        </ext>
      </extLst>
    </cfRule>
  </conditionalFormatting>
  <conditionalFormatting sqref="K31:O33">
    <cfRule type="dataBar" priority="157">
      <dataBar>
        <cfvo type="min"/>
        <cfvo type="max"/>
        <color rgb="FF63C384"/>
      </dataBar>
      <extLst>
        <ext xmlns:x14="http://schemas.microsoft.com/office/spreadsheetml/2009/9/main" uri="{B025F937-C7B1-47D3-B67F-A62EFF666E3E}">
          <x14:id>{4EAA6084-0907-4F67-8C66-09C7473F94C3}</x14:id>
        </ext>
      </extLst>
    </cfRule>
  </conditionalFormatting>
  <conditionalFormatting sqref="K31:O34">
    <cfRule type="dataBar" priority="151">
      <dataBar>
        <cfvo type="min"/>
        <cfvo type="max"/>
        <color rgb="FF63C384"/>
      </dataBar>
      <extLst>
        <ext xmlns:x14="http://schemas.microsoft.com/office/spreadsheetml/2009/9/main" uri="{B025F937-C7B1-47D3-B67F-A62EFF666E3E}">
          <x14:id>{9B3F5EF5-5A7D-42DD-943C-0A8D95D93CF2}</x14:id>
        </ext>
      </extLst>
    </cfRule>
    <cfRule type="dataBar" priority="160">
      <dataBar>
        <cfvo type="min"/>
        <cfvo type="max"/>
        <color rgb="FF63C384"/>
      </dataBar>
      <extLst>
        <ext xmlns:x14="http://schemas.microsoft.com/office/spreadsheetml/2009/9/main" uri="{B025F937-C7B1-47D3-B67F-A62EFF666E3E}">
          <x14:id>{4FD942A7-D02C-42A9-8EDE-25306AE28B27}</x14:id>
        </ext>
      </extLst>
    </cfRule>
  </conditionalFormatting>
  <conditionalFormatting sqref="K40:O40 N51 K43:O43 K46:O46">
    <cfRule type="dataBar" priority="1">
      <dataBar>
        <cfvo type="min"/>
        <cfvo type="max"/>
        <color rgb="FF63C384"/>
      </dataBar>
      <extLst>
        <ext xmlns:x14="http://schemas.microsoft.com/office/spreadsheetml/2009/9/main" uri="{B025F937-C7B1-47D3-B67F-A62EFF666E3E}">
          <x14:id>{D4D8325C-0B75-4BDD-A6D8-F52052243561}</x14:id>
        </ext>
      </extLst>
    </cfRule>
  </conditionalFormatting>
  <conditionalFormatting sqref="K5:P10">
    <cfRule type="dataBar" priority="189">
      <dataBar>
        <cfvo type="min"/>
        <cfvo type="max"/>
        <color rgb="FF63C384"/>
      </dataBar>
      <extLst>
        <ext xmlns:x14="http://schemas.microsoft.com/office/spreadsheetml/2009/9/main" uri="{B025F937-C7B1-47D3-B67F-A62EFF666E3E}">
          <x14:id>{1642E512-5328-4DB9-81F4-5A67EFFA2D7A}</x14:id>
        </ext>
      </extLst>
    </cfRule>
    <cfRule type="dataBar" priority="190">
      <dataBar>
        <cfvo type="min"/>
        <cfvo type="max"/>
        <color rgb="FF63C384"/>
      </dataBar>
      <extLst>
        <ext xmlns:x14="http://schemas.microsoft.com/office/spreadsheetml/2009/9/main" uri="{B025F937-C7B1-47D3-B67F-A62EFF666E3E}">
          <x14:id>{5832A442-CC22-41FC-AD17-86122538435B}</x14:id>
        </ext>
      </extLst>
    </cfRule>
  </conditionalFormatting>
  <conditionalFormatting sqref="K18:P19">
    <cfRule type="dataBar" priority="23">
      <dataBar>
        <cfvo type="min"/>
        <cfvo type="max"/>
        <color rgb="FF63C384"/>
      </dataBar>
      <extLst>
        <ext xmlns:x14="http://schemas.microsoft.com/office/spreadsheetml/2009/9/main" uri="{B025F937-C7B1-47D3-B67F-A62EFF666E3E}">
          <x14:id>{89B86DF7-6C9A-4AED-95B3-17A10F17C75A}</x14:id>
        </ext>
      </extLst>
    </cfRule>
    <cfRule type="dataBar" priority="24">
      <dataBar>
        <cfvo type="min"/>
        <cfvo type="max"/>
        <color rgb="FF63C384"/>
      </dataBar>
      <extLst>
        <ext xmlns:x14="http://schemas.microsoft.com/office/spreadsheetml/2009/9/main" uri="{B025F937-C7B1-47D3-B67F-A62EFF666E3E}">
          <x14:id>{8F054359-96CF-41E5-93B9-D6AC8D539303}</x14:id>
        </ext>
      </extLst>
    </cfRule>
  </conditionalFormatting>
  <conditionalFormatting sqref="K20:P22">
    <cfRule type="dataBar" priority="168">
      <dataBar>
        <cfvo type="min"/>
        <cfvo type="max"/>
        <color rgb="FF63C384"/>
      </dataBar>
      <extLst>
        <ext xmlns:x14="http://schemas.microsoft.com/office/spreadsheetml/2009/9/main" uri="{B025F937-C7B1-47D3-B67F-A62EFF666E3E}">
          <x14:id>{A85696C3-3FD4-4347-BBC8-6CEF041D9BC2}</x14:id>
        </ext>
      </extLst>
    </cfRule>
    <cfRule type="dataBar" priority="185">
      <dataBar>
        <cfvo type="min"/>
        <cfvo type="max"/>
        <color rgb="FF63C384"/>
      </dataBar>
      <extLst>
        <ext xmlns:x14="http://schemas.microsoft.com/office/spreadsheetml/2009/9/main" uri="{B025F937-C7B1-47D3-B67F-A62EFF666E3E}">
          <x14:id>{4CBCF4A4-EFBB-41F0-984E-0C4EF2D8C81C}</x14:id>
        </ext>
      </extLst>
    </cfRule>
    <cfRule type="dataBar" priority="187">
      <dataBar>
        <cfvo type="min"/>
        <cfvo type="max"/>
        <color rgb="FF63C384"/>
      </dataBar>
      <extLst>
        <ext xmlns:x14="http://schemas.microsoft.com/office/spreadsheetml/2009/9/main" uri="{B025F937-C7B1-47D3-B67F-A62EFF666E3E}">
          <x14:id>{9095667E-69EE-4811-BEDE-AFA010708C3B}</x14:id>
        </ext>
      </extLst>
    </cfRule>
    <cfRule type="dataBar" priority="192">
      <dataBar>
        <cfvo type="min"/>
        <cfvo type="max"/>
        <color rgb="FF63C384"/>
      </dataBar>
      <extLst>
        <ext xmlns:x14="http://schemas.microsoft.com/office/spreadsheetml/2009/9/main" uri="{B025F937-C7B1-47D3-B67F-A62EFF666E3E}">
          <x14:id>{00030478-9DDE-4C48-B970-8BFEEA7887D7}</x14:id>
        </ext>
      </extLst>
    </cfRule>
  </conditionalFormatting>
  <conditionalFormatting sqref="K20:P23">
    <cfRule type="dataBar" priority="188">
      <dataBar>
        <cfvo type="min"/>
        <cfvo type="max"/>
        <color rgb="FF63C384"/>
      </dataBar>
      <extLst>
        <ext xmlns:x14="http://schemas.microsoft.com/office/spreadsheetml/2009/9/main" uri="{B025F937-C7B1-47D3-B67F-A62EFF666E3E}">
          <x14:id>{EC7F1560-4E75-4756-AE37-09B82982D1AB}</x14:id>
        </ext>
      </extLst>
    </cfRule>
  </conditionalFormatting>
  <conditionalFormatting sqref="K23:P23">
    <cfRule type="dataBar" priority="175">
      <dataBar>
        <cfvo type="min"/>
        <cfvo type="max"/>
        <color rgb="FF63C384"/>
      </dataBar>
      <extLst>
        <ext xmlns:x14="http://schemas.microsoft.com/office/spreadsheetml/2009/9/main" uri="{B025F937-C7B1-47D3-B67F-A62EFF666E3E}">
          <x14:id>{624EF9E9-FC69-4C57-8B92-4F6320D43BF6}</x14:id>
        </ext>
      </extLst>
    </cfRule>
    <cfRule type="dataBar" priority="184">
      <dataBar>
        <cfvo type="min"/>
        <cfvo type="max"/>
        <color rgb="FF63C384"/>
      </dataBar>
      <extLst>
        <ext xmlns:x14="http://schemas.microsoft.com/office/spreadsheetml/2009/9/main" uri="{B025F937-C7B1-47D3-B67F-A62EFF666E3E}">
          <x14:id>{1C8C07B2-BD7C-4727-B188-3301C366D456}</x14:id>
        </ext>
      </extLst>
    </cfRule>
    <cfRule type="dataBar" priority="191">
      <dataBar>
        <cfvo type="min"/>
        <cfvo type="max"/>
        <color rgb="FF63C384"/>
      </dataBar>
      <extLst>
        <ext xmlns:x14="http://schemas.microsoft.com/office/spreadsheetml/2009/9/main" uri="{B025F937-C7B1-47D3-B67F-A62EFF666E3E}">
          <x14:id>{904D660B-3592-4479-B026-ACD9350A3616}</x14:id>
        </ext>
      </extLst>
    </cfRule>
    <cfRule type="dataBar" priority="193">
      <dataBar>
        <cfvo type="min"/>
        <cfvo type="max"/>
        <color rgb="FF63C384"/>
      </dataBar>
      <extLst>
        <ext xmlns:x14="http://schemas.microsoft.com/office/spreadsheetml/2009/9/main" uri="{B025F937-C7B1-47D3-B67F-A62EFF666E3E}">
          <x14:id>{FE2287FA-B40E-40F5-8AA8-262EA0BD4636}</x14:id>
        </ext>
      </extLst>
    </cfRule>
  </conditionalFormatting>
  <conditionalFormatting sqref="K29:P30">
    <cfRule type="dataBar" priority="18">
      <dataBar>
        <cfvo type="min"/>
        <cfvo type="max"/>
        <color rgb="FF63C384"/>
      </dataBar>
      <extLst>
        <ext xmlns:x14="http://schemas.microsoft.com/office/spreadsheetml/2009/9/main" uri="{B025F937-C7B1-47D3-B67F-A62EFF666E3E}">
          <x14:id>{592B61BC-8CDC-4A52-BD05-57EF0C2FF62B}</x14:id>
        </ext>
      </extLst>
    </cfRule>
    <cfRule type="dataBar" priority="19">
      <dataBar>
        <cfvo type="min"/>
        <cfvo type="max"/>
        <color rgb="FF63C384"/>
      </dataBar>
      <extLst>
        <ext xmlns:x14="http://schemas.microsoft.com/office/spreadsheetml/2009/9/main" uri="{B025F937-C7B1-47D3-B67F-A62EFF666E3E}">
          <x14:id>{C30E8336-9ABF-4DBB-8924-951B09CA3FD7}</x14:id>
        </ext>
      </extLst>
    </cfRule>
  </conditionalFormatting>
  <conditionalFormatting sqref="K31:P33">
    <cfRule type="dataBar" priority="136">
      <dataBar>
        <cfvo type="min"/>
        <cfvo type="max"/>
        <color rgb="FF63C384"/>
      </dataBar>
      <extLst>
        <ext xmlns:x14="http://schemas.microsoft.com/office/spreadsheetml/2009/9/main" uri="{B025F937-C7B1-47D3-B67F-A62EFF666E3E}">
          <x14:id>{8F62C0C1-DA3F-40EA-ACF2-DC537363BB15}</x14:id>
        </ext>
      </extLst>
    </cfRule>
    <cfRule type="dataBar" priority="150">
      <dataBar>
        <cfvo type="min"/>
        <cfvo type="max"/>
        <color rgb="FF63C384"/>
      </dataBar>
      <extLst>
        <ext xmlns:x14="http://schemas.microsoft.com/office/spreadsheetml/2009/9/main" uri="{B025F937-C7B1-47D3-B67F-A62EFF666E3E}">
          <x14:id>{2FAF653C-4EB5-4A35-8CAC-083821E30235}</x14:id>
        </ext>
      </extLst>
    </cfRule>
    <cfRule type="dataBar" priority="152">
      <dataBar>
        <cfvo type="min"/>
        <cfvo type="max"/>
        <color rgb="FF63C384"/>
      </dataBar>
      <extLst>
        <ext xmlns:x14="http://schemas.microsoft.com/office/spreadsheetml/2009/9/main" uri="{B025F937-C7B1-47D3-B67F-A62EFF666E3E}">
          <x14:id>{B8275E2D-11E8-40F0-B981-E4CDDB439809}</x14:id>
        </ext>
      </extLst>
    </cfRule>
    <cfRule type="dataBar" priority="155">
      <dataBar>
        <cfvo type="min"/>
        <cfvo type="max"/>
        <color rgb="FF63C384"/>
      </dataBar>
      <extLst>
        <ext xmlns:x14="http://schemas.microsoft.com/office/spreadsheetml/2009/9/main" uri="{B025F937-C7B1-47D3-B67F-A62EFF666E3E}">
          <x14:id>{53F1A2C9-EE11-4155-87E9-0FD86F991BF7}</x14:id>
        </ext>
      </extLst>
    </cfRule>
  </conditionalFormatting>
  <conditionalFormatting sqref="K31:P34">
    <cfRule type="dataBar" priority="153">
      <dataBar>
        <cfvo type="min"/>
        <cfvo type="max"/>
        <color rgb="FF63C384"/>
      </dataBar>
      <extLst>
        <ext xmlns:x14="http://schemas.microsoft.com/office/spreadsheetml/2009/9/main" uri="{B025F937-C7B1-47D3-B67F-A62EFF666E3E}">
          <x14:id>{F757D283-F7FE-4768-A5E5-5C7C44A57321}</x14:id>
        </ext>
      </extLst>
    </cfRule>
  </conditionalFormatting>
  <conditionalFormatting sqref="K34:P34">
    <cfRule type="dataBar" priority="143">
      <dataBar>
        <cfvo type="min"/>
        <cfvo type="max"/>
        <color rgb="FF63C384"/>
      </dataBar>
      <extLst>
        <ext xmlns:x14="http://schemas.microsoft.com/office/spreadsheetml/2009/9/main" uri="{B025F937-C7B1-47D3-B67F-A62EFF666E3E}">
          <x14:id>{DA0ADC38-7473-4A34-9FC7-D46B9FF1E6A3}</x14:id>
        </ext>
      </extLst>
    </cfRule>
    <cfRule type="dataBar" priority="149">
      <dataBar>
        <cfvo type="min"/>
        <cfvo type="max"/>
        <color rgb="FF63C384"/>
      </dataBar>
      <extLst>
        <ext xmlns:x14="http://schemas.microsoft.com/office/spreadsheetml/2009/9/main" uri="{B025F937-C7B1-47D3-B67F-A62EFF666E3E}">
          <x14:id>{13C7EC77-605F-4594-9FF6-707904CE5750}</x14:id>
        </ext>
      </extLst>
    </cfRule>
    <cfRule type="dataBar" priority="154">
      <dataBar>
        <cfvo type="min"/>
        <cfvo type="max"/>
        <color rgb="FF63C384"/>
      </dataBar>
      <extLst>
        <ext xmlns:x14="http://schemas.microsoft.com/office/spreadsheetml/2009/9/main" uri="{B025F937-C7B1-47D3-B67F-A62EFF666E3E}">
          <x14:id>{4549F74F-B3BC-465F-81E9-D296A0F1B908}</x14:id>
        </ext>
      </extLst>
    </cfRule>
    <cfRule type="dataBar" priority="156">
      <dataBar>
        <cfvo type="min"/>
        <cfvo type="max"/>
        <color rgb="FF63C384"/>
      </dataBar>
      <extLst>
        <ext xmlns:x14="http://schemas.microsoft.com/office/spreadsheetml/2009/9/main" uri="{B025F937-C7B1-47D3-B67F-A62EFF666E3E}">
          <x14:id>{4ED44751-5A59-40A0-A793-D9803AC99A2E}</x14:id>
        </ext>
      </extLst>
    </cfRule>
  </conditionalFormatting>
  <conditionalFormatting sqref="L5:L12">
    <cfRule type="dataBar" priority="214">
      <dataBar>
        <cfvo type="min"/>
        <cfvo type="max"/>
        <color rgb="FF63C384"/>
      </dataBar>
      <extLst>
        <ext xmlns:x14="http://schemas.microsoft.com/office/spreadsheetml/2009/9/main" uri="{B025F937-C7B1-47D3-B67F-A62EFF666E3E}">
          <x14:id>{086E2BE5-AF7D-45A1-A497-EB3FB49CEB4D}</x14:id>
        </ext>
      </extLst>
    </cfRule>
  </conditionalFormatting>
  <conditionalFormatting sqref="L18:L19">
    <cfRule type="dataBar" priority="26">
      <dataBar>
        <cfvo type="min"/>
        <cfvo type="max"/>
        <color rgb="FF63C384"/>
      </dataBar>
      <extLst>
        <ext xmlns:x14="http://schemas.microsoft.com/office/spreadsheetml/2009/9/main" uri="{B025F937-C7B1-47D3-B67F-A62EFF666E3E}">
          <x14:id>{6919797E-DEF7-4127-BB01-B92C08C5AA0A}</x14:id>
        </ext>
      </extLst>
    </cfRule>
  </conditionalFormatting>
  <conditionalFormatting sqref="L20:L22">
    <cfRule type="dataBar" priority="173">
      <dataBar>
        <cfvo type="min"/>
        <cfvo type="max"/>
        <color rgb="FF63C384"/>
      </dataBar>
      <extLst>
        <ext xmlns:x14="http://schemas.microsoft.com/office/spreadsheetml/2009/9/main" uri="{B025F937-C7B1-47D3-B67F-A62EFF666E3E}">
          <x14:id>{4BEF7755-0998-42F9-BE2B-3DDE71DD6879}</x14:id>
        </ext>
      </extLst>
    </cfRule>
  </conditionalFormatting>
  <conditionalFormatting sqref="L29:L30">
    <cfRule type="dataBar" priority="21">
      <dataBar>
        <cfvo type="min"/>
        <cfvo type="max"/>
        <color rgb="FF63C384"/>
      </dataBar>
      <extLst>
        <ext xmlns:x14="http://schemas.microsoft.com/office/spreadsheetml/2009/9/main" uri="{B025F937-C7B1-47D3-B67F-A62EFF666E3E}">
          <x14:id>{99AC8856-3C4F-40D6-BAEB-B5B214D75654}</x14:id>
        </ext>
      </extLst>
    </cfRule>
  </conditionalFormatting>
  <conditionalFormatting sqref="L31:L33">
    <cfRule type="dataBar" priority="141">
      <dataBar>
        <cfvo type="min"/>
        <cfvo type="max"/>
        <color rgb="FF63C384"/>
      </dataBar>
      <extLst>
        <ext xmlns:x14="http://schemas.microsoft.com/office/spreadsheetml/2009/9/main" uri="{B025F937-C7B1-47D3-B67F-A62EFF666E3E}">
          <x14:id>{56E5DB6E-8365-4CE5-BFC7-6F1933AF7401}</x14:id>
        </ext>
      </extLst>
    </cfRule>
  </conditionalFormatting>
  <conditionalFormatting sqref="L54:L55">
    <cfRule type="dataBar" priority="290">
      <dataBar>
        <cfvo type="min"/>
        <cfvo type="max"/>
        <color rgb="FF63C384"/>
      </dataBar>
      <extLst>
        <ext xmlns:x14="http://schemas.microsoft.com/office/spreadsheetml/2009/9/main" uri="{B025F937-C7B1-47D3-B67F-A62EFF666E3E}">
          <x14:id>{ED3D33F5-0936-47B6-B390-A145FC9690B8}</x14:id>
        </ext>
      </extLst>
    </cfRule>
  </conditionalFormatting>
  <conditionalFormatting sqref="M11:M12">
    <cfRule type="dataBar" priority="213">
      <dataBar>
        <cfvo type="min"/>
        <cfvo type="max"/>
        <color rgb="FF63C384"/>
      </dataBar>
      <extLst>
        <ext xmlns:x14="http://schemas.microsoft.com/office/spreadsheetml/2009/9/main" uri="{B025F937-C7B1-47D3-B67F-A62EFF666E3E}">
          <x14:id>{CF921376-951B-44A1-A35C-F489AA25CABD}</x14:id>
        </ext>
      </extLst>
    </cfRule>
  </conditionalFormatting>
  <conditionalFormatting sqref="M20:M22">
    <cfRule type="dataBar" priority="172">
      <dataBar>
        <cfvo type="min"/>
        <cfvo type="max"/>
        <color rgb="FF63C384"/>
      </dataBar>
      <extLst>
        <ext xmlns:x14="http://schemas.microsoft.com/office/spreadsheetml/2009/9/main" uri="{B025F937-C7B1-47D3-B67F-A62EFF666E3E}">
          <x14:id>{56FDBD16-DDEB-4D7A-98AA-9D8D76CB1BBA}</x14:id>
        </ext>
      </extLst>
    </cfRule>
  </conditionalFormatting>
  <conditionalFormatting sqref="M31:M33">
    <cfRule type="dataBar" priority="140">
      <dataBar>
        <cfvo type="min"/>
        <cfvo type="max"/>
        <color rgb="FF63C384"/>
      </dataBar>
      <extLst>
        <ext xmlns:x14="http://schemas.microsoft.com/office/spreadsheetml/2009/9/main" uri="{B025F937-C7B1-47D3-B67F-A62EFF666E3E}">
          <x14:id>{A5B88093-B553-4E86-BAD5-B2B5782B83F9}</x14:id>
        </ext>
      </extLst>
    </cfRule>
  </conditionalFormatting>
  <conditionalFormatting sqref="M5:P10">
    <cfRule type="dataBar" priority="195">
      <dataBar>
        <cfvo type="min"/>
        <cfvo type="max"/>
        <color rgb="FF63C384"/>
      </dataBar>
      <extLst>
        <ext xmlns:x14="http://schemas.microsoft.com/office/spreadsheetml/2009/9/main" uri="{B025F937-C7B1-47D3-B67F-A62EFF666E3E}">
          <x14:id>{418255D3-2B96-41A9-9582-87939D7FAE81}</x14:id>
        </ext>
      </extLst>
    </cfRule>
  </conditionalFormatting>
  <conditionalFormatting sqref="M18:P19">
    <cfRule type="dataBar" priority="25">
      <dataBar>
        <cfvo type="min"/>
        <cfvo type="max"/>
        <color rgb="FF63C384"/>
      </dataBar>
      <extLst>
        <ext xmlns:x14="http://schemas.microsoft.com/office/spreadsheetml/2009/9/main" uri="{B025F937-C7B1-47D3-B67F-A62EFF666E3E}">
          <x14:id>{1FB56D18-8CA6-4132-A495-26ED6968F79D}</x14:id>
        </ext>
      </extLst>
    </cfRule>
  </conditionalFormatting>
  <conditionalFormatting sqref="M29:P30">
    <cfRule type="dataBar" priority="20">
      <dataBar>
        <cfvo type="min"/>
        <cfvo type="max"/>
        <color rgb="FF63C384"/>
      </dataBar>
      <extLst>
        <ext xmlns:x14="http://schemas.microsoft.com/office/spreadsheetml/2009/9/main" uri="{B025F937-C7B1-47D3-B67F-A62EFF666E3E}">
          <x14:id>{8E7189E3-6A44-4521-8C2D-05E753784D54}</x14:id>
        </ext>
      </extLst>
    </cfRule>
  </conditionalFormatting>
  <conditionalFormatting sqref="N11:N12">
    <cfRule type="dataBar" priority="212">
      <dataBar>
        <cfvo type="min"/>
        <cfvo type="max"/>
        <color rgb="FF63C384"/>
      </dataBar>
      <extLst>
        <ext xmlns:x14="http://schemas.microsoft.com/office/spreadsheetml/2009/9/main" uri="{B025F937-C7B1-47D3-B67F-A62EFF666E3E}">
          <x14:id>{13101FF6-2EA7-4030-B4D6-DA0DA1C2F6A6}</x14:id>
        </ext>
      </extLst>
    </cfRule>
  </conditionalFormatting>
  <conditionalFormatting sqref="N20:N22">
    <cfRule type="dataBar" priority="171">
      <dataBar>
        <cfvo type="min"/>
        <cfvo type="max"/>
        <color rgb="FF63C384"/>
      </dataBar>
      <extLst>
        <ext xmlns:x14="http://schemas.microsoft.com/office/spreadsheetml/2009/9/main" uri="{B025F937-C7B1-47D3-B67F-A62EFF666E3E}">
          <x14:id>{E359D2BF-B4C7-4D3A-9103-4CBEE70A31B4}</x14:id>
        </ext>
      </extLst>
    </cfRule>
  </conditionalFormatting>
  <conditionalFormatting sqref="N31:N33">
    <cfRule type="dataBar" priority="139">
      <dataBar>
        <cfvo type="min"/>
        <cfvo type="max"/>
        <color rgb="FF63C384"/>
      </dataBar>
      <extLst>
        <ext xmlns:x14="http://schemas.microsoft.com/office/spreadsheetml/2009/9/main" uri="{B025F937-C7B1-47D3-B67F-A62EFF666E3E}">
          <x14:id>{F1F1D1E2-F58D-4DA1-AAAF-5CACBBE9BA74}</x14:id>
        </ext>
      </extLst>
    </cfRule>
  </conditionalFormatting>
  <conditionalFormatting sqref="O11:O12">
    <cfRule type="dataBar" priority="211">
      <dataBar>
        <cfvo type="min"/>
        <cfvo type="max"/>
        <color rgb="FF63C384"/>
      </dataBar>
      <extLst>
        <ext xmlns:x14="http://schemas.microsoft.com/office/spreadsheetml/2009/9/main" uri="{B025F937-C7B1-47D3-B67F-A62EFF666E3E}">
          <x14:id>{1F18C40A-A33A-4D0B-B57F-47D9D6CF0D64}</x14:id>
        </ext>
      </extLst>
    </cfRule>
  </conditionalFormatting>
  <conditionalFormatting sqref="O20:O22">
    <cfRule type="dataBar" priority="170">
      <dataBar>
        <cfvo type="min"/>
        <cfvo type="max"/>
        <color rgb="FF63C384"/>
      </dataBar>
      <extLst>
        <ext xmlns:x14="http://schemas.microsoft.com/office/spreadsheetml/2009/9/main" uri="{B025F937-C7B1-47D3-B67F-A62EFF666E3E}">
          <x14:id>{26AC0999-7FF4-4431-B91F-7A7C0E85B670}</x14:id>
        </ext>
      </extLst>
    </cfRule>
  </conditionalFormatting>
  <conditionalFormatting sqref="O31:O33">
    <cfRule type="dataBar" priority="138">
      <dataBar>
        <cfvo type="min"/>
        <cfvo type="max"/>
        <color rgb="FF63C384"/>
      </dataBar>
      <extLst>
        <ext xmlns:x14="http://schemas.microsoft.com/office/spreadsheetml/2009/9/main" uri="{B025F937-C7B1-47D3-B67F-A62EFF666E3E}">
          <x14:id>{72051DBD-038B-4034-BE0F-124A82567B04}</x14:id>
        </ext>
      </extLst>
    </cfRule>
  </conditionalFormatting>
  <conditionalFormatting sqref="P11:P12">
    <cfRule type="dataBar" priority="210">
      <dataBar>
        <cfvo type="min"/>
        <cfvo type="max"/>
        <color rgb="FF63C384"/>
      </dataBar>
      <extLst>
        <ext xmlns:x14="http://schemas.microsoft.com/office/spreadsheetml/2009/9/main" uri="{B025F937-C7B1-47D3-B67F-A62EFF666E3E}">
          <x14:id>{BA11135A-0895-4A01-87D0-A486C9D5843C}</x14:id>
        </ext>
      </extLst>
    </cfRule>
  </conditionalFormatting>
  <conditionalFormatting sqref="P20:P22">
    <cfRule type="dataBar" priority="169">
      <dataBar>
        <cfvo type="min"/>
        <cfvo type="max"/>
        <color rgb="FF63C384"/>
      </dataBar>
      <extLst>
        <ext xmlns:x14="http://schemas.microsoft.com/office/spreadsheetml/2009/9/main" uri="{B025F937-C7B1-47D3-B67F-A62EFF666E3E}">
          <x14:id>{00154FAC-2C70-4EF2-A308-BA8404420986}</x14:id>
        </ext>
      </extLst>
    </cfRule>
  </conditionalFormatting>
  <conditionalFormatting sqref="P20:P23">
    <cfRule type="dataBar" priority="217">
      <dataBar>
        <cfvo type="min"/>
        <cfvo type="max"/>
        <color rgb="FF63C384"/>
      </dataBar>
      <extLst>
        <ext xmlns:x14="http://schemas.microsoft.com/office/spreadsheetml/2009/9/main" uri="{B025F937-C7B1-47D3-B67F-A62EFF666E3E}">
          <x14:id>{A1AE97AD-5647-4F9F-A100-6C15C1895B18}</x14:id>
        </ext>
      </extLst>
    </cfRule>
  </conditionalFormatting>
  <conditionalFormatting sqref="P23">
    <cfRule type="dataBar" priority="176">
      <dataBar>
        <cfvo type="min"/>
        <cfvo type="max"/>
        <color rgb="FF63C384"/>
      </dataBar>
      <extLst>
        <ext xmlns:x14="http://schemas.microsoft.com/office/spreadsheetml/2009/9/main" uri="{B025F937-C7B1-47D3-B67F-A62EFF666E3E}">
          <x14:id>{44059659-321E-4F16-A91E-71EB67462F51}</x14:id>
        </ext>
      </extLst>
    </cfRule>
    <cfRule type="dataBar" priority="177">
      <dataBar>
        <cfvo type="min"/>
        <cfvo type="max"/>
        <color rgb="FF63C384"/>
      </dataBar>
      <extLst>
        <ext xmlns:x14="http://schemas.microsoft.com/office/spreadsheetml/2009/9/main" uri="{B025F937-C7B1-47D3-B67F-A62EFF666E3E}">
          <x14:id>{657DE2C6-03A4-4EDE-99AD-798EB4DDA82C}</x14:id>
        </ext>
      </extLst>
    </cfRule>
    <cfRule type="dataBar" priority="178">
      <dataBar>
        <cfvo type="min"/>
        <cfvo type="max"/>
        <color rgb="FF63C384"/>
      </dataBar>
      <extLst>
        <ext xmlns:x14="http://schemas.microsoft.com/office/spreadsheetml/2009/9/main" uri="{B025F937-C7B1-47D3-B67F-A62EFF666E3E}">
          <x14:id>{ECB61C77-2C43-48F4-8A50-733EB85A1CEE}</x14:id>
        </ext>
      </extLst>
    </cfRule>
    <cfRule type="dataBar" priority="179">
      <dataBar>
        <cfvo type="min"/>
        <cfvo type="max"/>
        <color rgb="FF63C384"/>
      </dataBar>
      <extLst>
        <ext xmlns:x14="http://schemas.microsoft.com/office/spreadsheetml/2009/9/main" uri="{B025F937-C7B1-47D3-B67F-A62EFF666E3E}">
          <x14:id>{CA13E27F-6DDD-451D-9981-58C3F52DF064}</x14:id>
        </ext>
      </extLst>
    </cfRule>
    <cfRule type="dataBar" priority="180">
      <dataBar>
        <cfvo type="min"/>
        <cfvo type="max"/>
        <color rgb="FF63C384"/>
      </dataBar>
      <extLst>
        <ext xmlns:x14="http://schemas.microsoft.com/office/spreadsheetml/2009/9/main" uri="{B025F937-C7B1-47D3-B67F-A62EFF666E3E}">
          <x14:id>{E25FCA19-5187-42DE-ACC0-FA124C432602}</x14:id>
        </ext>
      </extLst>
    </cfRule>
  </conditionalFormatting>
  <conditionalFormatting sqref="P31:P33">
    <cfRule type="dataBar" priority="137">
      <dataBar>
        <cfvo type="min"/>
        <cfvo type="max"/>
        <color rgb="FF63C384"/>
      </dataBar>
      <extLst>
        <ext xmlns:x14="http://schemas.microsoft.com/office/spreadsheetml/2009/9/main" uri="{B025F937-C7B1-47D3-B67F-A62EFF666E3E}">
          <x14:id>{7C8CD9BC-5762-4589-9F02-B4BF0D638AB1}</x14:id>
        </ext>
      </extLst>
    </cfRule>
  </conditionalFormatting>
  <conditionalFormatting sqref="P31:P34">
    <cfRule type="dataBar" priority="159">
      <dataBar>
        <cfvo type="min"/>
        <cfvo type="max"/>
        <color rgb="FF63C384"/>
      </dataBar>
      <extLst>
        <ext xmlns:x14="http://schemas.microsoft.com/office/spreadsheetml/2009/9/main" uri="{B025F937-C7B1-47D3-B67F-A62EFF666E3E}">
          <x14:id>{6DFC1F85-F3C6-4A56-B9C9-34A6EDAF91A7}</x14:id>
        </ext>
      </extLst>
    </cfRule>
  </conditionalFormatting>
  <conditionalFormatting sqref="P34">
    <cfRule type="dataBar" priority="144">
      <dataBar>
        <cfvo type="min"/>
        <cfvo type="max"/>
        <color rgb="FF63C384"/>
      </dataBar>
      <extLst>
        <ext xmlns:x14="http://schemas.microsoft.com/office/spreadsheetml/2009/9/main" uri="{B025F937-C7B1-47D3-B67F-A62EFF666E3E}">
          <x14:id>{87EF0EE6-CB7F-4048-AA0D-6F5C8B95622F}</x14:id>
        </ext>
      </extLst>
    </cfRule>
    <cfRule type="dataBar" priority="145">
      <dataBar>
        <cfvo type="min"/>
        <cfvo type="max"/>
        <color rgb="FF63C384"/>
      </dataBar>
      <extLst>
        <ext xmlns:x14="http://schemas.microsoft.com/office/spreadsheetml/2009/9/main" uri="{B025F937-C7B1-47D3-B67F-A62EFF666E3E}">
          <x14:id>{8EC73540-44D3-4F83-9DB4-F733F140B032}</x14:id>
        </ext>
      </extLst>
    </cfRule>
    <cfRule type="dataBar" priority="146">
      <dataBar>
        <cfvo type="min"/>
        <cfvo type="max"/>
        <color rgb="FF63C384"/>
      </dataBar>
      <extLst>
        <ext xmlns:x14="http://schemas.microsoft.com/office/spreadsheetml/2009/9/main" uri="{B025F937-C7B1-47D3-B67F-A62EFF666E3E}">
          <x14:id>{42DFCED1-C07A-4E7F-BF15-E0C58754BB3E}</x14:id>
        </ext>
      </extLst>
    </cfRule>
    <cfRule type="dataBar" priority="147">
      <dataBar>
        <cfvo type="min"/>
        <cfvo type="max"/>
        <color rgb="FF63C384"/>
      </dataBar>
      <extLst>
        <ext xmlns:x14="http://schemas.microsoft.com/office/spreadsheetml/2009/9/main" uri="{B025F937-C7B1-47D3-B67F-A62EFF666E3E}">
          <x14:id>{69CB8F51-3362-47CD-8FEA-685999E236C8}</x14:id>
        </ext>
      </extLst>
    </cfRule>
    <cfRule type="dataBar" priority="148">
      <dataBar>
        <cfvo type="min"/>
        <cfvo type="max"/>
        <color rgb="FF63C384"/>
      </dataBar>
      <extLst>
        <ext xmlns:x14="http://schemas.microsoft.com/office/spreadsheetml/2009/9/main" uri="{B025F937-C7B1-47D3-B67F-A62EFF666E3E}">
          <x14:id>{58DC721E-4B15-4CE8-A0B6-AA5AB697CBBB}</x14:id>
        </ext>
      </extLst>
    </cfRule>
  </conditionalFormatting>
  <hyperlinks>
    <hyperlink ref="B73:C73" r:id="rId1" location="unit-sales" display="Battery EVs China" xr:uid="{00000000-0004-0000-0100-000000000000}"/>
    <hyperlink ref="B74:C74" r:id="rId2" display="Advanced Driver-Assintance System" xr:uid="{00000000-0004-0000-0100-000001000000}"/>
    <hyperlink ref="B72:C72" r:id="rId3" display="Electric SUV" xr:uid="{00000000-0004-0000-0100-000002000000}"/>
  </hyperlinks>
  <pageMargins left="0.75" right="0.75" top="1" bottom="1" header="0" footer="0"/>
  <pageSetup orientation="landscape" r:id="rId4"/>
  <headerFooter alignWithMargins="0"/>
  <drawing r:id="rId5"/>
  <legacyDrawing r:id="rId6"/>
  <extLst>
    <ext xmlns:x14="http://schemas.microsoft.com/office/spreadsheetml/2009/9/main" uri="{78C0D931-6437-407d-A8EE-F0AAD7539E65}">
      <x14:conditionalFormattings>
        <x14:conditionalFormatting xmlns:xm="http://schemas.microsoft.com/office/excel/2006/main">
          <x14:cfRule type="dataBar" id="{6E381EE6-DF6C-4880-BDC6-793A4FBC9886}">
            <x14:dataBar minLength="0" maxLength="100" border="1" negativeBarBorderColorSameAsPositive="0">
              <x14:cfvo type="autoMin"/>
              <x14:cfvo type="autoMax"/>
              <x14:borderColor rgb="FF638EC6"/>
              <x14:negativeFillColor rgb="FFFF0000"/>
              <x14:negativeBorderColor rgb="FFFF0000"/>
              <x14:axisColor rgb="FF000000"/>
            </x14:dataBar>
          </x14:cfRule>
          <xm:sqref>B5:B12</xm:sqref>
        </x14:conditionalFormatting>
        <x14:conditionalFormatting xmlns:xm="http://schemas.microsoft.com/office/excel/2006/main">
          <x14:cfRule type="dataBar" id="{070902CC-8EB6-43DB-B9AD-5811F17D394B}">
            <x14:dataBar minLength="0" maxLength="100" border="1" negativeBarBorderColorSameAsPositive="0">
              <x14:cfvo type="autoMin"/>
              <x14:cfvo type="autoMax"/>
              <x14:borderColor rgb="FF638EC6"/>
              <x14:negativeFillColor rgb="FFFF0000"/>
              <x14:negativeBorderColor rgb="FFFF0000"/>
              <x14:axisColor rgb="FF000000"/>
            </x14:dataBar>
          </x14:cfRule>
          <xm:sqref>B18:B23</xm:sqref>
        </x14:conditionalFormatting>
        <x14:conditionalFormatting xmlns:xm="http://schemas.microsoft.com/office/excel/2006/main">
          <x14:cfRule type="dataBar" id="{972919B0-73B8-48BF-8BB6-887C0A9FF5F3}">
            <x14:dataBar minLength="0" maxLength="100" border="1" negativeBarBorderColorSameAsPositive="0">
              <x14:cfvo type="autoMin"/>
              <x14:cfvo type="autoMax"/>
              <x14:borderColor rgb="FF638EC6"/>
              <x14:negativeFillColor rgb="FFFF0000"/>
              <x14:negativeBorderColor rgb="FFFF0000"/>
              <x14:axisColor rgb="FF000000"/>
            </x14:dataBar>
          </x14:cfRule>
          <xm:sqref>B29:B34</xm:sqref>
        </x14:conditionalFormatting>
        <x14:conditionalFormatting xmlns:xm="http://schemas.microsoft.com/office/excel/2006/main">
          <x14:cfRule type="dataBar" id="{863A9C89-1C6A-4F7F-9FC6-52FE7865C11C}">
            <x14:dataBar minLength="0" maxLength="100" border="1" negativeBarBorderColorSameAsPositive="0">
              <x14:cfvo type="autoMin"/>
              <x14:cfvo type="autoMax"/>
              <x14:borderColor rgb="FF638EC6"/>
              <x14:negativeFillColor rgb="FFFF0000"/>
              <x14:negativeBorderColor rgb="FFFF0000"/>
              <x14:axisColor rgb="FF000000"/>
            </x14:dataBar>
          </x14:cfRule>
          <xm:sqref>B40:B48</xm:sqref>
        </x14:conditionalFormatting>
        <x14:conditionalFormatting xmlns:xm="http://schemas.microsoft.com/office/excel/2006/main">
          <x14:cfRule type="dataBar" id="{E7C842DE-076E-4616-9BFA-8B86D90743D2}">
            <x14:dataBar minLength="0" maxLength="100" border="1" negativeBarBorderColorSameAsPositive="0">
              <x14:cfvo type="autoMin"/>
              <x14:cfvo type="autoMax"/>
              <x14:borderColor rgb="FF638EC6"/>
              <x14:negativeFillColor rgb="FFFF0000"/>
              <x14:negativeBorderColor rgb="FFFF0000"/>
              <x14:axisColor rgb="FF000000"/>
            </x14:dataBar>
          </x14:cfRule>
          <xm:sqref>B54:B55</xm:sqref>
        </x14:conditionalFormatting>
        <x14:conditionalFormatting xmlns:xm="http://schemas.microsoft.com/office/excel/2006/main">
          <x14:cfRule type="dataBar" id="{767D33FE-8570-4B26-81B7-5505E2A08A62}">
            <x14:dataBar minLength="0" maxLength="100" gradient="0">
              <x14:cfvo type="autoMin"/>
              <x14:cfvo type="autoMax"/>
              <x14:negativeFillColor rgb="FFFF0000"/>
              <x14:axisColor rgb="FF000000"/>
            </x14:dataBar>
          </x14:cfRule>
          <xm:sqref>D5:D12</xm:sqref>
        </x14:conditionalFormatting>
        <x14:conditionalFormatting xmlns:xm="http://schemas.microsoft.com/office/excel/2006/main">
          <x14:cfRule type="dataBar" id="{3F107DCC-63A1-497B-B919-528218A545C1}">
            <x14:dataBar minLength="0" maxLength="100" gradient="0">
              <x14:cfvo type="autoMin"/>
              <x14:cfvo type="autoMax"/>
              <x14:negativeFillColor rgb="FFFF0000"/>
              <x14:axisColor rgb="FF000000"/>
            </x14:dataBar>
          </x14:cfRule>
          <xm:sqref>D18:D23</xm:sqref>
        </x14:conditionalFormatting>
        <x14:conditionalFormatting xmlns:xm="http://schemas.microsoft.com/office/excel/2006/main">
          <x14:cfRule type="dataBar" id="{384B1865-D0D4-4329-8EB2-17A34DF02C01}">
            <x14:dataBar minLength="0" maxLength="100" gradient="0">
              <x14:cfvo type="autoMin"/>
              <x14:cfvo type="autoMax"/>
              <x14:negativeFillColor rgb="FFFF0000"/>
              <x14:axisColor rgb="FF000000"/>
            </x14:dataBar>
          </x14:cfRule>
          <xm:sqref>D29:D34</xm:sqref>
        </x14:conditionalFormatting>
        <x14:conditionalFormatting xmlns:xm="http://schemas.microsoft.com/office/excel/2006/main">
          <x14:cfRule type="dataBar" id="{B4B99515-9754-4AC2-9B30-0480725103EF}">
            <x14:dataBar minLength="0" maxLength="100" gradient="0">
              <x14:cfvo type="autoMin"/>
              <x14:cfvo type="autoMax"/>
              <x14:negativeFillColor rgb="FFFF0000"/>
              <x14:axisColor rgb="FF000000"/>
            </x14:dataBar>
          </x14:cfRule>
          <xm:sqref>D40 D43 D46</xm:sqref>
        </x14:conditionalFormatting>
        <x14:conditionalFormatting xmlns:xm="http://schemas.microsoft.com/office/excel/2006/main">
          <x14:cfRule type="dataBar" id="{441F7801-B4D1-4328-8D7E-D3AEBB68D51B}">
            <x14:dataBar minLength="0" maxLength="100" gradient="0">
              <x14:cfvo type="autoMin"/>
              <x14:cfvo type="autoMax"/>
              <x14:negativeFillColor rgb="FFFF0000"/>
              <x14:axisColor rgb="FF000000"/>
            </x14:dataBar>
          </x14:cfRule>
          <xm:sqref>D54:D55</xm:sqref>
        </x14:conditionalFormatting>
        <x14:conditionalFormatting xmlns:xm="http://schemas.microsoft.com/office/excel/2006/main">
          <x14:cfRule type="dataBar" id="{2B08F4D1-349C-4A16-B061-0D8787A90E07}">
            <x14:dataBar minLength="0" maxLength="100" gradient="0">
              <x14:cfvo type="autoMin"/>
              <x14:cfvo type="autoMax"/>
              <x14:negativeFillColor rgb="FFFF0000"/>
              <x14:axisColor rgb="FF000000"/>
            </x14:dataBar>
          </x14:cfRule>
          <xm:sqref>D54:G55</xm:sqref>
        </x14:conditionalFormatting>
        <x14:conditionalFormatting xmlns:xm="http://schemas.microsoft.com/office/excel/2006/main">
          <x14:cfRule type="dataBar" id="{83BDDF4E-0A7D-4B3E-A60B-AD52AC0FFA68}">
            <x14:dataBar minLength="0" maxLength="100" gradient="0">
              <x14:cfvo type="autoMin"/>
              <x14:cfvo type="autoMax"/>
              <x14:negativeFillColor rgb="FFFF0000"/>
              <x14:axisColor rgb="FF000000"/>
            </x14:dataBar>
          </x14:cfRule>
          <xm:sqref>D5:I10</xm:sqref>
        </x14:conditionalFormatting>
        <x14:conditionalFormatting xmlns:xm="http://schemas.microsoft.com/office/excel/2006/main">
          <x14:cfRule type="dataBar" id="{5BBC426E-7FA9-4F5C-AC78-B3996BA8F931}">
            <x14:dataBar minLength="0" maxLength="100" gradient="0">
              <x14:cfvo type="autoMin"/>
              <x14:cfvo type="autoMax"/>
              <x14:negativeFillColor rgb="FFFF0000"/>
              <x14:axisColor rgb="FF000000"/>
            </x14:dataBar>
          </x14:cfRule>
          <xm:sqref>D18:I23</xm:sqref>
        </x14:conditionalFormatting>
        <x14:conditionalFormatting xmlns:xm="http://schemas.microsoft.com/office/excel/2006/main">
          <x14:cfRule type="dataBar" id="{613A7C61-CDDD-44E3-B519-D298E6417E21}">
            <x14:dataBar minLength="0" maxLength="100" gradient="0">
              <x14:cfvo type="autoMin"/>
              <x14:cfvo type="autoMax"/>
              <x14:negativeFillColor rgb="FFFF0000"/>
              <x14:axisColor rgb="FF000000"/>
            </x14:dataBar>
          </x14:cfRule>
          <xm:sqref>D29:I34</xm:sqref>
        </x14:conditionalFormatting>
        <x14:conditionalFormatting xmlns:xm="http://schemas.microsoft.com/office/excel/2006/main">
          <x14:cfRule type="dataBar" id="{94CA0B8C-F449-45AA-AC7D-D5E2E17D88BF}">
            <x14:dataBar minLength="0" maxLength="100" gradient="0">
              <x14:cfvo type="autoMin"/>
              <x14:cfvo type="autoMax"/>
              <x14:negativeFillColor rgb="FFFF0000"/>
              <x14:axisColor rgb="FF000000"/>
            </x14:dataBar>
          </x14:cfRule>
          <xm:sqref>D40:I40 D43:I43 D46:I46</xm:sqref>
        </x14:conditionalFormatting>
        <x14:conditionalFormatting xmlns:xm="http://schemas.microsoft.com/office/excel/2006/main">
          <x14:cfRule type="dataBar" id="{740A2B96-C6E5-4177-AC04-9573B81E30EC}">
            <x14:dataBar minLength="0" maxLength="100" gradient="0">
              <x14:cfvo type="autoMin"/>
              <x14:cfvo type="autoMax"/>
              <x14:negativeFillColor rgb="FFFF0000"/>
              <x14:axisColor rgb="FF000000"/>
            </x14:dataBar>
          </x14:cfRule>
          <xm:sqref>E5:E12</xm:sqref>
        </x14:conditionalFormatting>
        <x14:conditionalFormatting xmlns:xm="http://schemas.microsoft.com/office/excel/2006/main">
          <x14:cfRule type="dataBar" id="{5AA7A103-2149-42E1-9BBB-48A01258D43D}">
            <x14:dataBar minLength="0" maxLength="100" gradient="0">
              <x14:cfvo type="autoMin"/>
              <x14:cfvo type="autoMax"/>
              <x14:negativeFillColor rgb="FFFF0000"/>
              <x14:axisColor rgb="FF000000"/>
            </x14:dataBar>
          </x14:cfRule>
          <xm:sqref>E18:E23</xm:sqref>
        </x14:conditionalFormatting>
        <x14:conditionalFormatting xmlns:xm="http://schemas.microsoft.com/office/excel/2006/main">
          <x14:cfRule type="dataBar" id="{0B530FA8-547C-44E3-8DA5-7740827A0F0F}">
            <x14:dataBar minLength="0" maxLength="100" gradient="0">
              <x14:cfvo type="autoMin"/>
              <x14:cfvo type="autoMax"/>
              <x14:negativeFillColor rgb="FFFF0000"/>
              <x14:axisColor rgb="FF000000"/>
            </x14:dataBar>
          </x14:cfRule>
          <xm:sqref>E29:E34</xm:sqref>
        </x14:conditionalFormatting>
        <x14:conditionalFormatting xmlns:xm="http://schemas.microsoft.com/office/excel/2006/main">
          <x14:cfRule type="dataBar" id="{13ACEEE8-B899-4683-A01A-F72B7ABD3FC6}">
            <x14:dataBar minLength="0" maxLength="100" gradient="0">
              <x14:cfvo type="autoMin"/>
              <x14:cfvo type="autoMax"/>
              <x14:negativeFillColor rgb="FFFF0000"/>
              <x14:axisColor rgb="FF000000"/>
            </x14:dataBar>
          </x14:cfRule>
          <xm:sqref>E40 E43 E46</xm:sqref>
        </x14:conditionalFormatting>
        <x14:conditionalFormatting xmlns:xm="http://schemas.microsoft.com/office/excel/2006/main">
          <x14:cfRule type="dataBar" id="{1968FF61-A6BE-4D47-9AB5-F25CB6910901}">
            <x14:dataBar minLength="0" maxLength="100" gradient="0">
              <x14:cfvo type="autoMin"/>
              <x14:cfvo type="autoMax"/>
              <x14:negativeFillColor rgb="FFFF0000"/>
              <x14:axisColor rgb="FF000000"/>
            </x14:dataBar>
          </x14:cfRule>
          <xm:sqref>E54:E55</xm:sqref>
        </x14:conditionalFormatting>
        <x14:conditionalFormatting xmlns:xm="http://schemas.microsoft.com/office/excel/2006/main">
          <x14:cfRule type="dataBar" id="{5EFE30C4-0901-404E-9108-731E3BE4821E}">
            <x14:dataBar minLength="0" maxLength="100" gradient="0">
              <x14:cfvo type="autoMin"/>
              <x14:cfvo type="autoMax"/>
              <x14:negativeFillColor rgb="FFFF0000"/>
              <x14:axisColor rgb="FF000000"/>
            </x14:dataBar>
          </x14:cfRule>
          <xm:sqref>F5:F12</xm:sqref>
        </x14:conditionalFormatting>
        <x14:conditionalFormatting xmlns:xm="http://schemas.microsoft.com/office/excel/2006/main">
          <x14:cfRule type="dataBar" id="{5EE1521A-2483-44CA-9CCA-E5FC63E6246F}">
            <x14:dataBar minLength="0" maxLength="100" gradient="0">
              <x14:cfvo type="autoMin"/>
              <x14:cfvo type="autoMax"/>
              <x14:negativeFillColor rgb="FFFF0000"/>
              <x14:axisColor rgb="FF000000"/>
            </x14:dataBar>
          </x14:cfRule>
          <xm:sqref>F18:F23</xm:sqref>
        </x14:conditionalFormatting>
        <x14:conditionalFormatting xmlns:xm="http://schemas.microsoft.com/office/excel/2006/main">
          <x14:cfRule type="dataBar" id="{4371DC2C-3C52-4D7D-8A63-0448257D7225}">
            <x14:dataBar minLength="0" maxLength="100" gradient="0">
              <x14:cfvo type="autoMin"/>
              <x14:cfvo type="autoMax"/>
              <x14:negativeFillColor rgb="FFFF0000"/>
              <x14:axisColor rgb="FF000000"/>
            </x14:dataBar>
          </x14:cfRule>
          <xm:sqref>F29:F34</xm:sqref>
        </x14:conditionalFormatting>
        <x14:conditionalFormatting xmlns:xm="http://schemas.microsoft.com/office/excel/2006/main">
          <x14:cfRule type="dataBar" id="{22511D4E-44F5-4EEE-9287-252308F5A2AB}">
            <x14:dataBar minLength="0" maxLength="100" gradient="0">
              <x14:cfvo type="autoMin"/>
              <x14:cfvo type="autoMax"/>
              <x14:negativeFillColor rgb="FFFF0000"/>
              <x14:axisColor rgb="FF000000"/>
            </x14:dataBar>
          </x14:cfRule>
          <xm:sqref>F40 F43 F46</xm:sqref>
        </x14:conditionalFormatting>
        <x14:conditionalFormatting xmlns:xm="http://schemas.microsoft.com/office/excel/2006/main">
          <x14:cfRule type="dataBar" id="{C9FBE745-CA11-400A-9B25-06C1D1A4B428}">
            <x14:dataBar minLength="0" maxLength="100" gradient="0">
              <x14:cfvo type="autoMin"/>
              <x14:cfvo type="autoMax"/>
              <x14:negativeFillColor rgb="FFFF0000"/>
              <x14:axisColor rgb="FF000000"/>
            </x14:dataBar>
          </x14:cfRule>
          <xm:sqref>F54:F55</xm:sqref>
        </x14:conditionalFormatting>
        <x14:conditionalFormatting xmlns:xm="http://schemas.microsoft.com/office/excel/2006/main">
          <x14:cfRule type="dataBar" id="{A1F44ECC-EF2B-4606-87E9-B7F443AC18BF}">
            <x14:dataBar minLength="0" maxLength="100" gradient="0">
              <x14:cfvo type="autoMin"/>
              <x14:cfvo type="autoMax"/>
              <x14:negativeFillColor rgb="FFFF0000"/>
              <x14:axisColor rgb="FF000000"/>
            </x14:dataBar>
          </x14:cfRule>
          <xm:sqref>G5:G12</xm:sqref>
        </x14:conditionalFormatting>
        <x14:conditionalFormatting xmlns:xm="http://schemas.microsoft.com/office/excel/2006/main">
          <x14:cfRule type="dataBar" id="{00DC50B7-1706-4DFB-A90F-9F95CB19CA6D}">
            <x14:dataBar minLength="0" maxLength="100" gradient="0">
              <x14:cfvo type="autoMin"/>
              <x14:cfvo type="autoMax"/>
              <x14:negativeFillColor rgb="FFFF0000"/>
              <x14:axisColor rgb="FF000000"/>
            </x14:dataBar>
          </x14:cfRule>
          <xm:sqref>G18:G23</xm:sqref>
        </x14:conditionalFormatting>
        <x14:conditionalFormatting xmlns:xm="http://schemas.microsoft.com/office/excel/2006/main">
          <x14:cfRule type="dataBar" id="{29CB7842-1D71-4F33-935E-D0BA58F697AE}">
            <x14:dataBar minLength="0" maxLength="100" gradient="0">
              <x14:cfvo type="autoMin"/>
              <x14:cfvo type="autoMax"/>
              <x14:negativeFillColor rgb="FFFF0000"/>
              <x14:axisColor rgb="FF000000"/>
            </x14:dataBar>
          </x14:cfRule>
          <xm:sqref>G29:G34</xm:sqref>
        </x14:conditionalFormatting>
        <x14:conditionalFormatting xmlns:xm="http://schemas.microsoft.com/office/excel/2006/main">
          <x14:cfRule type="dataBar" id="{E34B0EB6-AD9B-405F-9313-6D51E4556017}">
            <x14:dataBar minLength="0" maxLength="100" gradient="0">
              <x14:cfvo type="autoMin"/>
              <x14:cfvo type="autoMax"/>
              <x14:negativeFillColor rgb="FFFF0000"/>
              <x14:axisColor rgb="FF000000"/>
            </x14:dataBar>
          </x14:cfRule>
          <xm:sqref>G40 G43 G46</xm:sqref>
        </x14:conditionalFormatting>
        <x14:conditionalFormatting xmlns:xm="http://schemas.microsoft.com/office/excel/2006/main">
          <x14:cfRule type="dataBar" id="{95FCF058-2B02-41A3-B199-87CEF819F55F}">
            <x14:dataBar minLength="0" maxLength="100" gradient="0">
              <x14:cfvo type="autoMin"/>
              <x14:cfvo type="autoMax"/>
              <x14:negativeFillColor rgb="FFFF0000"/>
              <x14:axisColor rgb="FF000000"/>
            </x14:dataBar>
          </x14:cfRule>
          <xm:sqref>G54:G55</xm:sqref>
        </x14:conditionalFormatting>
        <x14:conditionalFormatting xmlns:xm="http://schemas.microsoft.com/office/excel/2006/main">
          <x14:cfRule type="dataBar" id="{4320827E-AAAF-46DA-9F47-1F13F9C2B2E6}">
            <x14:dataBar minLength="0" maxLength="100" gradient="0">
              <x14:cfvo type="autoMin"/>
              <x14:cfvo type="autoMax"/>
              <x14:negativeFillColor rgb="FFFF0000"/>
              <x14:axisColor rgb="FF000000"/>
            </x14:dataBar>
          </x14:cfRule>
          <xm:sqref>H5:H12</xm:sqref>
        </x14:conditionalFormatting>
        <x14:conditionalFormatting xmlns:xm="http://schemas.microsoft.com/office/excel/2006/main">
          <x14:cfRule type="dataBar" id="{EED505F4-1AE5-4E85-A25F-1DAC1EADC97D}">
            <x14:dataBar minLength="0" maxLength="100" gradient="0">
              <x14:cfvo type="autoMin"/>
              <x14:cfvo type="autoMax"/>
              <x14:negativeFillColor rgb="FFFF0000"/>
              <x14:axisColor rgb="FF000000"/>
            </x14:dataBar>
          </x14:cfRule>
          <xm:sqref>H18:H23</xm:sqref>
        </x14:conditionalFormatting>
        <x14:conditionalFormatting xmlns:xm="http://schemas.microsoft.com/office/excel/2006/main">
          <x14:cfRule type="dataBar" id="{39950A1C-21CD-4603-AB74-E08B46E94FB9}">
            <x14:dataBar minLength="0" maxLength="100" gradient="0">
              <x14:cfvo type="autoMin"/>
              <x14:cfvo type="autoMax"/>
              <x14:negativeFillColor rgb="FFFF0000"/>
              <x14:axisColor rgb="FF000000"/>
            </x14:dataBar>
          </x14:cfRule>
          <xm:sqref>H29:H34</xm:sqref>
        </x14:conditionalFormatting>
        <x14:conditionalFormatting xmlns:xm="http://schemas.microsoft.com/office/excel/2006/main">
          <x14:cfRule type="dataBar" id="{98F2E17C-BC42-47C7-8A01-2F398E1031A7}">
            <x14:dataBar minLength="0" maxLength="100" gradient="0">
              <x14:cfvo type="autoMin"/>
              <x14:cfvo type="autoMax"/>
              <x14:negativeFillColor rgb="FFFF0000"/>
              <x14:axisColor rgb="FF000000"/>
            </x14:dataBar>
          </x14:cfRule>
          <xm:sqref>H40 H43 H46</xm:sqref>
        </x14:conditionalFormatting>
        <x14:conditionalFormatting xmlns:xm="http://schemas.microsoft.com/office/excel/2006/main">
          <x14:cfRule type="dataBar" id="{5091493A-8CC0-4646-874A-93DEE51CD4AB}">
            <x14:dataBar minLength="0" maxLength="100" gradient="0">
              <x14:cfvo type="autoMin"/>
              <x14:cfvo type="autoMax"/>
              <x14:negativeFillColor rgb="FFFF0000"/>
              <x14:axisColor rgb="FF000000"/>
            </x14:dataBar>
          </x14:cfRule>
          <xm:sqref>I5:I12</xm:sqref>
        </x14:conditionalFormatting>
        <x14:conditionalFormatting xmlns:xm="http://schemas.microsoft.com/office/excel/2006/main">
          <x14:cfRule type="dataBar" id="{A192D211-7CF8-4DE2-A7D7-7E84CEAE76AC}">
            <x14:dataBar minLength="0" maxLength="100" gradient="0">
              <x14:cfvo type="autoMin"/>
              <x14:cfvo type="autoMax"/>
              <x14:negativeFillColor rgb="FFFF0000"/>
              <x14:axisColor rgb="FF000000"/>
            </x14:dataBar>
          </x14:cfRule>
          <xm:sqref>I18:I23</xm:sqref>
        </x14:conditionalFormatting>
        <x14:conditionalFormatting xmlns:xm="http://schemas.microsoft.com/office/excel/2006/main">
          <x14:cfRule type="dataBar" id="{DAD18344-5C52-4FC2-B48A-3E1E66A9DE34}">
            <x14:dataBar minLength="0" maxLength="100" gradient="0">
              <x14:cfvo type="autoMin"/>
              <x14:cfvo type="autoMax"/>
              <x14:negativeFillColor rgb="FFFF0000"/>
              <x14:axisColor rgb="FF000000"/>
            </x14:dataBar>
          </x14:cfRule>
          <xm:sqref>I29:I34</xm:sqref>
        </x14:conditionalFormatting>
        <x14:conditionalFormatting xmlns:xm="http://schemas.microsoft.com/office/excel/2006/main">
          <x14:cfRule type="dataBar" id="{DFC14C5A-1101-4E2F-8DA9-5D5D695D51E1}">
            <x14:dataBar minLength="0" maxLength="100" gradient="0">
              <x14:cfvo type="autoMin"/>
              <x14:cfvo type="autoMax"/>
              <x14:negativeFillColor rgb="FFFF0000"/>
              <x14:axisColor rgb="FF000000"/>
            </x14:dataBar>
          </x14:cfRule>
          <xm:sqref>I40 I43 I46</xm:sqref>
        </x14:conditionalFormatting>
        <x14:conditionalFormatting xmlns:xm="http://schemas.microsoft.com/office/excel/2006/main">
          <x14:cfRule type="dataBar" id="{A7AA75C6-74FF-49F7-B822-E7AB391C1AC3}">
            <x14:dataBar minLength="0" maxLength="100" gradient="0">
              <x14:cfvo type="autoMin"/>
              <x14:cfvo type="autoMax"/>
              <x14:negativeFillColor rgb="FFFF0000"/>
              <x14:axisColor rgb="FF000000"/>
            </x14:dataBar>
          </x14:cfRule>
          <xm:sqref>I54:I55</xm:sqref>
        </x14:conditionalFormatting>
        <x14:conditionalFormatting xmlns:xm="http://schemas.microsoft.com/office/excel/2006/main">
          <x14:cfRule type="dataBar" id="{D9A1A0A0-AB96-481A-94B7-BB26CE5B3F1F}">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A7368CA4-7A69-4BAF-85E9-14C43D4CE0D8}">
            <x14:dataBar minLength="0" maxLength="100" gradient="0">
              <x14:cfvo type="autoMin"/>
              <x14:cfvo type="autoMax"/>
              <x14:negativeFillColor rgb="FFFF0000"/>
              <x14:axisColor rgb="FF000000"/>
            </x14:dataBar>
          </x14:cfRule>
          <x14:cfRule type="dataBar" id="{D0FFE44D-FA66-46A3-B128-6583F3610D3F}">
            <x14:dataBar minLength="0" maxLength="100" gradient="0">
              <x14:cfvo type="autoMin"/>
              <x14:cfvo type="autoMax"/>
              <x14:negativeFillColor rgb="FFFF0000"/>
              <x14:axisColor rgb="FF000000"/>
            </x14:dataBar>
          </x14:cfRule>
          <x14:cfRule type="dataBar" id="{7AC5821E-B227-419A-B4C6-27F9889FBA38}">
            <x14:dataBar minLength="0" maxLength="100" gradient="0">
              <x14:cfvo type="autoMin"/>
              <x14:cfvo type="autoMax"/>
              <x14:negativeFillColor rgb="FFFF0000"/>
              <x14:axisColor rgb="FF000000"/>
            </x14:dataBar>
          </x14:cfRule>
          <x14:cfRule type="dataBar" id="{A07FBE4A-D174-4BA7-8455-B72B59A85AC4}">
            <x14:dataBar minLength="0" maxLength="100" gradient="0">
              <x14:cfvo type="autoMin"/>
              <x14:cfvo type="autoMax"/>
              <x14:negativeFillColor rgb="FFFF0000"/>
              <x14:axisColor rgb="FF000000"/>
            </x14:dataBar>
          </x14:cfRule>
          <x14:cfRule type="dataBar" id="{7DC284CC-AA85-4547-A334-19EA5A7BE45D}">
            <x14:dataBar minLength="0" maxLength="100" gradient="0">
              <x14:cfvo type="autoMin"/>
              <x14:cfvo type="autoMax"/>
              <x14:negativeFillColor rgb="FFFF0000"/>
              <x14:axisColor rgb="FF000000"/>
            </x14:dataBar>
          </x14:cfRule>
          <x14:cfRule type="dataBar" id="{4F82DA98-62C8-4FB0-8500-E489587C7ACA}">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E7F37615-0AE4-4A4A-B912-19D9BD83911C}">
            <x14:dataBar minLength="0" maxLength="100" gradient="0">
              <x14:cfvo type="autoMin"/>
              <x14:cfvo type="autoMax"/>
              <x14:negativeFillColor rgb="FFFF0000"/>
              <x14:axisColor rgb="FF000000"/>
            </x14:dataBar>
          </x14:cfRule>
          <xm:sqref>I54:L55</xm:sqref>
        </x14:conditionalFormatting>
        <x14:conditionalFormatting xmlns:xm="http://schemas.microsoft.com/office/excel/2006/main">
          <x14:cfRule type="dataBar" id="{6542EFEB-8CDE-4FB2-A461-DB1D732127CD}">
            <x14:dataBar minLength="0" maxLength="100" gradient="0">
              <x14:cfvo type="autoMin"/>
              <x14:cfvo type="autoMax"/>
              <x14:negativeFillColor rgb="FFFF0000"/>
              <x14:axisColor rgb="FF000000"/>
            </x14:dataBar>
          </x14:cfRule>
          <xm:sqref>J54:J55</xm:sqref>
        </x14:conditionalFormatting>
        <x14:conditionalFormatting xmlns:xm="http://schemas.microsoft.com/office/excel/2006/main">
          <x14:cfRule type="dataBar" id="{5A27FB5F-AC6D-40FD-B152-7630C251B9C8}">
            <x14:dataBar minLength="0" maxLength="100" gradient="0">
              <x14:cfvo type="autoMin"/>
              <x14:cfvo type="autoMax"/>
              <x14:negativeFillColor rgb="FFFF0000"/>
              <x14:axisColor rgb="FF000000"/>
            </x14:dataBar>
          </x14:cfRule>
          <xm:sqref>K5:K12</xm:sqref>
        </x14:conditionalFormatting>
        <x14:conditionalFormatting xmlns:xm="http://schemas.microsoft.com/office/excel/2006/main">
          <x14:cfRule type="dataBar" id="{EC97311F-6E0C-4340-B88C-6BD9D0ACE38B}">
            <x14:dataBar minLength="0" maxLength="100" gradient="0">
              <x14:cfvo type="autoMin"/>
              <x14:cfvo type="autoMax"/>
              <x14:negativeFillColor rgb="FFFF0000"/>
              <x14:axisColor rgb="FF000000"/>
            </x14:dataBar>
          </x14:cfRule>
          <xm:sqref>K18:K19</xm:sqref>
        </x14:conditionalFormatting>
        <x14:conditionalFormatting xmlns:xm="http://schemas.microsoft.com/office/excel/2006/main">
          <x14:cfRule type="dataBar" id="{60785AC6-7D44-400D-A2D8-9BBBDC5C548B}">
            <x14:dataBar minLength="0" maxLength="100" gradient="0">
              <x14:cfvo type="autoMin"/>
              <x14:cfvo type="autoMax"/>
              <x14:negativeFillColor rgb="FFFF0000"/>
              <x14:axisColor rgb="FF000000"/>
            </x14:dataBar>
          </x14:cfRule>
          <xm:sqref>K20:K22</xm:sqref>
        </x14:conditionalFormatting>
        <x14:conditionalFormatting xmlns:xm="http://schemas.microsoft.com/office/excel/2006/main">
          <x14:cfRule type="dataBar" id="{5D585EFD-089A-4086-A2BD-E05CCBA9AD02}">
            <x14:dataBar minLength="0" maxLength="100" gradient="0">
              <x14:cfvo type="autoMin"/>
              <x14:cfvo type="autoMax"/>
              <x14:negativeFillColor rgb="FFFF0000"/>
              <x14:axisColor rgb="FF000000"/>
            </x14:dataBar>
          </x14:cfRule>
          <xm:sqref>K29:K30</xm:sqref>
        </x14:conditionalFormatting>
        <x14:conditionalFormatting xmlns:xm="http://schemas.microsoft.com/office/excel/2006/main">
          <x14:cfRule type="dataBar" id="{1CEBAC69-F354-4AC6-A8A0-1CD58EF83787}">
            <x14:dataBar minLength="0" maxLength="100" gradient="0">
              <x14:cfvo type="autoMin"/>
              <x14:cfvo type="autoMax"/>
              <x14:negativeFillColor rgb="FFFF0000"/>
              <x14:axisColor rgb="FF000000"/>
            </x14:dataBar>
          </x14:cfRule>
          <xm:sqref>K31:K33</xm:sqref>
        </x14:conditionalFormatting>
        <x14:conditionalFormatting xmlns:xm="http://schemas.microsoft.com/office/excel/2006/main">
          <x14:cfRule type="dataBar" id="{5635FBB0-E3A3-4778-9D45-A61B4DD4AABB}">
            <x14:dataBar minLength="0" maxLength="100" gradient="0">
              <x14:cfvo type="autoMin"/>
              <x14:cfvo type="autoMax"/>
              <x14:negativeFillColor rgb="FFFF0000"/>
              <x14:axisColor rgb="FF000000"/>
            </x14:dataBar>
          </x14:cfRule>
          <xm:sqref>K55</xm:sqref>
        </x14:conditionalFormatting>
        <x14:conditionalFormatting xmlns:xm="http://schemas.microsoft.com/office/excel/2006/main">
          <x14:cfRule type="dataBar" id="{BE9D279A-ADD8-46F4-B26E-577DEFFA037B}">
            <x14:dataBar minLength="0" maxLength="100" border="1" negativeBarBorderColorSameAsPositive="0">
              <x14:cfvo type="autoMin"/>
              <x14:cfvo type="autoMax"/>
              <x14:borderColor rgb="FF63C384"/>
              <x14:negativeFillColor rgb="FFFF0000"/>
              <x14:negativeBorderColor rgb="FFFF0000"/>
              <x14:axisColor rgb="FF000000"/>
            </x14:dataBar>
          </x14:cfRule>
          <xm:sqref>K20:O22</xm:sqref>
        </x14:conditionalFormatting>
        <x14:conditionalFormatting xmlns:xm="http://schemas.microsoft.com/office/excel/2006/main">
          <x14:cfRule type="dataBar" id="{CBC457F7-3DB8-46A0-988B-11CCF8FF31E5}">
            <x14:dataBar minLength="0" maxLength="100" gradient="0">
              <x14:cfvo type="autoMin"/>
              <x14:cfvo type="autoMax"/>
              <x14:negativeFillColor rgb="FFFF0000"/>
              <x14:axisColor rgb="FF000000"/>
            </x14:dataBar>
          </x14:cfRule>
          <x14:cfRule type="dataBar" id="{589E11FE-E342-4D21-9EB3-CB0F15AE87A6}">
            <x14:dataBar minLength="0" maxLength="100" gradient="0">
              <x14:cfvo type="autoMin"/>
              <x14:cfvo type="autoMax"/>
              <x14:negativeFillColor rgb="FFFF0000"/>
              <x14:axisColor rgb="FF000000"/>
            </x14:dataBar>
          </x14:cfRule>
          <xm:sqref>K20:O23</xm:sqref>
        </x14:conditionalFormatting>
        <x14:conditionalFormatting xmlns:xm="http://schemas.microsoft.com/office/excel/2006/main">
          <x14:cfRule type="dataBar" id="{4EAA6084-0907-4F67-8C66-09C7473F94C3}">
            <x14:dataBar minLength="0" maxLength="100" border="1" negativeBarBorderColorSameAsPositive="0">
              <x14:cfvo type="autoMin"/>
              <x14:cfvo type="autoMax"/>
              <x14:borderColor rgb="FF63C384"/>
              <x14:negativeFillColor rgb="FFFF0000"/>
              <x14:negativeBorderColor rgb="FFFF0000"/>
              <x14:axisColor rgb="FF000000"/>
            </x14:dataBar>
          </x14:cfRule>
          <xm:sqref>K31:O33</xm:sqref>
        </x14:conditionalFormatting>
        <x14:conditionalFormatting xmlns:xm="http://schemas.microsoft.com/office/excel/2006/main">
          <x14:cfRule type="dataBar" id="{9B3F5EF5-5A7D-42DD-943C-0A8D95D93CF2}">
            <x14:dataBar minLength="0" maxLength="100" gradient="0">
              <x14:cfvo type="autoMin"/>
              <x14:cfvo type="autoMax"/>
              <x14:negativeFillColor rgb="FFFF0000"/>
              <x14:axisColor rgb="FF000000"/>
            </x14:dataBar>
          </x14:cfRule>
          <x14:cfRule type="dataBar" id="{4FD942A7-D02C-42A9-8EDE-25306AE28B27}">
            <x14:dataBar minLength="0" maxLength="100" gradient="0">
              <x14:cfvo type="autoMin"/>
              <x14:cfvo type="autoMax"/>
              <x14:negativeFillColor rgb="FFFF0000"/>
              <x14:axisColor rgb="FF000000"/>
            </x14:dataBar>
          </x14:cfRule>
          <xm:sqref>K31:O34</xm:sqref>
        </x14:conditionalFormatting>
        <x14:conditionalFormatting xmlns:xm="http://schemas.microsoft.com/office/excel/2006/main">
          <x14:cfRule type="dataBar" id="{D4D8325C-0B75-4BDD-A6D8-F52052243561}">
            <x14:dataBar minLength="0" maxLength="100" gradient="0">
              <x14:cfvo type="autoMin"/>
              <x14:cfvo type="autoMax"/>
              <x14:negativeFillColor rgb="FFFF0000"/>
              <x14:axisColor rgb="FF000000"/>
            </x14:dataBar>
          </x14:cfRule>
          <xm:sqref>K40:O40 N51 K43:O43 K46:O46</xm:sqref>
        </x14:conditionalFormatting>
        <x14:conditionalFormatting xmlns:xm="http://schemas.microsoft.com/office/excel/2006/main">
          <x14:cfRule type="dataBar" id="{1642E512-5328-4DB9-81F4-5A67EFFA2D7A}">
            <x14:dataBar minLength="0" maxLength="100" gradient="0">
              <x14:cfvo type="autoMin"/>
              <x14:cfvo type="autoMax"/>
              <x14:negativeFillColor rgb="FFFF0000"/>
              <x14:axisColor rgb="FF000000"/>
            </x14:dataBar>
          </x14:cfRule>
          <x14:cfRule type="dataBar" id="{5832A442-CC22-41FC-AD17-86122538435B}">
            <x14:dataBar minLength="0" maxLength="100" border="1" negativeBarBorderColorSameAsPositive="0">
              <x14:cfvo type="autoMin"/>
              <x14:cfvo type="autoMax"/>
              <x14:borderColor rgb="FF63C384"/>
              <x14:negativeFillColor rgb="FFFF0000"/>
              <x14:negativeBorderColor rgb="FFFF0000"/>
              <x14:axisColor rgb="FF000000"/>
            </x14:dataBar>
          </x14:cfRule>
          <xm:sqref>K5:P10</xm:sqref>
        </x14:conditionalFormatting>
        <x14:conditionalFormatting xmlns:xm="http://schemas.microsoft.com/office/excel/2006/main">
          <x14:cfRule type="dataBar" id="{89B86DF7-6C9A-4AED-95B3-17A10F17C75A}">
            <x14:dataBar minLength="0" maxLength="100" gradient="0">
              <x14:cfvo type="autoMin"/>
              <x14:cfvo type="autoMax"/>
              <x14:negativeFillColor rgb="FFFF0000"/>
              <x14:axisColor rgb="FF000000"/>
            </x14:dataBar>
          </x14:cfRule>
          <x14:cfRule type="dataBar" id="{8F054359-96CF-41E5-93B9-D6AC8D539303}">
            <x14:dataBar minLength="0" maxLength="100" border="1" negativeBarBorderColorSameAsPositive="0">
              <x14:cfvo type="autoMin"/>
              <x14:cfvo type="autoMax"/>
              <x14:borderColor rgb="FF63C384"/>
              <x14:negativeFillColor rgb="FFFF0000"/>
              <x14:negativeBorderColor rgb="FFFF0000"/>
              <x14:axisColor rgb="FF000000"/>
            </x14:dataBar>
          </x14:cfRule>
          <xm:sqref>K18:P19</xm:sqref>
        </x14:conditionalFormatting>
        <x14:conditionalFormatting xmlns:xm="http://schemas.microsoft.com/office/excel/2006/main">
          <x14:cfRule type="dataBar" id="{A85696C3-3FD4-4347-BBC8-6CEF041D9BC2}">
            <x14:dataBar minLength="0" maxLength="100" gradient="0">
              <x14:cfvo type="autoMin"/>
              <x14:cfvo type="autoMax"/>
              <x14:negativeFillColor rgb="FFFF0000"/>
              <x14:axisColor rgb="FF000000"/>
            </x14:dataBar>
          </x14:cfRule>
          <x14:cfRule type="dataBar" id="{4CBCF4A4-EFBB-41F0-984E-0C4EF2D8C81C}">
            <x14:dataBar minLength="0" maxLength="100" gradient="0">
              <x14:cfvo type="autoMin"/>
              <x14:cfvo type="autoMax"/>
              <x14:negativeFillColor rgb="FFFF0000"/>
              <x14:axisColor rgb="FF000000"/>
            </x14:dataBar>
          </x14:cfRule>
          <x14:cfRule type="dataBar" id="{9095667E-69EE-4811-BEDE-AFA010708C3B}">
            <x14:dataBar minLength="0" maxLength="100" gradient="0">
              <x14:cfvo type="autoMin"/>
              <x14:cfvo type="autoMax"/>
              <x14:negativeFillColor rgb="FFFF0000"/>
              <x14:axisColor rgb="FF000000"/>
            </x14:dataBar>
          </x14:cfRule>
          <x14:cfRule type="dataBar" id="{00030478-9DDE-4C48-B970-8BFEEA7887D7}">
            <x14:dataBar minLength="0" maxLength="100" border="1" negativeBarBorderColorSameAsPositive="0">
              <x14:cfvo type="autoMin"/>
              <x14:cfvo type="autoMax"/>
              <x14:borderColor rgb="FF63C384"/>
              <x14:negativeFillColor rgb="FFFF0000"/>
              <x14:negativeBorderColor rgb="FFFF0000"/>
              <x14:axisColor rgb="FF000000"/>
            </x14:dataBar>
          </x14:cfRule>
          <xm:sqref>K20:P22</xm:sqref>
        </x14:conditionalFormatting>
        <x14:conditionalFormatting xmlns:xm="http://schemas.microsoft.com/office/excel/2006/main">
          <x14:cfRule type="dataBar" id="{EC7F1560-4E75-4756-AE37-09B82982D1AB}">
            <x14:dataBar minLength="0" maxLength="100" gradient="0">
              <x14:cfvo type="autoMin"/>
              <x14:cfvo type="autoMax"/>
              <x14:negativeFillColor rgb="FFFF0000"/>
              <x14:axisColor rgb="FF000000"/>
            </x14:dataBar>
          </x14:cfRule>
          <xm:sqref>K20:P23</xm:sqref>
        </x14:conditionalFormatting>
        <x14:conditionalFormatting xmlns:xm="http://schemas.microsoft.com/office/excel/2006/main">
          <x14:cfRule type="dataBar" id="{624EF9E9-FC69-4C57-8B92-4F6320D43BF6}">
            <x14:dataBar minLength="0" maxLength="100" gradient="0">
              <x14:cfvo type="autoMin"/>
              <x14:cfvo type="autoMax"/>
              <x14:negativeFillColor rgb="FFFF0000"/>
              <x14:axisColor rgb="FF000000"/>
            </x14:dataBar>
          </x14:cfRule>
          <x14:cfRule type="dataBar" id="{1C8C07B2-BD7C-4727-B188-3301C366D456}">
            <x14:dataBar minLength="0" maxLength="100" gradient="0">
              <x14:cfvo type="autoMin"/>
              <x14:cfvo type="autoMax"/>
              <x14:negativeFillColor rgb="FFFF0000"/>
              <x14:axisColor rgb="FF000000"/>
            </x14:dataBar>
          </x14:cfRule>
          <x14:cfRule type="dataBar" id="{904D660B-3592-4479-B026-ACD9350A3616}">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FE2287FA-B40E-40F5-8AA8-262EA0BD4636}">
            <x14:dataBar minLength="0" maxLength="100" border="1" negativeBarBorderColorSameAsPositive="0">
              <x14:cfvo type="autoMin"/>
              <x14:cfvo type="autoMax"/>
              <x14:borderColor rgb="FF63C384"/>
              <x14:negativeFillColor rgb="FFFF0000"/>
              <x14:negativeBorderColor rgb="FFFF0000"/>
              <x14:axisColor rgb="FF000000"/>
            </x14:dataBar>
          </x14:cfRule>
          <xm:sqref>K23:P23</xm:sqref>
        </x14:conditionalFormatting>
        <x14:conditionalFormatting xmlns:xm="http://schemas.microsoft.com/office/excel/2006/main">
          <x14:cfRule type="dataBar" id="{592B61BC-8CDC-4A52-BD05-57EF0C2FF62B}">
            <x14:dataBar minLength="0" maxLength="100" gradient="0">
              <x14:cfvo type="autoMin"/>
              <x14:cfvo type="autoMax"/>
              <x14:negativeFillColor rgb="FFFF0000"/>
              <x14:axisColor rgb="FF000000"/>
            </x14:dataBar>
          </x14:cfRule>
          <x14:cfRule type="dataBar" id="{C30E8336-9ABF-4DBB-8924-951B09CA3FD7}">
            <x14:dataBar minLength="0" maxLength="100" border="1" negativeBarBorderColorSameAsPositive="0">
              <x14:cfvo type="autoMin"/>
              <x14:cfvo type="autoMax"/>
              <x14:borderColor rgb="FF63C384"/>
              <x14:negativeFillColor rgb="FFFF0000"/>
              <x14:negativeBorderColor rgb="FFFF0000"/>
              <x14:axisColor rgb="FF000000"/>
            </x14:dataBar>
          </x14:cfRule>
          <xm:sqref>K29:P30</xm:sqref>
        </x14:conditionalFormatting>
        <x14:conditionalFormatting xmlns:xm="http://schemas.microsoft.com/office/excel/2006/main">
          <x14:cfRule type="dataBar" id="{8F62C0C1-DA3F-40EA-ACF2-DC537363BB15}">
            <x14:dataBar minLength="0" maxLength="100" gradient="0">
              <x14:cfvo type="autoMin"/>
              <x14:cfvo type="autoMax"/>
              <x14:negativeFillColor rgb="FFFF0000"/>
              <x14:axisColor rgb="FF000000"/>
            </x14:dataBar>
          </x14:cfRule>
          <x14:cfRule type="dataBar" id="{2FAF653C-4EB5-4A35-8CAC-083821E30235}">
            <x14:dataBar minLength="0" maxLength="100" gradient="0">
              <x14:cfvo type="autoMin"/>
              <x14:cfvo type="autoMax"/>
              <x14:negativeFillColor rgb="FFFF0000"/>
              <x14:axisColor rgb="FF000000"/>
            </x14:dataBar>
          </x14:cfRule>
          <x14:cfRule type="dataBar" id="{B8275E2D-11E8-40F0-B981-E4CDDB439809}">
            <x14:dataBar minLength="0" maxLength="100" gradient="0">
              <x14:cfvo type="autoMin"/>
              <x14:cfvo type="autoMax"/>
              <x14:negativeFillColor rgb="FFFF0000"/>
              <x14:axisColor rgb="FF000000"/>
            </x14:dataBar>
          </x14:cfRule>
          <x14:cfRule type="dataBar" id="{53F1A2C9-EE11-4155-87E9-0FD86F991BF7}">
            <x14:dataBar minLength="0" maxLength="100" border="1" negativeBarBorderColorSameAsPositive="0">
              <x14:cfvo type="autoMin"/>
              <x14:cfvo type="autoMax"/>
              <x14:borderColor rgb="FF63C384"/>
              <x14:negativeFillColor rgb="FFFF0000"/>
              <x14:negativeBorderColor rgb="FFFF0000"/>
              <x14:axisColor rgb="FF000000"/>
            </x14:dataBar>
          </x14:cfRule>
          <xm:sqref>K31:P33</xm:sqref>
        </x14:conditionalFormatting>
        <x14:conditionalFormatting xmlns:xm="http://schemas.microsoft.com/office/excel/2006/main">
          <x14:cfRule type="dataBar" id="{F757D283-F7FE-4768-A5E5-5C7C44A57321}">
            <x14:dataBar minLength="0" maxLength="100" gradient="0">
              <x14:cfvo type="autoMin"/>
              <x14:cfvo type="autoMax"/>
              <x14:negativeFillColor rgb="FFFF0000"/>
              <x14:axisColor rgb="FF000000"/>
            </x14:dataBar>
          </x14:cfRule>
          <xm:sqref>K31:P34</xm:sqref>
        </x14:conditionalFormatting>
        <x14:conditionalFormatting xmlns:xm="http://schemas.microsoft.com/office/excel/2006/main">
          <x14:cfRule type="dataBar" id="{DA0ADC38-7473-4A34-9FC7-D46B9FF1E6A3}">
            <x14:dataBar minLength="0" maxLength="100" gradient="0">
              <x14:cfvo type="autoMin"/>
              <x14:cfvo type="autoMax"/>
              <x14:negativeFillColor rgb="FFFF0000"/>
              <x14:axisColor rgb="FF000000"/>
            </x14:dataBar>
          </x14:cfRule>
          <x14:cfRule type="dataBar" id="{13C7EC77-605F-4594-9FF6-707904CE5750}">
            <x14:dataBar minLength="0" maxLength="100" gradient="0">
              <x14:cfvo type="autoMin"/>
              <x14:cfvo type="autoMax"/>
              <x14:negativeFillColor rgb="FFFF0000"/>
              <x14:axisColor rgb="FF000000"/>
            </x14:dataBar>
          </x14:cfRule>
          <x14:cfRule type="dataBar" id="{4549F74F-B3BC-465F-81E9-D296A0F1B908}">
            <x14:dataBar minLength="0" maxLength="100" border="1" negativeBarBorderColorSameAsPositive="0">
              <x14:cfvo type="autoMin"/>
              <x14:cfvo type="autoMax"/>
              <x14:borderColor rgb="FF63C384"/>
              <x14:negativeFillColor rgb="FFFF0000"/>
              <x14:negativeBorderColor rgb="FFFF0000"/>
              <x14:axisColor rgb="FF000000"/>
            </x14:dataBar>
          </x14:cfRule>
          <x14:cfRule type="dataBar" id="{4ED44751-5A59-40A0-A793-D9803AC99A2E}">
            <x14:dataBar minLength="0" maxLength="100" border="1" negativeBarBorderColorSameAsPositive="0">
              <x14:cfvo type="autoMin"/>
              <x14:cfvo type="autoMax"/>
              <x14:borderColor rgb="FF63C384"/>
              <x14:negativeFillColor rgb="FFFF0000"/>
              <x14:negativeBorderColor rgb="FFFF0000"/>
              <x14:axisColor rgb="FF000000"/>
            </x14:dataBar>
          </x14:cfRule>
          <xm:sqref>K34:P34</xm:sqref>
        </x14:conditionalFormatting>
        <x14:conditionalFormatting xmlns:xm="http://schemas.microsoft.com/office/excel/2006/main">
          <x14:cfRule type="dataBar" id="{086E2BE5-AF7D-45A1-A497-EB3FB49CEB4D}">
            <x14:dataBar minLength="0" maxLength="100" gradient="0">
              <x14:cfvo type="autoMin"/>
              <x14:cfvo type="autoMax"/>
              <x14:negativeFillColor rgb="FFFF0000"/>
              <x14:axisColor rgb="FF000000"/>
            </x14:dataBar>
          </x14:cfRule>
          <xm:sqref>L5:L12</xm:sqref>
        </x14:conditionalFormatting>
        <x14:conditionalFormatting xmlns:xm="http://schemas.microsoft.com/office/excel/2006/main">
          <x14:cfRule type="dataBar" id="{6919797E-DEF7-4127-BB01-B92C08C5AA0A}">
            <x14:dataBar minLength="0" maxLength="100" gradient="0">
              <x14:cfvo type="autoMin"/>
              <x14:cfvo type="autoMax"/>
              <x14:negativeFillColor rgb="FFFF0000"/>
              <x14:axisColor rgb="FF000000"/>
            </x14:dataBar>
          </x14:cfRule>
          <xm:sqref>L18:L19</xm:sqref>
        </x14:conditionalFormatting>
        <x14:conditionalFormatting xmlns:xm="http://schemas.microsoft.com/office/excel/2006/main">
          <x14:cfRule type="dataBar" id="{4BEF7755-0998-42F9-BE2B-3DDE71DD6879}">
            <x14:dataBar minLength="0" maxLength="100" gradient="0">
              <x14:cfvo type="autoMin"/>
              <x14:cfvo type="autoMax"/>
              <x14:negativeFillColor rgb="FFFF0000"/>
              <x14:axisColor rgb="FF000000"/>
            </x14:dataBar>
          </x14:cfRule>
          <xm:sqref>L20:L22</xm:sqref>
        </x14:conditionalFormatting>
        <x14:conditionalFormatting xmlns:xm="http://schemas.microsoft.com/office/excel/2006/main">
          <x14:cfRule type="dataBar" id="{99AC8856-3C4F-40D6-BAEB-B5B214D75654}">
            <x14:dataBar minLength="0" maxLength="100" gradient="0">
              <x14:cfvo type="autoMin"/>
              <x14:cfvo type="autoMax"/>
              <x14:negativeFillColor rgb="FFFF0000"/>
              <x14:axisColor rgb="FF000000"/>
            </x14:dataBar>
          </x14:cfRule>
          <xm:sqref>L29:L30</xm:sqref>
        </x14:conditionalFormatting>
        <x14:conditionalFormatting xmlns:xm="http://schemas.microsoft.com/office/excel/2006/main">
          <x14:cfRule type="dataBar" id="{56E5DB6E-8365-4CE5-BFC7-6F1933AF7401}">
            <x14:dataBar minLength="0" maxLength="100" gradient="0">
              <x14:cfvo type="autoMin"/>
              <x14:cfvo type="autoMax"/>
              <x14:negativeFillColor rgb="FFFF0000"/>
              <x14:axisColor rgb="FF000000"/>
            </x14:dataBar>
          </x14:cfRule>
          <xm:sqref>L31:L33</xm:sqref>
        </x14:conditionalFormatting>
        <x14:conditionalFormatting xmlns:xm="http://schemas.microsoft.com/office/excel/2006/main">
          <x14:cfRule type="dataBar" id="{ED3D33F5-0936-47B6-B390-A145FC9690B8}">
            <x14:dataBar minLength="0" maxLength="100" gradient="0">
              <x14:cfvo type="autoMin"/>
              <x14:cfvo type="autoMax"/>
              <x14:negativeFillColor rgb="FFFF0000"/>
              <x14:axisColor rgb="FF000000"/>
            </x14:dataBar>
          </x14:cfRule>
          <xm:sqref>L54:L55</xm:sqref>
        </x14:conditionalFormatting>
        <x14:conditionalFormatting xmlns:xm="http://schemas.microsoft.com/office/excel/2006/main">
          <x14:cfRule type="dataBar" id="{CF921376-951B-44A1-A35C-F489AA25CABD}">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x14:cfRule type="dataBar" id="{56FDBD16-DDEB-4D7A-98AA-9D8D76CB1BBA}">
            <x14:dataBar minLength="0" maxLength="100" gradient="0">
              <x14:cfvo type="autoMin"/>
              <x14:cfvo type="autoMax"/>
              <x14:negativeFillColor rgb="FFFF0000"/>
              <x14:axisColor rgb="FF000000"/>
            </x14:dataBar>
          </x14:cfRule>
          <xm:sqref>M20:M22</xm:sqref>
        </x14:conditionalFormatting>
        <x14:conditionalFormatting xmlns:xm="http://schemas.microsoft.com/office/excel/2006/main">
          <x14:cfRule type="dataBar" id="{A5B88093-B553-4E86-BAD5-B2B5782B83F9}">
            <x14:dataBar minLength="0" maxLength="100" gradient="0">
              <x14:cfvo type="autoMin"/>
              <x14:cfvo type="autoMax"/>
              <x14:negativeFillColor rgb="FFFF0000"/>
              <x14:axisColor rgb="FF000000"/>
            </x14:dataBar>
          </x14:cfRule>
          <xm:sqref>M31:M33</xm:sqref>
        </x14:conditionalFormatting>
        <x14:conditionalFormatting xmlns:xm="http://schemas.microsoft.com/office/excel/2006/main">
          <x14:cfRule type="dataBar" id="{418255D3-2B96-41A9-9582-87939D7FAE81}">
            <x14:dataBar minLength="0" maxLength="100" gradient="0">
              <x14:cfvo type="autoMin"/>
              <x14:cfvo type="autoMax"/>
              <x14:negativeFillColor rgb="FFFF0000"/>
              <x14:axisColor rgb="FF000000"/>
            </x14:dataBar>
          </x14:cfRule>
          <xm:sqref>M5:P10</xm:sqref>
        </x14:conditionalFormatting>
        <x14:conditionalFormatting xmlns:xm="http://schemas.microsoft.com/office/excel/2006/main">
          <x14:cfRule type="dataBar" id="{1FB56D18-8CA6-4132-A495-26ED6968F79D}">
            <x14:dataBar minLength="0" maxLength="100" gradient="0">
              <x14:cfvo type="autoMin"/>
              <x14:cfvo type="autoMax"/>
              <x14:negativeFillColor rgb="FFFF0000"/>
              <x14:axisColor rgb="FF000000"/>
            </x14:dataBar>
          </x14:cfRule>
          <xm:sqref>M18:P19</xm:sqref>
        </x14:conditionalFormatting>
        <x14:conditionalFormatting xmlns:xm="http://schemas.microsoft.com/office/excel/2006/main">
          <x14:cfRule type="dataBar" id="{8E7189E3-6A44-4521-8C2D-05E753784D54}">
            <x14:dataBar minLength="0" maxLength="100" gradient="0">
              <x14:cfvo type="autoMin"/>
              <x14:cfvo type="autoMax"/>
              <x14:negativeFillColor rgb="FFFF0000"/>
              <x14:axisColor rgb="FF000000"/>
            </x14:dataBar>
          </x14:cfRule>
          <xm:sqref>M29:P30</xm:sqref>
        </x14:conditionalFormatting>
        <x14:conditionalFormatting xmlns:xm="http://schemas.microsoft.com/office/excel/2006/main">
          <x14:cfRule type="dataBar" id="{13101FF6-2EA7-4030-B4D6-DA0DA1C2F6A6}">
            <x14:dataBar minLength="0" maxLength="100" gradient="0">
              <x14:cfvo type="autoMin"/>
              <x14:cfvo type="autoMax"/>
              <x14:negativeFillColor rgb="FFFF0000"/>
              <x14:axisColor rgb="FF000000"/>
            </x14:dataBar>
          </x14:cfRule>
          <xm:sqref>N11:N12</xm:sqref>
        </x14:conditionalFormatting>
        <x14:conditionalFormatting xmlns:xm="http://schemas.microsoft.com/office/excel/2006/main">
          <x14:cfRule type="dataBar" id="{E359D2BF-B4C7-4D3A-9103-4CBEE70A31B4}">
            <x14:dataBar minLength="0" maxLength="100" gradient="0">
              <x14:cfvo type="autoMin"/>
              <x14:cfvo type="autoMax"/>
              <x14:negativeFillColor rgb="FFFF0000"/>
              <x14:axisColor rgb="FF000000"/>
            </x14:dataBar>
          </x14:cfRule>
          <xm:sqref>N20:N22</xm:sqref>
        </x14:conditionalFormatting>
        <x14:conditionalFormatting xmlns:xm="http://schemas.microsoft.com/office/excel/2006/main">
          <x14:cfRule type="dataBar" id="{F1F1D1E2-F58D-4DA1-AAAF-5CACBBE9BA74}">
            <x14:dataBar minLength="0" maxLength="100" gradient="0">
              <x14:cfvo type="autoMin"/>
              <x14:cfvo type="autoMax"/>
              <x14:negativeFillColor rgb="FFFF0000"/>
              <x14:axisColor rgb="FF000000"/>
            </x14:dataBar>
          </x14:cfRule>
          <xm:sqref>N31:N33</xm:sqref>
        </x14:conditionalFormatting>
        <x14:conditionalFormatting xmlns:xm="http://schemas.microsoft.com/office/excel/2006/main">
          <x14:cfRule type="dataBar" id="{1F18C40A-A33A-4D0B-B57F-47D9D6CF0D64}">
            <x14:dataBar minLength="0" maxLength="100" gradient="0">
              <x14:cfvo type="autoMin"/>
              <x14:cfvo type="autoMax"/>
              <x14:negativeFillColor rgb="FFFF0000"/>
              <x14:axisColor rgb="FF000000"/>
            </x14:dataBar>
          </x14:cfRule>
          <xm:sqref>O11:O12</xm:sqref>
        </x14:conditionalFormatting>
        <x14:conditionalFormatting xmlns:xm="http://schemas.microsoft.com/office/excel/2006/main">
          <x14:cfRule type="dataBar" id="{26AC0999-7FF4-4431-B91F-7A7C0E85B670}">
            <x14:dataBar minLength="0" maxLength="100" gradient="0">
              <x14:cfvo type="autoMin"/>
              <x14:cfvo type="autoMax"/>
              <x14:negativeFillColor rgb="FFFF0000"/>
              <x14:axisColor rgb="FF000000"/>
            </x14:dataBar>
          </x14:cfRule>
          <xm:sqref>O20:O22</xm:sqref>
        </x14:conditionalFormatting>
        <x14:conditionalFormatting xmlns:xm="http://schemas.microsoft.com/office/excel/2006/main">
          <x14:cfRule type="dataBar" id="{72051DBD-038B-4034-BE0F-124A82567B04}">
            <x14:dataBar minLength="0" maxLength="100" gradient="0">
              <x14:cfvo type="autoMin"/>
              <x14:cfvo type="autoMax"/>
              <x14:negativeFillColor rgb="FFFF0000"/>
              <x14:axisColor rgb="FF000000"/>
            </x14:dataBar>
          </x14:cfRule>
          <xm:sqref>O31:O33</xm:sqref>
        </x14:conditionalFormatting>
        <x14:conditionalFormatting xmlns:xm="http://schemas.microsoft.com/office/excel/2006/main">
          <x14:cfRule type="dataBar" id="{BA11135A-0895-4A01-87D0-A486C9D5843C}">
            <x14:dataBar minLength="0" maxLength="100" gradient="0">
              <x14:cfvo type="autoMin"/>
              <x14:cfvo type="autoMax"/>
              <x14:negativeFillColor rgb="FFFF0000"/>
              <x14:axisColor rgb="FF000000"/>
            </x14:dataBar>
          </x14:cfRule>
          <xm:sqref>P11:P12</xm:sqref>
        </x14:conditionalFormatting>
        <x14:conditionalFormatting xmlns:xm="http://schemas.microsoft.com/office/excel/2006/main">
          <x14:cfRule type="dataBar" id="{00154FAC-2C70-4EF2-A308-BA8404420986}">
            <x14:dataBar minLength="0" maxLength="100" gradient="0">
              <x14:cfvo type="autoMin"/>
              <x14:cfvo type="autoMax"/>
              <x14:negativeFillColor rgb="FFFF0000"/>
              <x14:axisColor rgb="FF000000"/>
            </x14:dataBar>
          </x14:cfRule>
          <xm:sqref>P20:P22</xm:sqref>
        </x14:conditionalFormatting>
        <x14:conditionalFormatting xmlns:xm="http://schemas.microsoft.com/office/excel/2006/main">
          <x14:cfRule type="dataBar" id="{A1AE97AD-5647-4F9F-A100-6C15C1895B18}">
            <x14:dataBar minLength="0" maxLength="100" gradient="0">
              <x14:cfvo type="autoMin"/>
              <x14:cfvo type="autoMax"/>
              <x14:negativeFillColor rgb="FFFF0000"/>
              <x14:axisColor rgb="FF000000"/>
            </x14:dataBar>
          </x14:cfRule>
          <xm:sqref>P20:P23</xm:sqref>
        </x14:conditionalFormatting>
        <x14:conditionalFormatting xmlns:xm="http://schemas.microsoft.com/office/excel/2006/main">
          <x14:cfRule type="dataBar" id="{44059659-321E-4F16-A91E-71EB67462F51}">
            <x14:dataBar minLength="0" maxLength="100" gradient="0">
              <x14:cfvo type="autoMin"/>
              <x14:cfvo type="autoMax"/>
              <x14:negativeFillColor rgb="FFFF0000"/>
              <x14:axisColor rgb="FF000000"/>
            </x14:dataBar>
          </x14:cfRule>
          <x14:cfRule type="dataBar" id="{657DE2C6-03A4-4EDE-99AD-798EB4DDA82C}">
            <x14:dataBar minLength="0" maxLength="100" gradient="0">
              <x14:cfvo type="autoMin"/>
              <x14:cfvo type="autoMax"/>
              <x14:negativeFillColor rgb="FFFF0000"/>
              <x14:axisColor rgb="FF000000"/>
            </x14:dataBar>
          </x14:cfRule>
          <x14:cfRule type="dataBar" id="{ECB61C77-2C43-48F4-8A50-733EB85A1CEE}">
            <x14:dataBar minLength="0" maxLength="100" gradient="0">
              <x14:cfvo type="autoMin"/>
              <x14:cfvo type="autoMax"/>
              <x14:negativeFillColor rgb="FFFF0000"/>
              <x14:axisColor rgb="FF000000"/>
            </x14:dataBar>
          </x14:cfRule>
          <x14:cfRule type="dataBar" id="{CA13E27F-6DDD-451D-9981-58C3F52DF064}">
            <x14:dataBar minLength="0" maxLength="100" gradient="0">
              <x14:cfvo type="autoMin"/>
              <x14:cfvo type="autoMax"/>
              <x14:negativeFillColor rgb="FFFF0000"/>
              <x14:axisColor rgb="FF000000"/>
            </x14:dataBar>
          </x14:cfRule>
          <x14:cfRule type="dataBar" id="{E25FCA19-5187-42DE-ACC0-FA124C432602}">
            <x14:dataBar minLength="0" maxLength="100" border="1" negativeBarBorderColorSameAsPositive="0">
              <x14:cfvo type="autoMin"/>
              <x14:cfvo type="autoMax"/>
              <x14:borderColor rgb="FF63C384"/>
              <x14:negativeFillColor rgb="FFFF0000"/>
              <x14:negativeBorderColor rgb="FFFF0000"/>
              <x14:axisColor rgb="FF000000"/>
            </x14:dataBar>
          </x14:cfRule>
          <xm:sqref>P23</xm:sqref>
        </x14:conditionalFormatting>
        <x14:conditionalFormatting xmlns:xm="http://schemas.microsoft.com/office/excel/2006/main">
          <x14:cfRule type="dataBar" id="{7C8CD9BC-5762-4589-9F02-B4BF0D638AB1}">
            <x14:dataBar minLength="0" maxLength="100" gradient="0">
              <x14:cfvo type="autoMin"/>
              <x14:cfvo type="autoMax"/>
              <x14:negativeFillColor rgb="FFFF0000"/>
              <x14:axisColor rgb="FF000000"/>
            </x14:dataBar>
          </x14:cfRule>
          <xm:sqref>P31:P33</xm:sqref>
        </x14:conditionalFormatting>
        <x14:conditionalFormatting xmlns:xm="http://schemas.microsoft.com/office/excel/2006/main">
          <x14:cfRule type="dataBar" id="{6DFC1F85-F3C6-4A56-B9C9-34A6EDAF91A7}">
            <x14:dataBar minLength="0" maxLength="100" gradient="0">
              <x14:cfvo type="autoMin"/>
              <x14:cfvo type="autoMax"/>
              <x14:negativeFillColor rgb="FFFF0000"/>
              <x14:axisColor rgb="FF000000"/>
            </x14:dataBar>
          </x14:cfRule>
          <xm:sqref>P31:P34</xm:sqref>
        </x14:conditionalFormatting>
        <x14:conditionalFormatting xmlns:xm="http://schemas.microsoft.com/office/excel/2006/main">
          <x14:cfRule type="dataBar" id="{87EF0EE6-CB7F-4048-AA0D-6F5C8B95622F}">
            <x14:dataBar minLength="0" maxLength="100" gradient="0">
              <x14:cfvo type="autoMin"/>
              <x14:cfvo type="autoMax"/>
              <x14:negativeFillColor rgb="FFFF0000"/>
              <x14:axisColor rgb="FF000000"/>
            </x14:dataBar>
          </x14:cfRule>
          <x14:cfRule type="dataBar" id="{8EC73540-44D3-4F83-9DB4-F733F140B032}">
            <x14:dataBar minLength="0" maxLength="100" gradient="0">
              <x14:cfvo type="autoMin"/>
              <x14:cfvo type="autoMax"/>
              <x14:negativeFillColor rgb="FFFF0000"/>
              <x14:axisColor rgb="FF000000"/>
            </x14:dataBar>
          </x14:cfRule>
          <x14:cfRule type="dataBar" id="{42DFCED1-C07A-4E7F-BF15-E0C58754BB3E}">
            <x14:dataBar minLength="0" maxLength="100" gradient="0">
              <x14:cfvo type="autoMin"/>
              <x14:cfvo type="autoMax"/>
              <x14:negativeFillColor rgb="FFFF0000"/>
              <x14:axisColor rgb="FF000000"/>
            </x14:dataBar>
          </x14:cfRule>
          <x14:cfRule type="dataBar" id="{69CB8F51-3362-47CD-8FEA-685999E236C8}">
            <x14:dataBar minLength="0" maxLength="100" gradient="0">
              <x14:cfvo type="autoMin"/>
              <x14:cfvo type="autoMax"/>
              <x14:negativeFillColor rgb="FFFF0000"/>
              <x14:axisColor rgb="FF000000"/>
            </x14:dataBar>
          </x14:cfRule>
          <x14:cfRule type="dataBar" id="{58DC721E-4B15-4CE8-A0B6-AA5AB697CBBB}">
            <x14:dataBar minLength="0" maxLength="100" border="1" negativeBarBorderColorSameAsPositive="0">
              <x14:cfvo type="autoMin"/>
              <x14:cfvo type="autoMax"/>
              <x14:borderColor rgb="FF63C384"/>
              <x14:negativeFillColor rgb="FFFF0000"/>
              <x14:negativeBorderColor rgb="FFFF0000"/>
              <x14:axisColor rgb="FF000000"/>
            </x14:dataBar>
          </x14:cfRule>
          <xm:sqref>P34</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sheetPr>
  <dimension ref="A1:N74"/>
  <sheetViews>
    <sheetView showGridLines="0" tabSelected="1" topLeftCell="A33" zoomScale="85" zoomScaleNormal="85" workbookViewId="0">
      <selection activeCell="B50" sqref="B50"/>
    </sheetView>
  </sheetViews>
  <sheetFormatPr defaultColWidth="11.42578125" defaultRowHeight="12.75"/>
  <cols>
    <col min="1" max="1" width="0.42578125" customWidth="1"/>
    <col min="2" max="2" width="31.7109375" bestFit="1" customWidth="1"/>
    <col min="3" max="4" width="32.140625" customWidth="1"/>
    <col min="5" max="5" width="33.42578125" customWidth="1"/>
    <col min="6" max="6" width="33.85546875" customWidth="1"/>
    <col min="7" max="7" width="32.140625" customWidth="1"/>
    <col min="8" max="8" width="33.140625" customWidth="1"/>
    <col min="9" max="9" width="15.42578125" customWidth="1"/>
    <col min="10" max="10" width="10.7109375" customWidth="1"/>
  </cols>
  <sheetData>
    <row r="1" spans="2:14" ht="15">
      <c r="B1" s="179" t="s">
        <v>220</v>
      </c>
      <c r="C1" s="180" t="s">
        <v>221</v>
      </c>
      <c r="D1" s="1019" t="s">
        <v>185</v>
      </c>
      <c r="E1" s="1019"/>
      <c r="F1" s="1019"/>
      <c r="G1" s="1019"/>
      <c r="H1" s="1019"/>
    </row>
    <row r="2" spans="2:14" ht="81.75" customHeight="1">
      <c r="B2" s="181"/>
      <c r="C2" s="313" t="e" vm="2">
        <v>#VALUE!</v>
      </c>
      <c r="D2" s="1020" t="s">
        <v>222</v>
      </c>
      <c r="E2" s="1021"/>
      <c r="F2" s="1021"/>
      <c r="G2" s="1021"/>
      <c r="H2" s="1022"/>
    </row>
    <row r="3" spans="2:14" ht="81.75" customHeight="1">
      <c r="B3" s="181"/>
      <c r="C3" s="314" t="e" vm="3">
        <v>#VALUE!</v>
      </c>
      <c r="D3" s="1016" t="s">
        <v>223</v>
      </c>
      <c r="E3" s="1017"/>
      <c r="F3" s="1017"/>
      <c r="G3" s="1017"/>
      <c r="H3" s="1018"/>
    </row>
    <row r="4" spans="2:14" ht="81.75" customHeight="1">
      <c r="B4" s="181"/>
      <c r="C4" s="315" t="e" vm="4">
        <v>#VALUE!</v>
      </c>
      <c r="D4" s="1016" t="s">
        <v>224</v>
      </c>
      <c r="E4" s="1017"/>
      <c r="F4" s="1017"/>
      <c r="G4" s="1017"/>
      <c r="H4" s="1018"/>
    </row>
    <row r="5" spans="2:14" ht="81.75" customHeight="1">
      <c r="B5" s="181"/>
      <c r="C5" s="316" t="e" vm="5">
        <v>#VALUE!</v>
      </c>
      <c r="D5" s="1016" t="s">
        <v>225</v>
      </c>
      <c r="E5" s="1017"/>
      <c r="F5" s="1017"/>
      <c r="G5" s="1017"/>
      <c r="H5" s="1018"/>
    </row>
    <row r="6" spans="2:14" ht="81.75" customHeight="1">
      <c r="B6" s="181"/>
      <c r="C6" s="317" t="e" vm="6">
        <v>#VALUE!</v>
      </c>
      <c r="D6" s="1016" t="s">
        <v>226</v>
      </c>
      <c r="E6" s="1017"/>
      <c r="F6" s="1017"/>
      <c r="G6" s="1017"/>
      <c r="H6" s="1018"/>
      <c r="L6" s="2"/>
    </row>
    <row r="7" spans="2:14" ht="13.5" thickBot="1">
      <c r="B7" s="10"/>
    </row>
    <row r="8" spans="2:14" ht="58.15" customHeight="1" thickBot="1">
      <c r="B8" s="178" t="s">
        <v>227</v>
      </c>
      <c r="C8" s="308" t="e" vm="1">
        <f>OP!E2</f>
        <v>#VALUE!</v>
      </c>
      <c r="D8" s="309" t="e" vm="2">
        <f>C2</f>
        <v>#VALUE!</v>
      </c>
      <c r="E8" s="310" t="e" vm="3">
        <f>C3</f>
        <v>#VALUE!</v>
      </c>
      <c r="F8" s="311" t="e" vm="4">
        <f>C4</f>
        <v>#VALUE!</v>
      </c>
      <c r="G8" s="538" t="e" vm="5">
        <f>C5</f>
        <v>#VALUE!</v>
      </c>
      <c r="H8" s="312" t="e" vm="6">
        <f>C6</f>
        <v>#VALUE!</v>
      </c>
      <c r="I8" s="174" t="s">
        <v>228</v>
      </c>
      <c r="J8" s="504" t="s">
        <v>229</v>
      </c>
    </row>
    <row r="9" spans="2:14" ht="16.5" customHeight="1" thickBot="1">
      <c r="B9" s="172" t="s">
        <v>230</v>
      </c>
      <c r="C9" s="157"/>
      <c r="D9" s="158"/>
      <c r="E9" s="158"/>
      <c r="F9" s="158"/>
      <c r="G9" s="158"/>
      <c r="H9" s="159"/>
      <c r="I9" s="160" t="str">
        <f>IFERROR(AVERAGE(C9:H9),"")</f>
        <v/>
      </c>
      <c r="J9" s="479"/>
      <c r="L9" s="1026" t="s">
        <v>231</v>
      </c>
      <c r="M9" s="1027"/>
      <c r="N9" s="1028"/>
    </row>
    <row r="10" spans="2:14" ht="13.5" customHeight="1" thickBot="1">
      <c r="B10" s="171" t="s">
        <v>232</v>
      </c>
      <c r="C10" s="155">
        <f t="array" aca="1" ref="C10" ca="1">_FV(C8,"Market cap",TRUE)</f>
        <v>195726400000</v>
      </c>
      <c r="D10" s="155">
        <f t="array" aca="1" ref="D10" ca="1">_FV(D8,"Market cap",TRUE)</f>
        <v>1241002000000</v>
      </c>
      <c r="E10" s="155">
        <f t="array" aca="1" ref="E10" ca="1">_FV(E8,"Market cap",TRUE)/1000000</f>
        <v>168280.7</v>
      </c>
      <c r="F10" s="155">
        <f t="array" aca="1" ref="F10" ca="1">_FV(F8,"Market cap",TRUE)/1000000</f>
        <v>17232.98</v>
      </c>
      <c r="G10" s="155" cm="1">
        <f t="array" aca="1" ref="G10" ca="1">_FV(G8,"Market cap",TRUE)/1000000</f>
        <v>37301.699999999997</v>
      </c>
      <c r="H10" s="155">
        <f t="array" aca="1" ref="H10" ca="1">_FV(H8,"Market cap",TRUE)/1000000</f>
        <v>18743.73</v>
      </c>
      <c r="I10" s="437">
        <f ca="1">IFERROR(AVERAGE(C10:H10),"")</f>
        <v>239454773593.18497</v>
      </c>
      <c r="J10" s="480">
        <f ca="1">SQRT((C10-I10)^2)</f>
        <v>43728373593.184967</v>
      </c>
      <c r="L10" s="1029"/>
      <c r="M10" s="1024" t="s">
        <v>233</v>
      </c>
      <c r="N10" s="1025"/>
    </row>
    <row r="11" spans="2:14" ht="13.5" thickBot="1">
      <c r="B11" s="405" t="s">
        <v>234</v>
      </c>
      <c r="C11" s="406">
        <f>C56</f>
        <v>173212.07675797</v>
      </c>
      <c r="D11" s="406">
        <f t="shared" ref="D11:H11" si="0">D56</f>
        <v>602315.35400000005</v>
      </c>
      <c r="E11" s="406">
        <f t="shared" si="0"/>
        <v>179203.6</v>
      </c>
      <c r="F11" s="406">
        <f t="shared" si="0"/>
        <v>197949.2</v>
      </c>
      <c r="G11" s="406">
        <f t="shared" si="0"/>
        <v>15084</v>
      </c>
      <c r="H11" s="406">
        <f t="shared" si="0"/>
        <v>5388</v>
      </c>
      <c r="I11" s="438">
        <f t="shared" ref="I11:I40" si="1">IFERROR(AVERAGE(C11:H11),"")</f>
        <v>195525.37179299502</v>
      </c>
      <c r="J11" s="481">
        <f t="shared" ref="J11:J50" si="2">SQRT((C11-I11)^2)</f>
        <v>22313.295035025018</v>
      </c>
      <c r="L11" s="1029"/>
      <c r="M11" s="1024"/>
      <c r="N11" s="1025"/>
    </row>
    <row r="12" spans="2:14" ht="16.5" customHeight="1" thickBot="1">
      <c r="B12" s="172" t="s">
        <v>235</v>
      </c>
      <c r="C12" s="177"/>
      <c r="D12" s="177"/>
      <c r="E12" s="177"/>
      <c r="F12" s="177"/>
      <c r="G12" s="177"/>
      <c r="H12" s="177"/>
      <c r="I12" s="439" t="str">
        <f t="shared" si="1"/>
        <v/>
      </c>
      <c r="J12" s="482"/>
      <c r="L12" s="1023"/>
      <c r="M12" s="1024" t="s">
        <v>236</v>
      </c>
      <c r="N12" s="1025"/>
    </row>
    <row r="13" spans="2:14" ht="13.5" thickBot="1">
      <c r="B13" s="171" t="s">
        <v>237</v>
      </c>
      <c r="C13" s="416">
        <f>C56/C55-1</f>
        <v>0.26119189922125452</v>
      </c>
      <c r="D13" s="416">
        <f t="shared" ref="D13:G13" si="3">D56/D55-1</f>
        <v>0.42035195980876661</v>
      </c>
      <c r="E13" s="416">
        <f t="shared" si="3"/>
        <v>0.21112482309957925</v>
      </c>
      <c r="F13" s="416">
        <f t="shared" si="3"/>
        <v>3.9307454586884782E-2</v>
      </c>
      <c r="G13" s="416">
        <f t="shared" si="3"/>
        <v>7.8044596912521413E-2</v>
      </c>
      <c r="H13" s="416">
        <f>H56/H55-1</f>
        <v>0.24376731301939047</v>
      </c>
      <c r="I13" s="440">
        <f t="shared" si="1"/>
        <v>0.20896467444139952</v>
      </c>
      <c r="J13" s="483">
        <f t="shared" si="2"/>
        <v>5.2227224779855003E-2</v>
      </c>
      <c r="L13" s="1023"/>
      <c r="M13" s="1024"/>
      <c r="N13" s="1025"/>
    </row>
    <row r="14" spans="2:14" ht="13.5" thickBot="1">
      <c r="B14" s="407" t="s">
        <v>238</v>
      </c>
      <c r="C14" s="408" t="s">
        <v>239</v>
      </c>
      <c r="D14" s="408">
        <f t="shared" ref="D14:G14" si="4">D56/D54-1</f>
        <v>1.7866599423958456</v>
      </c>
      <c r="E14" s="408">
        <f t="shared" si="4"/>
        <v>0.94545665746429175</v>
      </c>
      <c r="F14" s="408">
        <f t="shared" si="4"/>
        <v>0.11852768501409816</v>
      </c>
      <c r="G14" s="408">
        <f t="shared" si="4"/>
        <v>0.12273911425381456</v>
      </c>
      <c r="H14" s="408">
        <f>H56/H54-1</f>
        <v>0.3836671802773497</v>
      </c>
      <c r="I14" s="441">
        <f t="shared" si="1"/>
        <v>0.67141011588107991</v>
      </c>
      <c r="J14" s="484" t="e">
        <f t="shared" si="2"/>
        <v>#VALUE!</v>
      </c>
      <c r="L14" s="1030"/>
      <c r="M14" s="1024" t="s">
        <v>240</v>
      </c>
      <c r="N14" s="1025"/>
    </row>
    <row r="15" spans="2:14" ht="13.5" thickBot="1">
      <c r="B15" s="417" t="s">
        <v>113</v>
      </c>
      <c r="C15" s="418">
        <f>C59/C56</f>
        <v>3.6453000958026269E-2</v>
      </c>
      <c r="D15" s="418">
        <f t="shared" ref="D15:H15" si="5">D59/D56</f>
        <v>6.3261038834484029E-2</v>
      </c>
      <c r="E15" s="418">
        <f t="shared" si="5"/>
        <v>2.270043682158171E-2</v>
      </c>
      <c r="F15" s="418" t="e">
        <f>#REF!/F56</f>
        <v>#REF!</v>
      </c>
      <c r="G15" s="418">
        <f t="shared" si="5"/>
        <v>-8.2206311323256426E-2</v>
      </c>
      <c r="H15" s="418">
        <f t="shared" si="5"/>
        <v>-0.18856718634001485</v>
      </c>
      <c r="I15" s="441" t="str">
        <f>IFERROR(AVERAGE(C15:H15),"")</f>
        <v/>
      </c>
      <c r="J15" s="485" t="e">
        <f t="shared" si="2"/>
        <v>#VALUE!</v>
      </c>
      <c r="L15" s="1031"/>
      <c r="M15" s="1032"/>
      <c r="N15" s="1033"/>
    </row>
    <row r="16" spans="2:14" ht="13.5" thickBot="1">
      <c r="B16" s="407" t="s">
        <v>241</v>
      </c>
      <c r="C16" s="408">
        <f>C62/C56</f>
        <v>4.0537589130181219E-2</v>
      </c>
      <c r="D16" s="408">
        <f t="shared" ref="D16:H16" si="6">D62/D56</f>
        <v>4.9875552400412491E-2</v>
      </c>
      <c r="E16" s="408">
        <f t="shared" si="6"/>
        <v>2.8827545875194472E-2</v>
      </c>
      <c r="F16" s="408">
        <f t="shared" si="6"/>
        <v>1.0682538752366768E-2</v>
      </c>
      <c r="G16" s="408">
        <f t="shared" si="6"/>
        <v>-4.6075311588438077E-2</v>
      </c>
      <c r="H16" s="408">
        <f t="shared" si="6"/>
        <v>-0.15367483296213807</v>
      </c>
      <c r="I16" s="441">
        <f t="shared" si="1"/>
        <v>-1.1637819732070204E-2</v>
      </c>
      <c r="J16" s="484">
        <f t="shared" si="2"/>
        <v>5.2175408862251423E-2</v>
      </c>
    </row>
    <row r="17" spans="1:10" ht="13.5" thickBot="1">
      <c r="B17" s="417" t="s">
        <v>242</v>
      </c>
      <c r="C17" s="418">
        <f>C62/C74</f>
        <v>0.10250421164194184</v>
      </c>
      <c r="D17" s="418">
        <f t="shared" ref="D17:H17" si="7">D62/D74</f>
        <v>0.21641666258134812</v>
      </c>
      <c r="E17" s="418">
        <f t="shared" si="7"/>
        <v>6.0668338197213199E-2</v>
      </c>
      <c r="F17" s="418">
        <f t="shared" si="7"/>
        <v>2.6637743816103072E-2</v>
      </c>
      <c r="G17" s="418">
        <f t="shared" si="7"/>
        <v>-3.0916370106761567E-2</v>
      </c>
      <c r="H17" s="418">
        <f t="shared" si="7"/>
        <v>-0.18141980718667836</v>
      </c>
      <c r="I17" s="441">
        <f t="shared" si="1"/>
        <v>3.2315129823861047E-2</v>
      </c>
      <c r="J17" s="485">
        <f t="shared" si="2"/>
        <v>7.0189081818080798E-2</v>
      </c>
    </row>
    <row r="18" spans="1:10" ht="13.5" thickBot="1">
      <c r="B18" s="405" t="s">
        <v>243</v>
      </c>
      <c r="C18" s="409">
        <f>(1+C61/(C59+C60))*C59/(C73+C74-C65)</f>
        <v>6.5112377606033028E-2</v>
      </c>
      <c r="D18" s="409">
        <f t="shared" ref="D18:H18" si="8">(1+D61/(D59+D60))*D59/(D73+D74-D65)</f>
        <v>0.4818937378978056</v>
      </c>
      <c r="E18" s="409">
        <f t="shared" si="8"/>
        <v>7.0482444165821806E-2</v>
      </c>
      <c r="F18" s="409" t="e">
        <f>(1+F61/(#REF!+F60))*#REF!/(F73+F74-F65)</f>
        <v>#REF!</v>
      </c>
      <c r="G18" s="409">
        <f t="shared" si="8"/>
        <v>-0.11409225632580437</v>
      </c>
      <c r="H18" s="409">
        <f t="shared" si="8"/>
        <v>-0.34968415632175259</v>
      </c>
      <c r="I18" s="442" t="str">
        <f t="shared" si="1"/>
        <v/>
      </c>
      <c r="J18" s="486" t="e">
        <f t="shared" si="2"/>
        <v>#VALUE!</v>
      </c>
    </row>
    <row r="19" spans="1:10" ht="16.5" thickBot="1">
      <c r="B19" s="172" t="s">
        <v>244</v>
      </c>
      <c r="C19" s="177"/>
      <c r="D19" s="177"/>
      <c r="E19" s="177"/>
      <c r="F19" s="177"/>
      <c r="G19" s="177"/>
      <c r="H19" s="177"/>
      <c r="I19" s="443" t="str">
        <f t="shared" si="1"/>
        <v/>
      </c>
      <c r="J19" s="482"/>
    </row>
    <row r="20" spans="1:10" ht="13.5" thickBot="1">
      <c r="B20" s="171" t="s">
        <v>60</v>
      </c>
      <c r="C20" s="419">
        <f>C73/C70</f>
        <v>0.28780252227974024</v>
      </c>
      <c r="D20" s="419">
        <f t="shared" ref="D20:H20" si="9">D73/D70</f>
        <v>6.8995942551020734E-2</v>
      </c>
      <c r="E20" s="419">
        <f t="shared" si="9"/>
        <v>4.2054500131621507E-2</v>
      </c>
      <c r="F20" s="419">
        <f t="shared" si="9"/>
        <v>7.9680802640063719E-2</v>
      </c>
      <c r="G20" s="419">
        <f t="shared" si="9"/>
        <v>5.8806904648028173E-2</v>
      </c>
      <c r="H20" s="419">
        <f t="shared" si="9"/>
        <v>0.20170767535806097</v>
      </c>
      <c r="I20" s="444">
        <f>IFERROR(AVERAGE(C20:H20),"")</f>
        <v>0.12317472460142255</v>
      </c>
      <c r="J20" s="487">
        <f t="shared" si="2"/>
        <v>0.1646277976783177</v>
      </c>
    </row>
    <row r="21" spans="1:10" ht="13.5" thickBot="1">
      <c r="B21" s="407" t="s">
        <v>245</v>
      </c>
      <c r="C21" s="410">
        <f>(C73-C65)/C58</f>
        <v>1.3255005969274323</v>
      </c>
      <c r="D21" s="411">
        <f t="shared" ref="D21:H21" si="10">(D73-D65)/D58</f>
        <v>-0.87123038697789468</v>
      </c>
      <c r="E21" s="411">
        <f t="shared" si="10"/>
        <v>-3.2459493730333913</v>
      </c>
      <c r="F21" s="411">
        <f>(F73-F65)/F59</f>
        <v>-0.75075478027507547</v>
      </c>
      <c r="G21" s="411">
        <f t="shared" si="10"/>
        <v>23.837362637362638</v>
      </c>
      <c r="H21" s="411">
        <f t="shared" si="10"/>
        <v>2.5672333848531683</v>
      </c>
      <c r="I21" s="444">
        <f t="shared" si="1"/>
        <v>3.8103603464761462</v>
      </c>
      <c r="J21" s="488">
        <f t="shared" si="2"/>
        <v>2.4848597495487139</v>
      </c>
    </row>
    <row r="22" spans="1:10" ht="13.5" thickBot="1">
      <c r="B22" s="420" t="s">
        <v>246</v>
      </c>
      <c r="C22" s="434">
        <f t="shared" ref="C22:H22" si="11">-C58/C60</f>
        <v>-9.2643883700907335</v>
      </c>
      <c r="D22" s="434">
        <f t="shared" si="11"/>
        <v>-98.526405050059253</v>
      </c>
      <c r="E22" s="434" t="e">
        <f t="shared" si="11"/>
        <v>#DIV/0!</v>
      </c>
      <c r="F22" s="434" t="e">
        <f>-F59/F60</f>
        <v>#DIV/0!</v>
      </c>
      <c r="G22" s="434">
        <f t="shared" si="11"/>
        <v>-3.3211678832116789</v>
      </c>
      <c r="H22" s="434">
        <f t="shared" si="11"/>
        <v>-4.1474358974358978</v>
      </c>
      <c r="I22" s="445" t="str">
        <f t="shared" si="1"/>
        <v/>
      </c>
      <c r="J22" s="489" t="e">
        <f t="shared" si="2"/>
        <v>#VALUE!</v>
      </c>
    </row>
    <row r="23" spans="1:10" ht="16.5" thickBot="1">
      <c r="B23" s="172" t="s">
        <v>247</v>
      </c>
      <c r="C23" s="177"/>
      <c r="D23" s="177"/>
      <c r="E23" s="177"/>
      <c r="F23" s="177"/>
      <c r="G23" s="177"/>
      <c r="H23" s="177"/>
      <c r="I23" s="446"/>
      <c r="J23" s="482"/>
    </row>
    <row r="24" spans="1:10" ht="13.5" thickBot="1">
      <c r="B24" s="412" t="s">
        <v>248</v>
      </c>
      <c r="C24" s="413">
        <f>C68/C72</f>
        <v>1.0699119683205049</v>
      </c>
      <c r="D24" s="413">
        <f t="shared" ref="D24:H24" si="12">D68/D72</f>
        <v>0.66595468724657536</v>
      </c>
      <c r="E24" s="413">
        <f t="shared" si="12"/>
        <v>1.1736244873424846</v>
      </c>
      <c r="F24" s="413">
        <f t="shared" si="12"/>
        <v>1.0580392002982206</v>
      </c>
      <c r="G24" s="413">
        <f t="shared" si="12"/>
        <v>1.1762917933130699</v>
      </c>
      <c r="H24" s="413">
        <f t="shared" si="12"/>
        <v>1.3729184925503943</v>
      </c>
      <c r="I24" s="447">
        <f t="shared" si="1"/>
        <v>1.0861234381785416</v>
      </c>
      <c r="J24" s="490">
        <f t="shared" si="2"/>
        <v>1.6211469858036676E-2</v>
      </c>
    </row>
    <row r="25" spans="1:10" ht="13.5" thickBot="1">
      <c r="B25" s="420" t="s">
        <v>249</v>
      </c>
      <c r="C25" s="421">
        <f>(C65+C66)/C72</f>
        <v>0.42024412843945641</v>
      </c>
      <c r="D25" s="421">
        <f t="shared" ref="D25:H25" si="13">(D65+D66)/D72</f>
        <v>0.26643432001201606</v>
      </c>
      <c r="E25" s="421">
        <f t="shared" si="13"/>
        <v>0.73989273309585757</v>
      </c>
      <c r="F25" s="421">
        <f t="shared" si="13"/>
        <v>0.6821283525280073</v>
      </c>
      <c r="G25" s="421">
        <f t="shared" si="13"/>
        <v>0.84655521783181353</v>
      </c>
      <c r="H25" s="421">
        <f t="shared" si="13"/>
        <v>0.98860648553900088</v>
      </c>
      <c r="I25" s="445">
        <f t="shared" si="1"/>
        <v>0.65731020624102532</v>
      </c>
      <c r="J25" s="491">
        <f t="shared" si="2"/>
        <v>0.23706607780156891</v>
      </c>
    </row>
    <row r="26" spans="1:10" ht="16.5" thickBot="1">
      <c r="B26" s="172" t="s">
        <v>250</v>
      </c>
      <c r="C26" s="177"/>
      <c r="D26" s="177"/>
      <c r="E26" s="177"/>
      <c r="F26" s="177"/>
      <c r="G26" s="177"/>
      <c r="H26" s="177"/>
      <c r="I26" s="446" t="str">
        <f t="shared" si="1"/>
        <v/>
      </c>
      <c r="J26" s="482"/>
    </row>
    <row r="27" spans="1:10" ht="13.5" thickBot="1">
      <c r="B27" s="412" t="s">
        <v>251</v>
      </c>
      <c r="C27" s="422">
        <f>C57/C67</f>
        <v>5.2866994929348277</v>
      </c>
      <c r="D27" s="413">
        <f t="shared" ref="D27:H27" si="14">D57/D67</f>
        <v>5.4810238856030553</v>
      </c>
      <c r="E27" s="413">
        <f t="shared" si="14"/>
        <v>9.8422079858904699</v>
      </c>
      <c r="F27" s="413">
        <f t="shared" si="14"/>
        <v>6.6148260807628816</v>
      </c>
      <c r="G27" s="413">
        <f t="shared" si="14"/>
        <v>5.893457117595049</v>
      </c>
      <c r="H27" s="413">
        <f t="shared" si="14"/>
        <v>5.4388571428571426</v>
      </c>
      <c r="I27" s="447">
        <f t="shared" si="1"/>
        <v>6.4261786176072384</v>
      </c>
      <c r="J27" s="490">
        <f t="shared" si="2"/>
        <v>1.1394791246724107</v>
      </c>
    </row>
    <row r="28" spans="1:10" ht="13.5" thickBot="1">
      <c r="B28" s="417" t="s">
        <v>252</v>
      </c>
      <c r="C28" s="421">
        <f>C56/C66</f>
        <v>24.0799750817397</v>
      </c>
      <c r="D28" s="421">
        <f t="shared" ref="D28:H28" si="15">D56/D66</f>
        <v>271.87497500466054</v>
      </c>
      <c r="E28" s="421">
        <f>E56/E66</f>
        <v>4.9926755132573488</v>
      </c>
      <c r="F28" s="421">
        <f t="shared" si="15"/>
        <v>9.4140933756283616</v>
      </c>
      <c r="G28" s="421">
        <f>G56/G66</f>
        <v>4.773417721518987</v>
      </c>
      <c r="H28" s="421">
        <f t="shared" si="15"/>
        <v>8.238532110091743</v>
      </c>
      <c r="I28" s="444">
        <f t="shared" si="1"/>
        <v>53.895611467816103</v>
      </c>
      <c r="J28" s="491">
        <f t="shared" si="2"/>
        <v>29.815636386076402</v>
      </c>
    </row>
    <row r="29" spans="1:10" ht="13.5" thickBot="1">
      <c r="A29" s="10" t="s">
        <v>253</v>
      </c>
      <c r="B29" s="407" t="s">
        <v>254</v>
      </c>
      <c r="C29" s="414">
        <f>C57/C71</f>
        <v>2.3661584410964731</v>
      </c>
      <c r="D29" s="411">
        <f t="shared" ref="D29:H29" si="16">D57/D71</f>
        <v>18.437835799796247</v>
      </c>
      <c r="E29" s="411">
        <f t="shared" si="16"/>
        <v>2.0755414866269213</v>
      </c>
      <c r="F29" s="411">
        <f t="shared" si="16"/>
        <v>2.3973356980923506</v>
      </c>
      <c r="G29" s="411">
        <f t="shared" si="16"/>
        <v>1.4016402060771738</v>
      </c>
      <c r="H29" s="411">
        <f t="shared" si="16"/>
        <v>1.980441115272576</v>
      </c>
      <c r="I29" s="444">
        <f t="shared" si="1"/>
        <v>4.7764921244936245</v>
      </c>
      <c r="J29" s="488">
        <f t="shared" si="2"/>
        <v>2.4103336833971514</v>
      </c>
    </row>
    <row r="30" spans="1:10" ht="13.5" thickBot="1">
      <c r="B30" s="417" t="s">
        <v>255</v>
      </c>
      <c r="C30" s="421">
        <f>C56/C69</f>
        <v>4.2836953139336522</v>
      </c>
      <c r="D30" s="421">
        <f t="shared" ref="D30:H30" si="17">D56/D69</f>
        <v>2.1877796049450944</v>
      </c>
      <c r="E30" s="421">
        <f t="shared" si="17"/>
        <v>2.2694686611923589</v>
      </c>
      <c r="F30" s="421">
        <f t="shared" si="17"/>
        <v>2.2537150299889337</v>
      </c>
      <c r="G30" s="421">
        <f t="shared" si="17"/>
        <v>3.6207393182909264</v>
      </c>
      <c r="H30" s="421">
        <f t="shared" si="17"/>
        <v>2.9866962305986697</v>
      </c>
      <c r="I30" s="444">
        <f t="shared" si="1"/>
        <v>2.9336823598249393</v>
      </c>
      <c r="J30" s="491">
        <f t="shared" si="2"/>
        <v>1.3500129541087129</v>
      </c>
    </row>
    <row r="31" spans="1:10" ht="13.5" thickBot="1">
      <c r="B31" s="405" t="s">
        <v>256</v>
      </c>
      <c r="C31" s="423">
        <f>C56/C70</f>
        <v>0.86059431897289373</v>
      </c>
      <c r="D31" s="423">
        <f t="shared" ref="D31:H31" si="18">D56/D70</f>
        <v>0.88634746404177944</v>
      </c>
      <c r="E31" s="423">
        <f t="shared" si="18"/>
        <v>0.93045555580362582</v>
      </c>
      <c r="F31" s="423">
        <f t="shared" si="18"/>
        <v>1.173218620794295</v>
      </c>
      <c r="G31" s="423">
        <f t="shared" si="18"/>
        <v>0.32792730118700814</v>
      </c>
      <c r="H31" s="423">
        <f t="shared" si="18"/>
        <v>0.49467499081894967</v>
      </c>
      <c r="I31" s="444">
        <f t="shared" si="1"/>
        <v>0.7788697086030919</v>
      </c>
      <c r="J31" s="492">
        <f t="shared" si="2"/>
        <v>8.1724610369801831E-2</v>
      </c>
    </row>
    <row r="32" spans="1:10" ht="16.5" thickBot="1">
      <c r="B32" s="173" t="s">
        <v>100</v>
      </c>
      <c r="C32" s="177"/>
      <c r="D32" s="177"/>
      <c r="E32" s="177"/>
      <c r="F32" s="177"/>
      <c r="G32" s="177"/>
      <c r="H32" s="177"/>
      <c r="I32" s="448" t="str">
        <f t="shared" si="1"/>
        <v/>
      </c>
      <c r="J32" s="482"/>
    </row>
    <row r="33" spans="2:11" ht="13.5" thickBot="1">
      <c r="B33" s="171" t="s">
        <v>257</v>
      </c>
      <c r="C33" s="432">
        <f ca="1">C10/C62</f>
        <v>27874900.307622194</v>
      </c>
      <c r="D33" s="433">
        <f t="shared" ref="D33:H33" ca="1" si="19">D10/D62</f>
        <v>41310535.857370824</v>
      </c>
      <c r="E33" s="433">
        <f t="shared" ca="1" si="19"/>
        <v>32.574661246612472</v>
      </c>
      <c r="F33" s="433">
        <f t="shared" ca="1" si="19"/>
        <v>8.1495223682966049</v>
      </c>
      <c r="G33" s="433">
        <f t="shared" ca="1" si="19"/>
        <v>-53.671510791366906</v>
      </c>
      <c r="H33" s="433">
        <f t="shared" ca="1" si="19"/>
        <v>-22.637355072463766</v>
      </c>
      <c r="I33" s="447">
        <f t="shared" ca="1" si="1"/>
        <v>11530900.09671846</v>
      </c>
      <c r="J33" s="493">
        <f t="shared" ca="1" si="2"/>
        <v>16344000.210903734</v>
      </c>
    </row>
    <row r="34" spans="2:11" ht="13.5" thickBot="1">
      <c r="B34" s="407" t="s">
        <v>253</v>
      </c>
      <c r="C34" s="415">
        <f ca="1">C10/C56</f>
        <v>1129981.2557151506</v>
      </c>
      <c r="D34" s="415">
        <f t="shared" ref="D34:H34" ca="1" si="20">D10/D56</f>
        <v>2060385.7958434178</v>
      </c>
      <c r="E34" s="415">
        <f t="shared" ca="1" si="20"/>
        <v>0.9390475414556404</v>
      </c>
      <c r="F34" s="415">
        <f t="shared" ca="1" si="20"/>
        <v>8.705758851260828E-2</v>
      </c>
      <c r="G34" s="415">
        <f t="shared" ca="1" si="20"/>
        <v>2.4729315831344469</v>
      </c>
      <c r="H34" s="415">
        <f t="shared" ca="1" si="20"/>
        <v>3.4787917594654787</v>
      </c>
      <c r="I34" s="444">
        <f t="shared" ca="1" si="1"/>
        <v>531729.00489784009</v>
      </c>
      <c r="J34" s="494">
        <f t="shared" ca="1" si="2"/>
        <v>598252.25081731053</v>
      </c>
    </row>
    <row r="35" spans="2:11" ht="13.5" thickBot="1">
      <c r="B35" s="417" t="s">
        <v>258</v>
      </c>
      <c r="C35" s="435">
        <f ca="1">C10/C74</f>
        <v>2857294.6806305349</v>
      </c>
      <c r="D35" s="435">
        <f t="shared" ref="D35:H35" ca="1" si="21">D10/D74</f>
        <v>8940288.2996993046</v>
      </c>
      <c r="E35" s="435">
        <f t="shared" ca="1" si="21"/>
        <v>1.9762505651691398</v>
      </c>
      <c r="F35" s="435">
        <f t="shared" ca="1" si="21"/>
        <v>0.21708488907028653</v>
      </c>
      <c r="G35" s="435">
        <f t="shared" ca="1" si="21"/>
        <v>1.6593282918149466</v>
      </c>
      <c r="H35" s="435">
        <f t="shared" ca="1" si="21"/>
        <v>4.1068645924627516</v>
      </c>
      <c r="I35" s="444">
        <f t="shared" ca="1" si="1"/>
        <v>1966265.1566430293</v>
      </c>
      <c r="J35" s="495">
        <f t="shared" ca="1" si="2"/>
        <v>891029.52398750558</v>
      </c>
    </row>
    <row r="36" spans="2:11" ht="13.5" thickBot="1">
      <c r="B36" s="407" t="s">
        <v>259</v>
      </c>
      <c r="C36" s="415">
        <f ca="1">(C73+C10-C65)/C56</f>
        <v>1129981.3627602272</v>
      </c>
      <c r="D36" s="415">
        <f t="shared" ref="D36:G36" ca="1" si="22">(D73+D10-D65)/D56</f>
        <v>2060385.6766850308</v>
      </c>
      <c r="E36" s="415">
        <f t="shared" ca="1" si="22"/>
        <v>0.78477385498952035</v>
      </c>
      <c r="F36" s="415">
        <f t="shared" ca="1" si="22"/>
        <v>-2.259266518884649E-3</v>
      </c>
      <c r="G36" s="415">
        <f t="shared" ca="1" si="22"/>
        <v>1.753891540705383</v>
      </c>
      <c r="H36" s="415">
        <f ca="1">(H73+H10-H65)/H56</f>
        <v>3.1705141054194503</v>
      </c>
      <c r="I36" s="444">
        <f t="shared" ca="1" si="1"/>
        <v>531728.79106091533</v>
      </c>
      <c r="J36" s="494">
        <f t="shared" ca="1" si="2"/>
        <v>598252.57169931184</v>
      </c>
    </row>
    <row r="37" spans="2:11" ht="13.5" thickBot="1">
      <c r="B37" s="420" t="s">
        <v>260</v>
      </c>
      <c r="C37" s="431">
        <f ca="1">(C73+C10-C65)/C58</f>
        <v>13992151.908487808</v>
      </c>
      <c r="D37" s="431">
        <f t="shared" ref="D37:H37" ca="1" si="23">(D73+D10-D65)/D58</f>
        <v>15064576.290562693</v>
      </c>
      <c r="E37" s="431">
        <f t="shared" ca="1" si="23"/>
        <v>16.511799652467946</v>
      </c>
      <c r="F37" s="431">
        <f ca="1">(F73+F10-F65)/F59</f>
        <v>-1.8990314183924398E-2</v>
      </c>
      <c r="G37" s="431">
        <f t="shared" ca="1" si="23"/>
        <v>-58.144395604395598</v>
      </c>
      <c r="H37" s="431">
        <f t="shared" ca="1" si="23"/>
        <v>-26.402982998454405</v>
      </c>
      <c r="I37" s="445">
        <f t="shared" ca="1" si="1"/>
        <v>4842776.6907468727</v>
      </c>
      <c r="J37" s="496">
        <f t="shared" ca="1" si="2"/>
        <v>9149375.2177409343</v>
      </c>
    </row>
    <row r="38" spans="2:11" ht="16.5" thickBot="1">
      <c r="B38" s="173" t="s">
        <v>261</v>
      </c>
      <c r="C38" s="177"/>
      <c r="D38" s="177"/>
      <c r="E38" s="177"/>
      <c r="F38" s="177"/>
      <c r="G38" s="177"/>
      <c r="H38" s="177"/>
      <c r="I38" s="449" t="str">
        <f t="shared" si="1"/>
        <v/>
      </c>
      <c r="J38" s="482"/>
    </row>
    <row r="39" spans="2:11" ht="13.5" thickBot="1">
      <c r="B39" s="171" t="s">
        <v>38</v>
      </c>
      <c r="C39" s="436">
        <f>OP!M15</f>
        <v>0.98361221321373127</v>
      </c>
      <c r="D39" s="436"/>
      <c r="E39" s="436"/>
      <c r="F39" s="436"/>
      <c r="G39" s="436"/>
      <c r="H39" s="436"/>
      <c r="I39" s="440">
        <f t="shared" si="1"/>
        <v>0.98361221321373127</v>
      </c>
      <c r="J39" s="497">
        <f t="shared" si="2"/>
        <v>0</v>
      </c>
    </row>
    <row r="40" spans="2:11" ht="13.5" thickBot="1">
      <c r="B40" s="424" t="s">
        <v>262</v>
      </c>
      <c r="C40" s="425">
        <f ca="1">OP!M17</f>
        <v>1.847</v>
      </c>
      <c r="D40" s="425"/>
      <c r="E40" s="425"/>
      <c r="F40" s="425"/>
      <c r="G40" s="425"/>
      <c r="H40" s="425"/>
      <c r="I40" s="450">
        <f t="shared" ca="1" si="1"/>
        <v>1.847</v>
      </c>
      <c r="J40" s="498">
        <f t="shared" ca="1" si="2"/>
        <v>0</v>
      </c>
    </row>
    <row r="41" spans="2:11" ht="13.5" thickBot="1">
      <c r="B41" s="420" t="s">
        <v>263</v>
      </c>
      <c r="C41" s="429">
        <f ca="1">OP!M27</f>
        <v>5.6508318600061924E-3</v>
      </c>
      <c r="D41" s="430"/>
      <c r="E41" s="430"/>
      <c r="F41" s="430"/>
      <c r="G41" s="430"/>
      <c r="H41" s="430"/>
      <c r="I41" s="441">
        <f ca="1">IFERROR(AVERAGE(C41:H41),"")</f>
        <v>5.6508318600061924E-3</v>
      </c>
      <c r="J41" s="499">
        <f t="shared" ca="1" si="2"/>
        <v>0</v>
      </c>
    </row>
    <row r="42" spans="2:11" ht="16.5" thickBot="1">
      <c r="B42" s="173" t="s">
        <v>264</v>
      </c>
      <c r="C42" s="177"/>
      <c r="D42" s="177"/>
      <c r="E42" s="177"/>
      <c r="F42" s="177"/>
      <c r="G42" s="177"/>
      <c r="H42" s="177"/>
      <c r="I42" s="451"/>
      <c r="J42" s="482"/>
    </row>
    <row r="43" spans="2:11" ht="13.5" thickBot="1">
      <c r="B43" s="175" t="s">
        <v>265</v>
      </c>
      <c r="C43" s="542"/>
      <c r="D43" s="542"/>
      <c r="E43" s="542"/>
      <c r="F43" s="542"/>
      <c r="G43" s="542"/>
      <c r="H43" s="542"/>
      <c r="I43" s="440" t="str">
        <f>IFERROR(AVERAGE(C43:H43),"")</f>
        <v/>
      </c>
      <c r="J43" s="473" t="e">
        <f t="shared" si="2"/>
        <v>#VALUE!</v>
      </c>
    </row>
    <row r="44" spans="2:11" ht="13.5" thickBot="1">
      <c r="B44" s="407" t="s">
        <v>266</v>
      </c>
      <c r="C44" s="543"/>
      <c r="D44" s="543"/>
      <c r="E44" s="543"/>
      <c r="F44" s="543"/>
      <c r="G44" s="543"/>
      <c r="H44" s="543"/>
      <c r="I44" s="440" t="str">
        <f t="shared" ref="I44:I47" si="24">IFERROR(AVERAGE(C44:H44),"")</f>
        <v/>
      </c>
      <c r="J44" s="500" t="e">
        <f t="shared" si="2"/>
        <v>#VALUE!</v>
      </c>
    </row>
    <row r="45" spans="2:11" ht="13.5" thickBot="1">
      <c r="B45" s="176" t="s">
        <v>267</v>
      </c>
      <c r="C45" s="574">
        <f t="array" aca="1" ref="C45" ca="1">_FV(C8,"Price")</f>
        <v>13.26</v>
      </c>
      <c r="D45" s="574">
        <f t="array" aca="1" ref="D45" ca="1">_FV(D8,"Price")</f>
        <v>46.99</v>
      </c>
      <c r="E45" s="574">
        <f t="array" aca="1" ref="E45" ca="1">_FV(E8,"Price")</f>
        <v>16.7</v>
      </c>
      <c r="F45" s="574">
        <f t="array" aca="1" ref="F45" ca="1">_FV(F8,"Price")</f>
        <v>2.15</v>
      </c>
      <c r="G45" s="574">
        <f t="array" aca="1" ref="G45" ca="1">_FV(G8,"Price")</f>
        <v>4.5199999999999996</v>
      </c>
      <c r="H45" s="574">
        <f t="array" aca="1" ref="H45" ca="1">_FV(H8,"Price")</f>
        <v>19.7</v>
      </c>
      <c r="I45" s="440">
        <f t="shared" ca="1" si="24"/>
        <v>17.220000000000002</v>
      </c>
      <c r="J45" s="501">
        <f t="shared" ca="1" si="2"/>
        <v>3.9600000000000026</v>
      </c>
    </row>
    <row r="46" spans="2:11" ht="13.5" thickBot="1">
      <c r="B46" s="407" t="s">
        <v>268</v>
      </c>
      <c r="C46" s="426"/>
      <c r="D46" s="426"/>
      <c r="E46" s="426"/>
      <c r="F46" s="426"/>
      <c r="G46" s="426"/>
      <c r="H46" s="426"/>
      <c r="I46" s="440" t="str">
        <f t="shared" si="24"/>
        <v/>
      </c>
      <c r="J46" s="502" t="e">
        <f t="shared" si="2"/>
        <v>#VALUE!</v>
      </c>
    </row>
    <row r="47" spans="2:11" ht="13.5" thickBot="1">
      <c r="B47" s="427" t="s">
        <v>269</v>
      </c>
      <c r="C47" s="428">
        <f ca="1">C46/C45-1</f>
        <v>-1</v>
      </c>
      <c r="D47" s="428">
        <f t="shared" ref="D47:H47" ca="1" si="25">D46/D45-1</f>
        <v>-1</v>
      </c>
      <c r="E47" s="428">
        <f t="shared" ca="1" si="25"/>
        <v>-1</v>
      </c>
      <c r="F47" s="428">
        <f t="shared" ca="1" si="25"/>
        <v>-1</v>
      </c>
      <c r="G47" s="428">
        <f t="shared" ca="1" si="25"/>
        <v>-1</v>
      </c>
      <c r="H47" s="428">
        <f t="shared" ca="1" si="25"/>
        <v>-1</v>
      </c>
      <c r="I47" s="452">
        <f t="shared" ca="1" si="24"/>
        <v>-1</v>
      </c>
      <c r="J47" s="503">
        <f t="shared" ca="1" si="2"/>
        <v>0</v>
      </c>
    </row>
    <row r="48" spans="2:11" ht="16.5" thickBot="1">
      <c r="B48" s="173" t="s">
        <v>270</v>
      </c>
      <c r="C48" s="173"/>
      <c r="D48" s="173"/>
      <c r="E48" s="173"/>
      <c r="F48" s="173"/>
      <c r="G48" s="173"/>
      <c r="H48" s="173"/>
      <c r="I48" s="173" t="str">
        <f>IFERROR(AVERAGE(C48:H48),"")</f>
        <v/>
      </c>
      <c r="J48" s="472"/>
      <c r="K48" s="477"/>
    </row>
    <row r="49" spans="2:11" ht="13.5" thickBot="1">
      <c r="B49" s="175" t="s">
        <v>271</v>
      </c>
      <c r="C49" s="505">
        <f>(Inputs!B59-Inputs!E59)/Inputs!E59</f>
        <v>1.8604705126374412</v>
      </c>
      <c r="D49" s="360"/>
      <c r="E49" s="360"/>
      <c r="F49" s="360"/>
      <c r="G49" s="360"/>
      <c r="H49" s="360"/>
      <c r="I49" s="452">
        <f>IFERROR(AVERAGE(C49:H49),"")</f>
        <v>1.8604705126374412</v>
      </c>
      <c r="J49" s="473">
        <f t="shared" si="2"/>
        <v>0</v>
      </c>
      <c r="K49" s="360"/>
    </row>
    <row r="50" spans="2:11" ht="13.5" thickBot="1">
      <c r="B50" s="474" t="s">
        <v>272</v>
      </c>
      <c r="C50" s="475">
        <f t="shared" ref="C50:H50" si="26">C63/C11</f>
        <v>5.0521881405693268E-2</v>
      </c>
      <c r="D50" s="475">
        <f t="shared" si="26"/>
        <v>0</v>
      </c>
      <c r="E50" s="475">
        <f t="shared" si="26"/>
        <v>0</v>
      </c>
      <c r="F50" s="475">
        <f t="shared" si="26"/>
        <v>0</v>
      </c>
      <c r="G50" s="475">
        <f t="shared" si="26"/>
        <v>1.7899761336515514E-3</v>
      </c>
      <c r="H50" s="475">
        <f t="shared" si="26"/>
        <v>0.15237564959168523</v>
      </c>
      <c r="I50" s="452">
        <f>IFERROR(AVERAGE(C50:H50),"")</f>
        <v>3.4114584521838347E-2</v>
      </c>
      <c r="J50" s="476">
        <f t="shared" si="2"/>
        <v>1.6407296883854922E-2</v>
      </c>
      <c r="K50" s="478"/>
    </row>
    <row r="52" spans="2:11" ht="43.15" customHeight="1">
      <c r="B52" s="400" t="s">
        <v>273</v>
      </c>
      <c r="C52" s="399" t="e" vm="1">
        <f>OP!E2</f>
        <v>#VALUE!</v>
      </c>
      <c r="D52" s="309" t="e" vm="2">
        <f>D8</f>
        <v>#VALUE!</v>
      </c>
      <c r="E52" s="310" t="e" vm="3">
        <f>E8</f>
        <v>#VALUE!</v>
      </c>
      <c r="F52" s="311" t="e" vm="4">
        <f>F8</f>
        <v>#VALUE!</v>
      </c>
      <c r="G52" s="538" t="e" vm="5">
        <f>G8</f>
        <v>#VALUE!</v>
      </c>
      <c r="H52" s="539" t="e" vm="6">
        <f>H8</f>
        <v>#VALUE!</v>
      </c>
    </row>
    <row r="53" spans="2:11">
      <c r="B53" s="166" t="s">
        <v>274</v>
      </c>
      <c r="C53" s="167"/>
      <c r="D53" s="167"/>
      <c r="E53" s="167"/>
      <c r="F53" s="167"/>
      <c r="G53" s="722"/>
      <c r="H53" s="723"/>
    </row>
    <row r="54" spans="2:11">
      <c r="B54" s="161" t="s">
        <v>275</v>
      </c>
      <c r="C54" s="182">
        <f>'Fin. Data'!E5</f>
        <v>103307.6</v>
      </c>
      <c r="D54" s="156">
        <v>216142.39499999999</v>
      </c>
      <c r="E54" s="156">
        <v>92113.9</v>
      </c>
      <c r="F54" s="156">
        <v>176973</v>
      </c>
      <c r="G54" s="156">
        <v>13435</v>
      </c>
      <c r="H54" s="164">
        <v>3894</v>
      </c>
    </row>
    <row r="55" spans="2:11">
      <c r="B55" s="161" t="s">
        <v>276</v>
      </c>
      <c r="C55" s="182">
        <f>'Fin. Data'!C5</f>
        <v>137339.98518776</v>
      </c>
      <c r="D55" s="156">
        <v>424060.63500000001</v>
      </c>
      <c r="E55" s="156">
        <v>147964.6</v>
      </c>
      <c r="F55" s="156">
        <v>190462.6</v>
      </c>
      <c r="G55" s="156">
        <v>13992</v>
      </c>
      <c r="H55" s="164">
        <v>4332</v>
      </c>
    </row>
    <row r="56" spans="2:11">
      <c r="B56" s="161" t="s">
        <v>234</v>
      </c>
      <c r="C56" s="182">
        <f>'Fin. Data'!B5</f>
        <v>173212.07675797</v>
      </c>
      <c r="D56" s="156">
        <v>602315.35400000005</v>
      </c>
      <c r="E56" s="156">
        <v>179203.6</v>
      </c>
      <c r="F56" s="156">
        <v>197949.2</v>
      </c>
      <c r="G56" s="156">
        <v>15084</v>
      </c>
      <c r="H56" s="164">
        <v>5388</v>
      </c>
    </row>
    <row r="57" spans="2:11">
      <c r="B57" s="161" t="s">
        <v>277</v>
      </c>
      <c r="C57" s="182">
        <f>'Fin. Data'!B5-'Fin. Data'!B7</f>
        <v>140773.17675797001</v>
      </c>
      <c r="D57" s="156">
        <v>480558.35</v>
      </c>
      <c r="E57" s="156">
        <v>151788.5</v>
      </c>
      <c r="F57" s="156">
        <v>157878.70000000001</v>
      </c>
      <c r="G57" s="156">
        <v>13331</v>
      </c>
      <c r="H57" s="164">
        <v>4759</v>
      </c>
    </row>
    <row r="58" spans="2:11">
      <c r="B58" s="161" t="s">
        <v>45</v>
      </c>
      <c r="C58" s="182">
        <f>'Fin. Data'!B19</f>
        <v>13988.3</v>
      </c>
      <c r="D58" s="156">
        <v>82378.813999999998</v>
      </c>
      <c r="E58" s="156">
        <v>8517.2000000000007</v>
      </c>
      <c r="F58" s="685">
        <v>25218.799999999999</v>
      </c>
      <c r="G58" s="685">
        <v>-455</v>
      </c>
      <c r="H58" s="724">
        <v>-647</v>
      </c>
    </row>
    <row r="59" spans="2:11">
      <c r="B59" s="161" t="s">
        <v>278</v>
      </c>
      <c r="C59" s="398">
        <f>'Fin. Data'!B11</f>
        <v>6314.1</v>
      </c>
      <c r="D59" s="156">
        <v>38103.095000000001</v>
      </c>
      <c r="E59" s="156">
        <v>4068</v>
      </c>
      <c r="F59" s="156">
        <v>23549.9</v>
      </c>
      <c r="G59" s="156">
        <v>-1240</v>
      </c>
      <c r="H59" s="164">
        <v>-1016</v>
      </c>
    </row>
    <row r="60" spans="2:11">
      <c r="B60" s="161" t="s">
        <v>279</v>
      </c>
      <c r="C60" s="398">
        <f>'Fin. Data'!B14</f>
        <v>1509.9</v>
      </c>
      <c r="D60" s="156">
        <v>836.10900000000004</v>
      </c>
      <c r="E60" s="156"/>
      <c r="F60" s="307"/>
      <c r="G60" s="307">
        <v>-137</v>
      </c>
      <c r="H60" s="725">
        <v>-156</v>
      </c>
    </row>
    <row r="61" spans="2:11">
      <c r="B61" s="161" t="s">
        <v>280</v>
      </c>
      <c r="C61" s="398">
        <f>'Fin. Data'!B21</f>
        <v>-801.2</v>
      </c>
      <c r="D61" s="156">
        <v>-5924.567</v>
      </c>
      <c r="E61" s="156">
        <v>-14.9</v>
      </c>
      <c r="F61" s="156">
        <v>-7373.7</v>
      </c>
      <c r="G61" s="156">
        <v>-97</v>
      </c>
      <c r="H61" s="164">
        <v>1</v>
      </c>
    </row>
    <row r="62" spans="2:11">
      <c r="B62" s="161" t="s">
        <v>57</v>
      </c>
      <c r="C62" s="398">
        <f>'Fin. Data'!B23</f>
        <v>7021.6</v>
      </c>
      <c r="D62" s="156">
        <v>30040.811000000002</v>
      </c>
      <c r="E62" s="156">
        <v>5166</v>
      </c>
      <c r="F62" s="156">
        <v>2114.6</v>
      </c>
      <c r="G62" s="156">
        <v>-695</v>
      </c>
      <c r="H62" s="164">
        <v>-828</v>
      </c>
    </row>
    <row r="63" spans="2:11">
      <c r="B63" s="161" t="s">
        <v>281</v>
      </c>
      <c r="C63" s="398">
        <v>8751</v>
      </c>
      <c r="D63" s="156"/>
      <c r="E63" s="156"/>
      <c r="F63" s="156"/>
      <c r="G63" s="156">
        <v>27</v>
      </c>
      <c r="H63" s="164">
        <v>821</v>
      </c>
    </row>
    <row r="64" spans="2:11">
      <c r="B64" s="168" t="s">
        <v>282</v>
      </c>
      <c r="C64" s="169"/>
      <c r="D64" s="169"/>
      <c r="E64" s="169"/>
      <c r="F64" s="169"/>
      <c r="G64" s="169"/>
      <c r="H64" s="170"/>
    </row>
    <row r="65" spans="2:8">
      <c r="B65" s="161" t="s">
        <v>283</v>
      </c>
      <c r="C65" s="182">
        <f>'Fin. Data'!B39</f>
        <v>39384.6</v>
      </c>
      <c r="D65" s="156">
        <v>118656.958</v>
      </c>
      <c r="E65" s="156">
        <v>35746</v>
      </c>
      <c r="F65" s="156">
        <v>31124.2</v>
      </c>
      <c r="G65" s="156">
        <v>13551</v>
      </c>
      <c r="H65" s="164">
        <v>3858</v>
      </c>
    </row>
    <row r="66" spans="2:8">
      <c r="B66" s="161" t="s">
        <v>284</v>
      </c>
      <c r="C66" s="182">
        <f>'Fin. Data'!B40</f>
        <v>7193.2</v>
      </c>
      <c r="D66" s="156">
        <v>2215.413</v>
      </c>
      <c r="E66" s="156">
        <v>35893.300000000003</v>
      </c>
      <c r="F66" s="156">
        <v>21026.9</v>
      </c>
      <c r="G66" s="156">
        <v>3160</v>
      </c>
      <c r="H66" s="164">
        <v>654</v>
      </c>
    </row>
    <row r="67" spans="2:8">
      <c r="B67" s="161" t="s">
        <v>285</v>
      </c>
      <c r="C67" s="182">
        <f>'Fin. Data'!B41</f>
        <v>26627.8</v>
      </c>
      <c r="D67" s="156">
        <v>87676.748000000007</v>
      </c>
      <c r="E67" s="156">
        <v>15422.2</v>
      </c>
      <c r="F67" s="156">
        <v>23867.4</v>
      </c>
      <c r="G67" s="156">
        <v>2262</v>
      </c>
      <c r="H67" s="164">
        <v>875</v>
      </c>
    </row>
    <row r="68" spans="2:8">
      <c r="B68" s="161" t="s">
        <v>286</v>
      </c>
      <c r="C68" s="182">
        <f>Inputs!B27</f>
        <v>118583.8</v>
      </c>
      <c r="D68" s="156">
        <v>302121.446</v>
      </c>
      <c r="E68" s="156">
        <v>113634.9</v>
      </c>
      <c r="F68" s="156">
        <v>80890.8</v>
      </c>
      <c r="G68" s="156">
        <v>23220</v>
      </c>
      <c r="H68" s="164">
        <v>6266</v>
      </c>
    </row>
    <row r="69" spans="2:8">
      <c r="B69" s="161" t="s">
        <v>287</v>
      </c>
      <c r="C69" s="182">
        <f>'Fin. Data'!B42</f>
        <v>40435.199999999997</v>
      </c>
      <c r="D69" s="156">
        <v>275308.97200000001</v>
      </c>
      <c r="E69" s="156">
        <v>78962.8</v>
      </c>
      <c r="F69" s="156">
        <v>87832.4</v>
      </c>
      <c r="G69" s="156">
        <v>4166</v>
      </c>
      <c r="H69" s="164">
        <v>1804</v>
      </c>
    </row>
    <row r="70" spans="2:8">
      <c r="B70" s="161" t="s">
        <v>34</v>
      </c>
      <c r="C70" s="182">
        <f>'Fin. Data'!B44</f>
        <v>201270.3</v>
      </c>
      <c r="D70" s="156">
        <v>679547.67</v>
      </c>
      <c r="E70" s="156">
        <f>E68+E69</f>
        <v>192597.7</v>
      </c>
      <c r="F70" s="156">
        <v>168723.20000000001</v>
      </c>
      <c r="G70" s="156">
        <v>45998</v>
      </c>
      <c r="H70" s="164">
        <v>10892</v>
      </c>
    </row>
    <row r="71" spans="2:8">
      <c r="B71" s="161" t="s">
        <v>288</v>
      </c>
      <c r="C71" s="182">
        <f>Inputs!B43</f>
        <v>59494.400000000001</v>
      </c>
      <c r="D71" s="156">
        <v>26063.706999999999</v>
      </c>
      <c r="E71" s="156">
        <v>73132</v>
      </c>
      <c r="F71" s="156">
        <v>65855.899999999994</v>
      </c>
      <c r="G71" s="156">
        <v>9511</v>
      </c>
      <c r="H71" s="164">
        <v>2403</v>
      </c>
    </row>
    <row r="72" spans="2:8">
      <c r="B72" s="161" t="s">
        <v>289</v>
      </c>
      <c r="C72" s="182">
        <f>Inputs!B42</f>
        <v>110835.1</v>
      </c>
      <c r="D72" s="156">
        <v>453666.67099999997</v>
      </c>
      <c r="E72" s="156">
        <v>96823.9</v>
      </c>
      <c r="F72" s="156">
        <v>76453.5</v>
      </c>
      <c r="G72" s="156">
        <v>19740</v>
      </c>
      <c r="H72" s="164">
        <v>4564</v>
      </c>
    </row>
    <row r="73" spans="2:8">
      <c r="B73" s="161" t="s">
        <v>290</v>
      </c>
      <c r="C73" s="182">
        <f>'Fin. Data'!B58</f>
        <v>57926.1</v>
      </c>
      <c r="D73" s="156">
        <v>46886.031999999999</v>
      </c>
      <c r="E73" s="156">
        <f>7346+753.6</f>
        <v>8099.6</v>
      </c>
      <c r="F73" s="156">
        <f>6600+6844</f>
        <v>13444</v>
      </c>
      <c r="G73" s="156">
        <v>2705</v>
      </c>
      <c r="H73" s="164">
        <v>2197</v>
      </c>
    </row>
    <row r="74" spans="2:8">
      <c r="B74" s="162" t="s">
        <v>291</v>
      </c>
      <c r="C74" s="183">
        <f>'Fin. Data'!B64</f>
        <v>68500.599999999991</v>
      </c>
      <c r="D74" s="163">
        <v>138810.065</v>
      </c>
      <c r="E74" s="163">
        <v>85151.5</v>
      </c>
      <c r="F74" s="163">
        <v>79383.600000000006</v>
      </c>
      <c r="G74" s="163">
        <v>22480</v>
      </c>
      <c r="H74" s="165">
        <v>4564</v>
      </c>
    </row>
  </sheetData>
  <mergeCells count="13">
    <mergeCell ref="L12:L13"/>
    <mergeCell ref="M12:N13"/>
    <mergeCell ref="L9:N9"/>
    <mergeCell ref="L10:L11"/>
    <mergeCell ref="L14:L15"/>
    <mergeCell ref="M14:N15"/>
    <mergeCell ref="M10:N11"/>
    <mergeCell ref="D6:H6"/>
    <mergeCell ref="D4:H4"/>
    <mergeCell ref="D1:H1"/>
    <mergeCell ref="D2:H2"/>
    <mergeCell ref="D3:H3"/>
    <mergeCell ref="D5:H5"/>
  </mergeCells>
  <pageMargins left="0.7" right="0.7" top="0.75" bottom="0.75" header="0.3" footer="0.3"/>
  <pageSetup orientation="portrait" r:id="rId1"/>
  <ignoredErrors>
    <ignoredError sqref="J46" evalError="1"/>
  </ignoredErrors>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0070C0"/>
  </sheetPr>
  <dimension ref="A1:AN87"/>
  <sheetViews>
    <sheetView showGridLines="0" topLeftCell="A41" zoomScale="55" zoomScaleNormal="55" workbookViewId="0">
      <selection activeCell="I51" sqref="I51"/>
    </sheetView>
  </sheetViews>
  <sheetFormatPr defaultColWidth="11.42578125" defaultRowHeight="12.75" outlineLevelCol="1"/>
  <cols>
    <col min="1" max="1" width="24.42578125" bestFit="1" customWidth="1"/>
    <col min="2" max="2" width="11.42578125" customWidth="1" outlineLevel="1"/>
    <col min="3" max="3" width="32.140625" customWidth="1" outlineLevel="1"/>
    <col min="4" max="4" width="20" customWidth="1" outlineLevel="1"/>
    <col min="5" max="5" width="24" customWidth="1"/>
    <col min="6" max="6" width="27.28515625" customWidth="1"/>
    <col min="7" max="7" width="14.140625" style="2" customWidth="1"/>
    <col min="8" max="8" width="12.42578125" style="2" customWidth="1"/>
    <col min="9" max="32" width="11.140625" style="2" customWidth="1"/>
    <col min="33" max="33" width="14.42578125" customWidth="1"/>
  </cols>
  <sheetData>
    <row r="1" spans="1:40" ht="21" customHeight="1">
      <c r="A1" s="1040" t="s">
        <v>292</v>
      </c>
      <c r="B1" s="1040"/>
      <c r="C1" s="1040"/>
      <c r="D1" s="1040"/>
      <c r="E1" s="1040"/>
      <c r="F1" s="1040"/>
      <c r="G1" s="1040"/>
      <c r="H1" s="1040"/>
      <c r="I1" s="1040"/>
      <c r="J1" s="1040"/>
      <c r="K1" s="1040"/>
      <c r="L1" s="1040"/>
      <c r="M1" s="1040"/>
      <c r="N1" s="1040"/>
      <c r="O1" s="1040"/>
      <c r="P1" s="1040"/>
      <c r="Q1" s="1040"/>
      <c r="R1" s="1040"/>
      <c r="S1" s="1040"/>
      <c r="T1" s="1040"/>
      <c r="U1" s="1040"/>
      <c r="V1" s="1040"/>
      <c r="W1" s="1040"/>
      <c r="X1" s="1040"/>
      <c r="Y1" s="1040"/>
      <c r="Z1" s="1040"/>
      <c r="AA1" s="1040"/>
      <c r="AB1" s="1040"/>
      <c r="AC1" s="1040"/>
      <c r="AD1" s="1040"/>
      <c r="AE1" s="1040"/>
      <c r="AF1" s="1040"/>
      <c r="AG1" s="10"/>
      <c r="AH1" s="10"/>
      <c r="AI1" s="10"/>
      <c r="AJ1" s="10"/>
      <c r="AK1" s="10"/>
      <c r="AL1" s="10"/>
      <c r="AM1" s="10"/>
      <c r="AN1" s="10"/>
    </row>
    <row r="2" spans="1:40" ht="3.75" customHeight="1" thickBot="1">
      <c r="A2" s="1041"/>
      <c r="B2" s="1041"/>
      <c r="C2" s="1041"/>
      <c r="D2" s="1041"/>
      <c r="E2" s="1041"/>
      <c r="F2" s="1041"/>
      <c r="G2" s="1041"/>
      <c r="H2" s="1041"/>
      <c r="I2" s="1041"/>
      <c r="J2" s="1041"/>
      <c r="K2" s="1041"/>
      <c r="L2" s="1041"/>
      <c r="M2" s="1041"/>
      <c r="N2" s="1041"/>
      <c r="O2" s="1041"/>
      <c r="P2" s="1041"/>
      <c r="Q2" s="1041"/>
      <c r="R2" s="1041"/>
      <c r="S2" s="1041"/>
      <c r="T2" s="1041"/>
      <c r="U2" s="1041"/>
      <c r="V2" s="1041"/>
      <c r="W2" s="1041"/>
      <c r="X2" s="1041"/>
      <c r="Y2" s="1041"/>
      <c r="Z2" s="1041"/>
      <c r="AA2" s="1041"/>
      <c r="AB2" s="1041"/>
      <c r="AC2" s="1041"/>
      <c r="AD2" s="1041"/>
      <c r="AE2" s="1041"/>
      <c r="AF2" s="1041"/>
      <c r="AG2" s="392"/>
      <c r="AH2" s="10"/>
      <c r="AI2" s="10"/>
      <c r="AJ2" s="10"/>
      <c r="AK2" s="10"/>
      <c r="AL2" s="10"/>
      <c r="AM2" s="10"/>
      <c r="AN2" s="10"/>
    </row>
    <row r="3" spans="1:40" ht="18.75">
      <c r="A3" s="184"/>
      <c r="B3" s="184"/>
      <c r="C3" s="184"/>
      <c r="D3" s="184"/>
      <c r="E3" s="184"/>
      <c r="F3" s="184"/>
      <c r="G3" s="1048" t="s">
        <v>293</v>
      </c>
      <c r="H3" s="1049"/>
      <c r="I3" s="1049"/>
      <c r="J3" s="1049"/>
      <c r="K3" s="1050" t="s">
        <v>294</v>
      </c>
      <c r="L3" s="1051"/>
      <c r="M3" s="1051"/>
      <c r="N3" s="1051"/>
      <c r="O3" s="1051"/>
      <c r="P3" s="1051"/>
      <c r="Q3" s="1051"/>
      <c r="R3" s="1051"/>
      <c r="S3" s="1051"/>
      <c r="T3" s="1051"/>
      <c r="U3" s="1051"/>
      <c r="V3" s="1051"/>
      <c r="W3" s="1051"/>
      <c r="X3" s="1051"/>
      <c r="Y3" s="1051"/>
      <c r="Z3" s="1051"/>
      <c r="AA3" s="1051"/>
      <c r="AB3" s="1051"/>
      <c r="AC3" s="1051"/>
      <c r="AD3" s="1051"/>
      <c r="AE3" s="1051"/>
      <c r="AF3" s="1052"/>
      <c r="AG3" s="392"/>
      <c r="AH3" s="10"/>
      <c r="AI3" s="10"/>
      <c r="AJ3" s="10"/>
      <c r="AK3" s="10"/>
      <c r="AL3" s="10"/>
      <c r="AM3" s="10"/>
      <c r="AN3" s="10"/>
    </row>
    <row r="4" spans="1:40" ht="15">
      <c r="A4" s="206" t="s">
        <v>295</v>
      </c>
      <c r="B4" s="616" t="s">
        <v>296</v>
      </c>
      <c r="C4" s="617" t="s">
        <v>297</v>
      </c>
      <c r="D4" s="213" t="s">
        <v>298</v>
      </c>
      <c r="E4" s="213" t="s">
        <v>299</v>
      </c>
      <c r="F4" s="214" t="s">
        <v>300</v>
      </c>
      <c r="G4" s="665" t="s">
        <v>301</v>
      </c>
      <c r="H4" s="213">
        <v>2025</v>
      </c>
      <c r="I4" s="213">
        <f t="shared" ref="I4:AF4" si="0">H4+1</f>
        <v>2026</v>
      </c>
      <c r="J4" s="214">
        <f t="shared" si="0"/>
        <v>2027</v>
      </c>
      <c r="K4" s="215">
        <f t="shared" si="0"/>
        <v>2028</v>
      </c>
      <c r="L4" s="215">
        <f t="shared" si="0"/>
        <v>2029</v>
      </c>
      <c r="M4" s="215">
        <f t="shared" si="0"/>
        <v>2030</v>
      </c>
      <c r="N4" s="215">
        <f t="shared" si="0"/>
        <v>2031</v>
      </c>
      <c r="O4" s="215">
        <f t="shared" si="0"/>
        <v>2032</v>
      </c>
      <c r="P4" s="215">
        <f t="shared" si="0"/>
        <v>2033</v>
      </c>
      <c r="Q4" s="215">
        <f t="shared" si="0"/>
        <v>2034</v>
      </c>
      <c r="R4" s="215">
        <f t="shared" si="0"/>
        <v>2035</v>
      </c>
      <c r="S4" s="215">
        <f t="shared" si="0"/>
        <v>2036</v>
      </c>
      <c r="T4" s="215">
        <f t="shared" si="0"/>
        <v>2037</v>
      </c>
      <c r="U4" s="215">
        <f t="shared" si="0"/>
        <v>2038</v>
      </c>
      <c r="V4" s="215">
        <f t="shared" si="0"/>
        <v>2039</v>
      </c>
      <c r="W4" s="215">
        <f t="shared" si="0"/>
        <v>2040</v>
      </c>
      <c r="X4" s="215">
        <f t="shared" si="0"/>
        <v>2041</v>
      </c>
      <c r="Y4" s="215">
        <f t="shared" si="0"/>
        <v>2042</v>
      </c>
      <c r="Z4" s="215">
        <f t="shared" si="0"/>
        <v>2043</v>
      </c>
      <c r="AA4" s="215">
        <f t="shared" si="0"/>
        <v>2044</v>
      </c>
      <c r="AB4" s="215">
        <f t="shared" si="0"/>
        <v>2045</v>
      </c>
      <c r="AC4" s="215">
        <f t="shared" si="0"/>
        <v>2046</v>
      </c>
      <c r="AD4" s="215">
        <f t="shared" si="0"/>
        <v>2047</v>
      </c>
      <c r="AE4" s="215">
        <f t="shared" si="0"/>
        <v>2048</v>
      </c>
      <c r="AF4" s="216">
        <f t="shared" si="0"/>
        <v>2049</v>
      </c>
      <c r="AG4" s="392"/>
      <c r="AH4" s="10"/>
      <c r="AI4" s="10"/>
      <c r="AJ4" s="10"/>
      <c r="AK4" s="10"/>
      <c r="AL4" s="10"/>
      <c r="AM4" s="10"/>
      <c r="AN4" s="10"/>
    </row>
    <row r="5" spans="1:40">
      <c r="A5" s="1045" t="s">
        <v>302</v>
      </c>
      <c r="B5" s="600">
        <v>1</v>
      </c>
      <c r="C5" s="618" t="s">
        <v>303</v>
      </c>
      <c r="D5" s="606">
        <f>'Fin. Data'!D6</f>
        <v>0.32037429966430353</v>
      </c>
      <c r="E5" s="220">
        <f t="shared" ref="E5:S5" si="1">+E6/D6-1</f>
        <v>6.8566932646747514E-3</v>
      </c>
      <c r="F5" s="251">
        <f t="shared" si="1"/>
        <v>0.26119189922125452</v>
      </c>
      <c r="G5" s="266">
        <f>+G6/F6-1</f>
        <v>0.17068626966086886</v>
      </c>
      <c r="H5" s="267">
        <f>+H6/G6-1</f>
        <v>3.7869186347563977E-2</v>
      </c>
      <c r="I5" s="267">
        <f>+I6/H6-1</f>
        <v>6.1770631390884567E-2</v>
      </c>
      <c r="J5" s="268">
        <f>Assumptions!$M9</f>
        <v>0.06</v>
      </c>
      <c r="K5" s="268">
        <f>Assumptions!$M9</f>
        <v>0.06</v>
      </c>
      <c r="L5" s="268">
        <f>Assumptions!$M9</f>
        <v>0.06</v>
      </c>
      <c r="M5" s="268">
        <f>Assumptions!$M9</f>
        <v>0.06</v>
      </c>
      <c r="N5" s="267">
        <f t="shared" si="1"/>
        <v>9.000000000000008E-2</v>
      </c>
      <c r="O5" s="267">
        <f t="shared" si="1"/>
        <v>8.0000000000000071E-2</v>
      </c>
      <c r="P5" s="267">
        <f t="shared" si="1"/>
        <v>7.0000000000000062E-2</v>
      </c>
      <c r="Q5" s="267">
        <f t="shared" si="1"/>
        <v>6.0000000000000053E-2</v>
      </c>
      <c r="R5" s="267">
        <f t="shared" si="1"/>
        <v>5.0000000000000044E-2</v>
      </c>
      <c r="S5" s="267">
        <f t="shared" si="1"/>
        <v>4.4999999999999929E-2</v>
      </c>
      <c r="T5" s="267">
        <f>4.2%</f>
        <v>4.2000000000000003E-2</v>
      </c>
      <c r="U5" s="267">
        <f>3.9%</f>
        <v>3.9E-2</v>
      </c>
      <c r="V5" s="267">
        <f>3.5%</f>
        <v>3.5000000000000003E-2</v>
      </c>
      <c r="W5" s="267">
        <f>3.4%</f>
        <v>3.4000000000000002E-2</v>
      </c>
      <c r="X5" s="267">
        <f>3.3%</f>
        <v>3.3000000000000002E-2</v>
      </c>
      <c r="Y5" s="267">
        <f>3.2%</f>
        <v>3.2000000000000001E-2</v>
      </c>
      <c r="Z5" s="267">
        <f>3.1%</f>
        <v>3.1E-2</v>
      </c>
      <c r="AA5" s="267">
        <f>3%</f>
        <v>0.03</v>
      </c>
      <c r="AB5" s="267">
        <f>2.9%</f>
        <v>2.8999999999999998E-2</v>
      </c>
      <c r="AC5" s="267">
        <f>2.8%</f>
        <v>2.7999999999999997E-2</v>
      </c>
      <c r="AD5" s="267">
        <f>2.7%</f>
        <v>2.7000000000000003E-2</v>
      </c>
      <c r="AE5" s="267">
        <f>2.6%</f>
        <v>2.6000000000000002E-2</v>
      </c>
      <c r="AF5" s="268">
        <f>2.5%</f>
        <v>2.5000000000000001E-2</v>
      </c>
      <c r="AG5" s="323"/>
      <c r="AH5" s="10"/>
      <c r="AI5" s="10"/>
      <c r="AJ5" s="10"/>
      <c r="AK5" s="10"/>
      <c r="AL5" s="10"/>
      <c r="AM5" s="10"/>
      <c r="AN5" s="10"/>
    </row>
    <row r="6" spans="1:40" ht="15">
      <c r="A6" s="1045"/>
      <c r="B6" s="600">
        <v>2</v>
      </c>
      <c r="C6" s="601" t="s">
        <v>304</v>
      </c>
      <c r="D6" s="607">
        <f>Inputs!D6</f>
        <v>136404.70000000001</v>
      </c>
      <c r="E6" s="541">
        <f>Inputs!C6</f>
        <v>137339.98518776</v>
      </c>
      <c r="F6" s="252">
        <f>Inputs!B6</f>
        <v>173212.07675797</v>
      </c>
      <c r="G6" s="260">
        <v>202777</v>
      </c>
      <c r="H6" s="260">
        <v>210456</v>
      </c>
      <c r="I6" s="258">
        <v>223456</v>
      </c>
      <c r="J6" s="261">
        <f>I$6*(1+J$5)</f>
        <v>236863.36000000002</v>
      </c>
      <c r="K6" s="261">
        <f t="shared" ref="K6" si="2">J$6*(1+K$5)</f>
        <v>251075.16160000002</v>
      </c>
      <c r="L6" s="261">
        <f t="shared" ref="L6" si="3">K$6*(1+L$5)</f>
        <v>266139.67129600001</v>
      </c>
      <c r="M6" s="261">
        <f t="shared" ref="M6" si="4">L$6*(1+M$5)</f>
        <v>282108.05157376005</v>
      </c>
      <c r="N6" s="261">
        <f>M$6*(1+9%)</f>
        <v>307497.77621539845</v>
      </c>
      <c r="O6" s="261">
        <f>N$6*(1+8%)</f>
        <v>332097.59831263038</v>
      </c>
      <c r="P6" s="261">
        <f>O$6*(1+7%)</f>
        <v>355344.43019451451</v>
      </c>
      <c r="Q6" s="261">
        <f>P$6*(1+6%)</f>
        <v>376665.0960061854</v>
      </c>
      <c r="R6" s="261">
        <f>Q$6*(1+5%)</f>
        <v>395498.35080649471</v>
      </c>
      <c r="S6" s="261">
        <f>R$6*(1+4.5%)</f>
        <v>413295.77659278695</v>
      </c>
      <c r="T6" s="258">
        <f>S6*(T5+1)</f>
        <v>430654.19920968404</v>
      </c>
      <c r="U6" s="258">
        <f>T$6*(U$5+1)</f>
        <v>447449.7129788617</v>
      </c>
      <c r="V6" s="258">
        <f>U$6*(V$5+1)</f>
        <v>463110.45293312182</v>
      </c>
      <c r="W6" s="258">
        <f t="shared" ref="W6:AF6" si="5">V$6*(W$5+1)</f>
        <v>478856.20833284798</v>
      </c>
      <c r="X6" s="258">
        <f t="shared" si="5"/>
        <v>494658.4632078319</v>
      </c>
      <c r="Y6" s="258">
        <f t="shared" si="5"/>
        <v>510487.53403048252</v>
      </c>
      <c r="Z6" s="258">
        <f t="shared" si="5"/>
        <v>526312.64758542739</v>
      </c>
      <c r="AA6" s="258">
        <f t="shared" si="5"/>
        <v>542102.02701299021</v>
      </c>
      <c r="AB6" s="258">
        <f t="shared" si="5"/>
        <v>557822.98579636682</v>
      </c>
      <c r="AC6" s="258">
        <f t="shared" si="5"/>
        <v>573442.02939866506</v>
      </c>
      <c r="AD6" s="258">
        <f t="shared" si="5"/>
        <v>588924.96419242898</v>
      </c>
      <c r="AE6" s="258">
        <f t="shared" si="5"/>
        <v>604237.01326143218</v>
      </c>
      <c r="AF6" s="694">
        <f t="shared" si="5"/>
        <v>619342.93859296793</v>
      </c>
      <c r="AG6" s="393"/>
      <c r="AH6" s="10"/>
      <c r="AI6" s="10"/>
      <c r="AJ6" s="10"/>
      <c r="AK6" s="10"/>
      <c r="AL6" s="10"/>
      <c r="AM6" s="10"/>
      <c r="AN6" s="10"/>
    </row>
    <row r="7" spans="1:40">
      <c r="A7" s="1045"/>
      <c r="B7" s="600">
        <v>3</v>
      </c>
      <c r="C7" s="602" t="s">
        <v>305</v>
      </c>
      <c r="D7" s="608">
        <f>D8/D6</f>
        <v>3.527297813051896E-2</v>
      </c>
      <c r="E7" s="248">
        <f t="shared" ref="E7" si="6">E8/E6</f>
        <v>3.5008013095580978E-2</v>
      </c>
      <c r="F7" s="253">
        <f>F8/F6</f>
        <v>3.6453000958026269E-2</v>
      </c>
      <c r="G7" s="666">
        <f>2.8%</f>
        <v>2.7999999999999997E-2</v>
      </c>
      <c r="H7" s="666">
        <f>G$7-(0.2/100)</f>
        <v>2.5999999999999995E-2</v>
      </c>
      <c r="I7" s="666">
        <f>H$7+(0.2/100)</f>
        <v>2.7999999999999997E-2</v>
      </c>
      <c r="J7" s="666">
        <f>I$7+(0.2/100)</f>
        <v>0.03</v>
      </c>
      <c r="K7" s="666">
        <f>Assumptions!N10</f>
        <v>4.0566724187750418E-2</v>
      </c>
      <c r="L7" s="666">
        <f>K$7+(0.2/100)</f>
        <v>4.256672418775042E-2</v>
      </c>
      <c r="M7" s="666">
        <f t="shared" ref="M7:T7" si="7">L$7+(0.2/100)</f>
        <v>4.4566724187750421E-2</v>
      </c>
      <c r="N7" s="666">
        <f t="shared" si="7"/>
        <v>4.6566724187750423E-2</v>
      </c>
      <c r="O7" s="666">
        <f t="shared" si="7"/>
        <v>4.8566724187750425E-2</v>
      </c>
      <c r="P7" s="666">
        <f t="shared" si="7"/>
        <v>5.0566724187750427E-2</v>
      </c>
      <c r="Q7" s="666">
        <f t="shared" si="7"/>
        <v>5.2566724187750428E-2</v>
      </c>
      <c r="R7" s="666">
        <f t="shared" si="7"/>
        <v>5.456672418775043E-2</v>
      </c>
      <c r="S7" s="666">
        <f t="shared" si="7"/>
        <v>5.6566724187750432E-2</v>
      </c>
      <c r="T7" s="666">
        <f t="shared" si="7"/>
        <v>5.8566724187750434E-2</v>
      </c>
      <c r="U7" s="666">
        <f t="shared" ref="U7" si="8">T$7-(0.2/100)</f>
        <v>5.6566724187750432E-2</v>
      </c>
      <c r="V7" s="666">
        <f t="shared" ref="V7" si="9">U$7-(0.2/100)</f>
        <v>5.456672418775043E-2</v>
      </c>
      <c r="W7" s="666">
        <f t="shared" ref="W7" si="10">V$7-(0.2/100)</f>
        <v>5.2566724187750428E-2</v>
      </c>
      <c r="X7" s="666">
        <f t="shared" ref="X7" si="11">W$7-(0.2/100)</f>
        <v>5.0566724187750427E-2</v>
      </c>
      <c r="Y7" s="666">
        <f t="shared" ref="Y7" si="12">X$7-(0.2/100)</f>
        <v>4.8566724187750425E-2</v>
      </c>
      <c r="Z7" s="666">
        <f t="shared" ref="Z7" si="13">Y$7-(0.2/100)</f>
        <v>4.6566724187750423E-2</v>
      </c>
      <c r="AA7" s="666">
        <f t="shared" ref="AA7" si="14">Z$7-(0.2/100)</f>
        <v>4.4566724187750421E-2</v>
      </c>
      <c r="AB7" s="666">
        <f t="shared" ref="AB7" si="15">AA$7-(0.2/100)</f>
        <v>4.256672418775042E-2</v>
      </c>
      <c r="AC7" s="666">
        <f t="shared" ref="AC7" si="16">AB$7-(0.2/100)</f>
        <v>4.0566724187750418E-2</v>
      </c>
      <c r="AD7" s="666">
        <f t="shared" ref="AD7" si="17">AC$7-(0.2/100)</f>
        <v>3.8566724187750416E-2</v>
      </c>
      <c r="AE7" s="666">
        <f t="shared" ref="AE7" si="18">AD$7-(0.2/100)</f>
        <v>3.6566724187750414E-2</v>
      </c>
      <c r="AF7" s="666">
        <f t="shared" ref="AF7" si="19">AE$7-(0.2/100)</f>
        <v>3.4566724187750413E-2</v>
      </c>
      <c r="AG7" s="323"/>
      <c r="AH7" s="10"/>
      <c r="AI7" s="10"/>
      <c r="AJ7" s="10"/>
      <c r="AK7" s="10"/>
      <c r="AL7" s="10"/>
      <c r="AM7" s="10"/>
      <c r="AN7" s="10"/>
    </row>
    <row r="8" spans="1:40" ht="15">
      <c r="A8" s="1045"/>
      <c r="B8" s="600">
        <v>4</v>
      </c>
      <c r="C8" s="603" t="s">
        <v>53</v>
      </c>
      <c r="D8" s="609">
        <f>'Fin. Data'!D11</f>
        <v>4811.3999999999996</v>
      </c>
      <c r="E8" s="249">
        <f>'Fin. Data'!C11</f>
        <v>4808</v>
      </c>
      <c r="F8" s="254">
        <f>'Fin. Data'!B11</f>
        <v>6314.1</v>
      </c>
      <c r="G8" s="260">
        <f>G7*G6</f>
        <v>5677.7559999999994</v>
      </c>
      <c r="H8" s="258">
        <f t="shared" ref="H8:AF8" si="20">H7*H6</f>
        <v>5471.8559999999989</v>
      </c>
      <c r="I8" s="258">
        <f t="shared" si="20"/>
        <v>6256.7679999999991</v>
      </c>
      <c r="J8" s="261">
        <f t="shared" si="20"/>
        <v>7105.9008000000003</v>
      </c>
      <c r="K8" s="260">
        <f t="shared" si="20"/>
        <v>10185.296831022066</v>
      </c>
      <c r="L8" s="258">
        <f t="shared" si="20"/>
        <v>11328.69398347539</v>
      </c>
      <c r="M8" s="258">
        <f t="shared" si="20"/>
        <v>12572.631725631436</v>
      </c>
      <c r="N8" s="258">
        <f t="shared" si="20"/>
        <v>14319.164133369062</v>
      </c>
      <c r="O8" s="258">
        <f t="shared" si="20"/>
        <v>16128.89246066385</v>
      </c>
      <c r="P8" s="258">
        <f t="shared" si="20"/>
        <v>17968.603793299349</v>
      </c>
      <c r="Q8" s="258">
        <f t="shared" si="20"/>
        <v>19800.050212909682</v>
      </c>
      <c r="R8" s="258">
        <f t="shared" si="20"/>
        <v>21581.049425168159</v>
      </c>
      <c r="S8" s="258">
        <f t="shared" si="20"/>
        <v>23378.788202486299</v>
      </c>
      <c r="T8" s="258">
        <f t="shared" si="20"/>
        <v>25222.005705410094</v>
      </c>
      <c r="U8" s="258">
        <f t="shared" si="20"/>
        <v>25310.764501963364</v>
      </c>
      <c r="V8" s="258">
        <f t="shared" si="20"/>
        <v>25270.420353665835</v>
      </c>
      <c r="W8" s="258">
        <f t="shared" si="20"/>
        <v>25171.902229024778</v>
      </c>
      <c r="X8" s="258">
        <f t="shared" si="20"/>
        <v>25013.258076166927</v>
      </c>
      <c r="Y8" s="258">
        <f t="shared" si="20"/>
        <v>24792.707266543304</v>
      </c>
      <c r="Z8" s="258">
        <f t="shared" si="20"/>
        <v>24508.655896635286</v>
      </c>
      <c r="AA8" s="258">
        <f t="shared" si="20"/>
        <v>24159.711519508364</v>
      </c>
      <c r="AB8" s="258">
        <f t="shared" si="20"/>
        <v>23744.697181981366</v>
      </c>
      <c r="AC8" s="258">
        <f t="shared" si="20"/>
        <v>23262.664644279514</v>
      </c>
      <c r="AD8" s="258">
        <f t="shared" si="20"/>
        <v>22712.906661290199</v>
      </c>
      <c r="AE8" s="258">
        <f t="shared" si="20"/>
        <v>22094.968207960879</v>
      </c>
      <c r="AF8" s="261">
        <f t="shared" si="20"/>
        <v>21408.656535973962</v>
      </c>
      <c r="AG8" s="389"/>
      <c r="AH8" s="7"/>
      <c r="AI8" s="7"/>
      <c r="AJ8" s="7"/>
      <c r="AK8" s="10"/>
      <c r="AL8" s="10"/>
      <c r="AM8" s="10"/>
      <c r="AN8" s="10"/>
    </row>
    <row r="9" spans="1:40" ht="15">
      <c r="A9" s="1045"/>
      <c r="B9" s="600" t="s">
        <v>306</v>
      </c>
      <c r="C9" s="601" t="s">
        <v>307</v>
      </c>
      <c r="D9" s="667">
        <f>Inputs!D$61</f>
        <v>5509.1</v>
      </c>
      <c r="E9" s="667">
        <f>Inputs!C$61</f>
        <v>6520.1</v>
      </c>
      <c r="F9" s="667">
        <f>Inputs!B$61</f>
        <v>7673</v>
      </c>
      <c r="G9" s="383">
        <f>F9*(1+$D$53)</f>
        <v>8325.2049999999999</v>
      </c>
      <c r="H9" s="383">
        <f t="shared" ref="H9:J9" si="21">G9*(1+$D$53)</f>
        <v>9032.8474249999999</v>
      </c>
      <c r="I9" s="383">
        <f t="shared" si="21"/>
        <v>9800.6394561249999</v>
      </c>
      <c r="J9" s="383">
        <f t="shared" si="21"/>
        <v>10633.693809895625</v>
      </c>
      <c r="K9" s="383">
        <f>J9*(1+$E$53)</f>
        <v>11165.378500390407</v>
      </c>
      <c r="L9" s="383">
        <f t="shared" ref="L9:AF9" si="22">K9*(1+$E$53)</f>
        <v>11723.647425409928</v>
      </c>
      <c r="M9" s="383">
        <f t="shared" si="22"/>
        <v>12309.829796680426</v>
      </c>
      <c r="N9" s="383">
        <f t="shared" si="22"/>
        <v>12925.321286514447</v>
      </c>
      <c r="O9" s="383">
        <f t="shared" si="22"/>
        <v>13571.587350840169</v>
      </c>
      <c r="P9" s="383">
        <f t="shared" si="22"/>
        <v>14250.166718382177</v>
      </c>
      <c r="Q9" s="383">
        <f t="shared" si="22"/>
        <v>14962.675054301288</v>
      </c>
      <c r="R9" s="383">
        <f t="shared" si="22"/>
        <v>15710.808807016352</v>
      </c>
      <c r="S9" s="383">
        <f t="shared" si="22"/>
        <v>16496.349247367172</v>
      </c>
      <c r="T9" s="383">
        <f t="shared" si="22"/>
        <v>17321.166709735531</v>
      </c>
      <c r="U9" s="383">
        <f t="shared" si="22"/>
        <v>18187.225045222309</v>
      </c>
      <c r="V9" s="383">
        <f t="shared" si="22"/>
        <v>19096.586297483424</v>
      </c>
      <c r="W9" s="383">
        <f t="shared" si="22"/>
        <v>20051.415612357596</v>
      </c>
      <c r="X9" s="383">
        <f t="shared" si="22"/>
        <v>21053.986392975476</v>
      </c>
      <c r="Y9" s="383">
        <f t="shared" si="22"/>
        <v>22106.68571262425</v>
      </c>
      <c r="Z9" s="383">
        <f t="shared" si="22"/>
        <v>23212.019998255462</v>
      </c>
      <c r="AA9" s="383">
        <f t="shared" si="22"/>
        <v>24372.620998168237</v>
      </c>
      <c r="AB9" s="383">
        <f t="shared" si="22"/>
        <v>25591.252048076651</v>
      </c>
      <c r="AC9" s="383">
        <f t="shared" si="22"/>
        <v>26870.814650480483</v>
      </c>
      <c r="AD9" s="383">
        <f t="shared" si="22"/>
        <v>28214.355383004509</v>
      </c>
      <c r="AE9" s="383">
        <f t="shared" si="22"/>
        <v>29625.073152154735</v>
      </c>
      <c r="AF9" s="383">
        <f t="shared" si="22"/>
        <v>31106.326809762471</v>
      </c>
      <c r="AG9" s="390">
        <f>SUM(D9:AF9)</f>
        <v>487419.87868822413</v>
      </c>
      <c r="AH9" s="7"/>
      <c r="AI9" s="7"/>
      <c r="AJ9" s="7"/>
      <c r="AK9" s="10"/>
      <c r="AL9" s="10"/>
      <c r="AM9" s="10"/>
      <c r="AN9" s="10"/>
    </row>
    <row r="10" spans="1:40" ht="15">
      <c r="A10" s="1045"/>
      <c r="B10" s="600" t="s">
        <v>308</v>
      </c>
      <c r="C10" s="601" t="s">
        <v>309</v>
      </c>
      <c r="D10" s="610">
        <v>0</v>
      </c>
      <c r="E10" s="381">
        <v>0</v>
      </c>
      <c r="F10" s="382">
        <v>0</v>
      </c>
      <c r="G10" s="382">
        <v>0</v>
      </c>
      <c r="H10" s="382">
        <v>0</v>
      </c>
      <c r="I10" s="382">
        <v>0</v>
      </c>
      <c r="J10" s="382">
        <v>0</v>
      </c>
      <c r="K10" s="382">
        <v>0</v>
      </c>
      <c r="L10" s="382">
        <v>0</v>
      </c>
      <c r="M10" s="382">
        <v>0</v>
      </c>
      <c r="N10" s="382">
        <v>0</v>
      </c>
      <c r="O10" s="382">
        <v>0</v>
      </c>
      <c r="P10" s="382">
        <v>0</v>
      </c>
      <c r="Q10" s="382">
        <v>0</v>
      </c>
      <c r="R10" s="382">
        <v>0</v>
      </c>
      <c r="S10" s="382">
        <v>0</v>
      </c>
      <c r="T10" s="382">
        <v>0</v>
      </c>
      <c r="U10" s="382">
        <v>0</v>
      </c>
      <c r="V10" s="382">
        <v>0</v>
      </c>
      <c r="W10" s="382">
        <v>0</v>
      </c>
      <c r="X10" s="382">
        <v>0</v>
      </c>
      <c r="Y10" s="382">
        <v>0</v>
      </c>
      <c r="Z10" s="382">
        <v>0</v>
      </c>
      <c r="AA10" s="382">
        <v>0</v>
      </c>
      <c r="AB10" s="382">
        <v>0</v>
      </c>
      <c r="AC10" s="382">
        <v>0</v>
      </c>
      <c r="AD10" s="382">
        <v>0</v>
      </c>
      <c r="AE10" s="382">
        <v>0</v>
      </c>
      <c r="AF10" s="382">
        <v>0</v>
      </c>
      <c r="AG10" s="389"/>
      <c r="AH10" s="7"/>
      <c r="AI10" s="7"/>
      <c r="AJ10" s="7"/>
      <c r="AK10" s="10"/>
      <c r="AL10" s="10"/>
      <c r="AM10" s="10"/>
      <c r="AN10" s="10"/>
    </row>
    <row r="11" spans="1:40" ht="15">
      <c r="A11" s="1045"/>
      <c r="B11" s="600" t="s">
        <v>310</v>
      </c>
      <c r="C11" s="601" t="s">
        <v>311</v>
      </c>
      <c r="D11" s="610">
        <f>D20</f>
        <v>0</v>
      </c>
      <c r="E11" s="381">
        <f>E20</f>
        <v>0</v>
      </c>
      <c r="F11" s="382">
        <f>F20</f>
        <v>0</v>
      </c>
      <c r="G11" s="383">
        <f>G6*$D$55</f>
        <v>0</v>
      </c>
      <c r="H11" s="385">
        <f t="shared" ref="H11:AF11" si="23">H6*$D$55</f>
        <v>0</v>
      </c>
      <c r="I11" s="385">
        <f t="shared" si="23"/>
        <v>0</v>
      </c>
      <c r="J11" s="386">
        <f t="shared" si="23"/>
        <v>0</v>
      </c>
      <c r="K11" s="383">
        <f t="shared" si="23"/>
        <v>0</v>
      </c>
      <c r="L11" s="385">
        <f t="shared" si="23"/>
        <v>0</v>
      </c>
      <c r="M11" s="385">
        <f t="shared" si="23"/>
        <v>0</v>
      </c>
      <c r="N11" s="385">
        <f t="shared" si="23"/>
        <v>0</v>
      </c>
      <c r="O11" s="385">
        <f t="shared" si="23"/>
        <v>0</v>
      </c>
      <c r="P11" s="385">
        <f t="shared" si="23"/>
        <v>0</v>
      </c>
      <c r="Q11" s="385">
        <f t="shared" si="23"/>
        <v>0</v>
      </c>
      <c r="R11" s="385">
        <f t="shared" si="23"/>
        <v>0</v>
      </c>
      <c r="S11" s="385">
        <f t="shared" si="23"/>
        <v>0</v>
      </c>
      <c r="T11" s="385">
        <f t="shared" si="23"/>
        <v>0</v>
      </c>
      <c r="U11" s="385">
        <f t="shared" si="23"/>
        <v>0</v>
      </c>
      <c r="V11" s="385">
        <f t="shared" si="23"/>
        <v>0</v>
      </c>
      <c r="W11" s="385">
        <f t="shared" si="23"/>
        <v>0</v>
      </c>
      <c r="X11" s="385">
        <f t="shared" si="23"/>
        <v>0</v>
      </c>
      <c r="Y11" s="385">
        <f t="shared" si="23"/>
        <v>0</v>
      </c>
      <c r="Z11" s="385">
        <f t="shared" si="23"/>
        <v>0</v>
      </c>
      <c r="AA11" s="385">
        <f t="shared" si="23"/>
        <v>0</v>
      </c>
      <c r="AB11" s="385">
        <f t="shared" si="23"/>
        <v>0</v>
      </c>
      <c r="AC11" s="385">
        <f t="shared" si="23"/>
        <v>0</v>
      </c>
      <c r="AD11" s="385">
        <f t="shared" si="23"/>
        <v>0</v>
      </c>
      <c r="AE11" s="385">
        <f t="shared" si="23"/>
        <v>0</v>
      </c>
      <c r="AF11" s="386">
        <f t="shared" si="23"/>
        <v>0</v>
      </c>
      <c r="AG11" s="389"/>
      <c r="AH11" s="7"/>
      <c r="AI11" s="7"/>
      <c r="AJ11" s="7"/>
      <c r="AK11" s="10"/>
      <c r="AL11" s="10"/>
      <c r="AM11" s="10"/>
      <c r="AN11" s="10"/>
    </row>
    <row r="12" spans="1:40" ht="15">
      <c r="A12" s="1045"/>
      <c r="B12" s="600">
        <v>6</v>
      </c>
      <c r="C12" s="603" t="s">
        <v>45</v>
      </c>
      <c r="D12" s="609">
        <f>'Fin. Data'!D19</f>
        <v>10321.5</v>
      </c>
      <c r="E12" s="249">
        <f>'Fin. Data'!C19</f>
        <v>11315</v>
      </c>
      <c r="F12" s="254">
        <f>'Fin. Data'!B19</f>
        <v>13988.3</v>
      </c>
      <c r="G12" s="269">
        <f>G8+G9</f>
        <v>14002.960999999999</v>
      </c>
      <c r="H12" s="270">
        <f>H8+H9-H10</f>
        <v>14504.703425</v>
      </c>
      <c r="I12" s="270">
        <f t="shared" ref="I12:AF12" si="24">I8+I9-I10</f>
        <v>16057.407456124998</v>
      </c>
      <c r="J12" s="270">
        <f t="shared" si="24"/>
        <v>17739.594609895626</v>
      </c>
      <c r="K12" s="270">
        <f t="shared" si="24"/>
        <v>21350.675331412473</v>
      </c>
      <c r="L12" s="270">
        <f t="shared" si="24"/>
        <v>23052.341408885317</v>
      </c>
      <c r="M12" s="270">
        <f t="shared" si="24"/>
        <v>24882.46152231186</v>
      </c>
      <c r="N12" s="270">
        <f t="shared" si="24"/>
        <v>27244.485419883509</v>
      </c>
      <c r="O12" s="270">
        <f t="shared" si="24"/>
        <v>29700.479811504018</v>
      </c>
      <c r="P12" s="270">
        <f t="shared" si="24"/>
        <v>32218.770511681527</v>
      </c>
      <c r="Q12" s="270">
        <f t="shared" si="24"/>
        <v>34762.725267210968</v>
      </c>
      <c r="R12" s="270">
        <f t="shared" si="24"/>
        <v>37291.85823218451</v>
      </c>
      <c r="S12" s="270">
        <f t="shared" si="24"/>
        <v>39875.137449853471</v>
      </c>
      <c r="T12" s="270">
        <f t="shared" si="24"/>
        <v>42543.172415145629</v>
      </c>
      <c r="U12" s="270">
        <f t="shared" si="24"/>
        <v>43497.989547185673</v>
      </c>
      <c r="V12" s="270">
        <f t="shared" si="24"/>
        <v>44367.006651149262</v>
      </c>
      <c r="W12" s="270">
        <f t="shared" si="24"/>
        <v>45223.317841382377</v>
      </c>
      <c r="X12" s="270">
        <f t="shared" si="24"/>
        <v>46067.244469142403</v>
      </c>
      <c r="Y12" s="270">
        <f t="shared" si="24"/>
        <v>46899.392979167555</v>
      </c>
      <c r="Z12" s="270">
        <f t="shared" si="24"/>
        <v>47720.675894890752</v>
      </c>
      <c r="AA12" s="270">
        <f t="shared" si="24"/>
        <v>48532.332517676601</v>
      </c>
      <c r="AB12" s="270">
        <f t="shared" si="24"/>
        <v>49335.949230058017</v>
      </c>
      <c r="AC12" s="270">
        <f t="shared" si="24"/>
        <v>50133.479294759993</v>
      </c>
      <c r="AD12" s="270">
        <f t="shared" si="24"/>
        <v>50927.262044294708</v>
      </c>
      <c r="AE12" s="270">
        <f t="shared" si="24"/>
        <v>51720.041360115618</v>
      </c>
      <c r="AF12" s="270">
        <f t="shared" si="24"/>
        <v>52514.983345736429</v>
      </c>
      <c r="AG12" s="242"/>
      <c r="AH12" s="7"/>
      <c r="AI12" s="7"/>
      <c r="AJ12" s="7"/>
      <c r="AK12" s="10"/>
      <c r="AL12" s="10"/>
      <c r="AM12" s="10"/>
      <c r="AN12" s="10"/>
    </row>
    <row r="13" spans="1:40" ht="15">
      <c r="A13" s="1045"/>
      <c r="B13" s="600">
        <v>7</v>
      </c>
      <c r="C13" s="601" t="s">
        <v>312</v>
      </c>
      <c r="D13" s="611">
        <f>'Fin. Data'!D14</f>
        <v>2670.8</v>
      </c>
      <c r="E13" s="379">
        <f>'Fin. Data'!C14</f>
        <v>3998.6</v>
      </c>
      <c r="F13" s="380">
        <f>'Fin. Data'!B14</f>
        <v>1509.9</v>
      </c>
      <c r="G13" s="384">
        <f>F43*$D$58</f>
        <v>5640.9900000000007</v>
      </c>
      <c r="H13" s="384">
        <f>G13*(0.75)</f>
        <v>4230.7425000000003</v>
      </c>
      <c r="I13" s="384">
        <f>H13*(0.65)</f>
        <v>2749.9826250000001</v>
      </c>
      <c r="J13" s="384">
        <f>I13*(0.7)</f>
        <v>1924.9878374999998</v>
      </c>
      <c r="K13" s="384">
        <f>J13*(1+0.1)</f>
        <v>2117.4866212500001</v>
      </c>
      <c r="L13" s="384">
        <f t="shared" ref="L13:R13" si="25">K13*(1+0.1)</f>
        <v>2329.2352833750001</v>
      </c>
      <c r="M13" s="384">
        <f t="shared" si="25"/>
        <v>2562.1588117125002</v>
      </c>
      <c r="N13" s="384">
        <f t="shared" si="25"/>
        <v>2818.3746928837504</v>
      </c>
      <c r="O13" s="384">
        <f>N13*(1+0.3)</f>
        <v>3663.8871007488756</v>
      </c>
      <c r="P13" s="384">
        <f>O13*(1+0.2)</f>
        <v>4396.6645208986502</v>
      </c>
      <c r="Q13" s="384">
        <f t="shared" si="25"/>
        <v>4836.3309729885159</v>
      </c>
      <c r="R13" s="384">
        <f t="shared" si="25"/>
        <v>5319.9640702873676</v>
      </c>
      <c r="S13" s="384">
        <f t="shared" ref="S13:T13" si="26">R13*(0.7)</f>
        <v>3723.9748492011572</v>
      </c>
      <c r="T13" s="384">
        <f t="shared" si="26"/>
        <v>2606.7823944408101</v>
      </c>
      <c r="U13" s="384">
        <f>T13*(1+0.7)</f>
        <v>4431.5300705493773</v>
      </c>
      <c r="V13" s="384">
        <f>U13*(1+0.4)</f>
        <v>6204.1420987691281</v>
      </c>
      <c r="W13" s="384">
        <f>V13*(1+0.2)</f>
        <v>7444.9705185229532</v>
      </c>
      <c r="X13" s="384">
        <f>W13*(1+0.3)</f>
        <v>9678.4616740798392</v>
      </c>
      <c r="Y13" s="384">
        <f>X13*(1-0.22)</f>
        <v>7549.2001057822745</v>
      </c>
      <c r="Z13" s="384">
        <f>Y13*(1-0.12)</f>
        <v>6643.2960930884019</v>
      </c>
      <c r="AA13" s="384">
        <f t="shared" ref="AA13" si="27">Z13*(1-0.12)</f>
        <v>5846.100561917794</v>
      </c>
      <c r="AB13" s="384">
        <f>AA13*(1+0.12)</f>
        <v>6547.6326293479297</v>
      </c>
      <c r="AC13" s="384">
        <f>AB13*(1+0.12)</f>
        <v>7333.348544869682</v>
      </c>
      <c r="AD13" s="384">
        <f t="shared" ref="AD13:AF13" si="28">AC13*(1+0.12)</f>
        <v>8213.3503702540438</v>
      </c>
      <c r="AE13" s="384">
        <f t="shared" si="28"/>
        <v>9198.9524146845306</v>
      </c>
      <c r="AF13" s="384">
        <f t="shared" si="28"/>
        <v>10302.826704446676</v>
      </c>
      <c r="AG13" s="389"/>
      <c r="AH13" s="7"/>
      <c r="AI13" s="7"/>
      <c r="AJ13" s="7"/>
      <c r="AK13" s="10"/>
      <c r="AL13" s="10"/>
      <c r="AM13" s="10"/>
      <c r="AN13" s="10"/>
    </row>
    <row r="14" spans="1:40" ht="15">
      <c r="A14" s="1045"/>
      <c r="B14" s="600">
        <v>8</v>
      </c>
      <c r="C14" s="601" t="s">
        <v>313</v>
      </c>
      <c r="D14" s="612">
        <f>'Fin. Data'!D15</f>
        <v>-1</v>
      </c>
      <c r="E14" s="250">
        <f>'Fin. Data'!C15</f>
        <v>13.1</v>
      </c>
      <c r="F14" s="256">
        <f>'Fin. Data'!B15</f>
        <v>-1.2</v>
      </c>
      <c r="G14" s="260">
        <f>AVERAGE(D14:F14)*(1+G5)</f>
        <v>4.25349344643449</v>
      </c>
      <c r="H14" s="258">
        <f t="shared" ref="H14:AF14" si="29">AVERAGE(E14:G14)*(1+H5)</f>
        <v>5.5884043666405567</v>
      </c>
      <c r="I14" s="258">
        <f t="shared" si="29"/>
        <v>3.0585710991347326</v>
      </c>
      <c r="J14" s="261">
        <f t="shared" si="29"/>
        <v>4.5581656823141223</v>
      </c>
      <c r="K14" s="260">
        <f t="shared" si="29"/>
        <v>4.6658165389915931</v>
      </c>
      <c r="L14" s="258">
        <f t="shared" si="29"/>
        <v>4.3398355065556258</v>
      </c>
      <c r="M14" s="258">
        <f t="shared" si="29"/>
        <v>4.7925489305110078</v>
      </c>
      <c r="N14" s="258">
        <f t="shared" si="29"/>
        <v>5.0133463546344892</v>
      </c>
      <c r="O14" s="258">
        <f t="shared" si="29"/>
        <v>5.0924630850124046</v>
      </c>
      <c r="P14" s="258">
        <f t="shared" si="29"/>
        <v>5.3137478186896523</v>
      </c>
      <c r="Q14" s="258">
        <f t="shared" si="29"/>
        <v>5.4482435646122465</v>
      </c>
      <c r="R14" s="258">
        <f t="shared" si="29"/>
        <v>5.5490590639100068</v>
      </c>
      <c r="S14" s="258">
        <f t="shared" si="29"/>
        <v>5.6816825724454798</v>
      </c>
      <c r="T14" s="258">
        <f t="shared" si="29"/>
        <v>5.7931675264694587</v>
      </c>
      <c r="U14" s="258">
        <f t="shared" si="29"/>
        <v>5.8959472067250376</v>
      </c>
      <c r="V14" s="258">
        <f t="shared" si="29"/>
        <v>5.992925070445791</v>
      </c>
      <c r="W14" s="258">
        <f t="shared" si="29"/>
        <v>6.0944097189880182</v>
      </c>
      <c r="X14" s="258">
        <f t="shared" si="29"/>
        <v>6.1922434340106962</v>
      </c>
      <c r="Y14" s="258">
        <f t="shared" si="29"/>
        <v>6.2881749088649102</v>
      </c>
      <c r="Z14" s="258">
        <f t="shared" si="29"/>
        <v>6.3835492439271313</v>
      </c>
      <c r="AA14" s="258">
        <f t="shared" si="29"/>
        <v>6.4766288714689395</v>
      </c>
      <c r="AB14" s="258">
        <f t="shared" si="29"/>
        <v>6.5678850873215158</v>
      </c>
      <c r="AC14" s="258">
        <f t="shared" si="29"/>
        <v>6.6573496574645601</v>
      </c>
      <c r="AD14" s="258">
        <f t="shared" si="29"/>
        <v>6.7446046446312993</v>
      </c>
      <c r="AE14" s="258">
        <f t="shared" si="29"/>
        <v>6.8296850711807418</v>
      </c>
      <c r="AF14" s="261">
        <f t="shared" si="29"/>
        <v>6.9124767858695044</v>
      </c>
      <c r="AG14" s="389"/>
      <c r="AH14" s="7"/>
      <c r="AI14" s="7"/>
      <c r="AJ14" s="7"/>
      <c r="AK14" s="10"/>
      <c r="AL14" s="10"/>
      <c r="AM14" s="10"/>
      <c r="AN14" s="10"/>
    </row>
    <row r="15" spans="1:40" ht="15">
      <c r="A15" s="1045"/>
      <c r="B15" s="600">
        <v>9</v>
      </c>
      <c r="C15" s="603" t="s">
        <v>314</v>
      </c>
      <c r="D15" s="613">
        <f t="shared" ref="D15:AF15" si="30">D8+D13+D14</f>
        <v>7481.2</v>
      </c>
      <c r="E15" s="227">
        <f t="shared" si="30"/>
        <v>8819.7000000000007</v>
      </c>
      <c r="F15" s="255">
        <f t="shared" si="30"/>
        <v>7822.8</v>
      </c>
      <c r="G15" s="269">
        <f t="shared" si="30"/>
        <v>11322.999493446434</v>
      </c>
      <c r="H15" s="270">
        <f t="shared" si="30"/>
        <v>9708.1869043666411</v>
      </c>
      <c r="I15" s="270">
        <f t="shared" si="30"/>
        <v>9009.8091960991333</v>
      </c>
      <c r="J15" s="271">
        <f t="shared" si="30"/>
        <v>9035.4468031823144</v>
      </c>
      <c r="K15" s="269">
        <f t="shared" si="30"/>
        <v>12307.449268811057</v>
      </c>
      <c r="L15" s="270">
        <f t="shared" si="30"/>
        <v>13662.269102356948</v>
      </c>
      <c r="M15" s="270">
        <f t="shared" si="30"/>
        <v>15139.583086274446</v>
      </c>
      <c r="N15" s="270">
        <f t="shared" si="30"/>
        <v>17142.552172607448</v>
      </c>
      <c r="O15" s="270">
        <f t="shared" si="30"/>
        <v>19797.872024497738</v>
      </c>
      <c r="P15" s="270">
        <f t="shared" si="30"/>
        <v>22370.582062016692</v>
      </c>
      <c r="Q15" s="270">
        <f t="shared" si="30"/>
        <v>24641.82942946281</v>
      </c>
      <c r="R15" s="270">
        <f t="shared" si="30"/>
        <v>26906.562554519434</v>
      </c>
      <c r="S15" s="270">
        <f t="shared" si="30"/>
        <v>27108.444734259901</v>
      </c>
      <c r="T15" s="270">
        <f t="shared" si="30"/>
        <v>27834.581267377376</v>
      </c>
      <c r="U15" s="270">
        <f t="shared" si="30"/>
        <v>29748.190519719468</v>
      </c>
      <c r="V15" s="270">
        <f t="shared" si="30"/>
        <v>31480.555377505407</v>
      </c>
      <c r="W15" s="270">
        <f t="shared" si="30"/>
        <v>32622.967157266721</v>
      </c>
      <c r="X15" s="270">
        <f t="shared" si="30"/>
        <v>34697.911993680777</v>
      </c>
      <c r="Y15" s="270">
        <f t="shared" si="30"/>
        <v>32348.195547234445</v>
      </c>
      <c r="Z15" s="270">
        <f t="shared" si="30"/>
        <v>31158.335538967618</v>
      </c>
      <c r="AA15" s="270">
        <f t="shared" si="30"/>
        <v>30012.288710297624</v>
      </c>
      <c r="AB15" s="270">
        <f t="shared" si="30"/>
        <v>30298.897696416618</v>
      </c>
      <c r="AC15" s="270">
        <f t="shared" si="30"/>
        <v>30602.670538806658</v>
      </c>
      <c r="AD15" s="270">
        <f t="shared" si="30"/>
        <v>30933.001636188874</v>
      </c>
      <c r="AE15" s="270">
        <f t="shared" si="30"/>
        <v>31300.750307716593</v>
      </c>
      <c r="AF15" s="271">
        <f t="shared" si="30"/>
        <v>31718.395717206509</v>
      </c>
      <c r="AG15" s="389"/>
      <c r="AH15" s="7"/>
      <c r="AI15" s="7"/>
      <c r="AJ15" s="7"/>
      <c r="AK15" s="10"/>
      <c r="AL15" s="10"/>
      <c r="AM15" s="10"/>
      <c r="AN15" s="10"/>
    </row>
    <row r="16" spans="1:40" ht="15">
      <c r="A16" s="1045"/>
      <c r="B16" s="600">
        <v>10</v>
      </c>
      <c r="C16" s="601" t="s">
        <v>315</v>
      </c>
      <c r="D16" s="614">
        <f>'Fin. Data'!D21</f>
        <v>-757.1</v>
      </c>
      <c r="E16" s="377">
        <f>'Fin. Data'!C21</f>
        <v>-553.70000000000005</v>
      </c>
      <c r="F16" s="378">
        <f>'Fin. Data'!B21</f>
        <v>-801.2</v>
      </c>
      <c r="G16" s="371">
        <f>-$D$56*G15</f>
        <v>-871.87096099537541</v>
      </c>
      <c r="H16" s="337">
        <f>-$D$56*H15</f>
        <v>-747.53039163623134</v>
      </c>
      <c r="I16" s="337">
        <f t="shared" ref="I16:J16" si="31">-$D$56*I15</f>
        <v>-693.75530809963323</v>
      </c>
      <c r="J16" s="337">
        <f t="shared" si="31"/>
        <v>-695.72940384503818</v>
      </c>
      <c r="K16" s="336">
        <f>-$E$56*K15</f>
        <v>-1230.7449268811058</v>
      </c>
      <c r="L16" s="337">
        <f>-$E$56*L15</f>
        <v>-1366.226910235695</v>
      </c>
      <c r="M16" s="337">
        <f t="shared" ref="M16:AE16" si="32">-$E$56*M15</f>
        <v>-1513.9583086274447</v>
      </c>
      <c r="N16" s="337">
        <f t="shared" si="32"/>
        <v>-1714.2552172607448</v>
      </c>
      <c r="O16" s="337">
        <f t="shared" si="32"/>
        <v>-1979.7872024497738</v>
      </c>
      <c r="P16" s="337">
        <f t="shared" si="32"/>
        <v>-2237.0582062016692</v>
      </c>
      <c r="Q16" s="337">
        <f t="shared" si="32"/>
        <v>-2464.1829429462814</v>
      </c>
      <c r="R16" s="337">
        <f t="shared" si="32"/>
        <v>-2690.6562554519437</v>
      </c>
      <c r="S16" s="337">
        <f t="shared" si="32"/>
        <v>-2710.8444734259901</v>
      </c>
      <c r="T16" s="337">
        <f t="shared" si="32"/>
        <v>-2783.458126737738</v>
      </c>
      <c r="U16" s="337">
        <f t="shared" si="32"/>
        <v>-2974.8190519719469</v>
      </c>
      <c r="V16" s="337">
        <f t="shared" si="32"/>
        <v>-3148.0555377505407</v>
      </c>
      <c r="W16" s="337">
        <f t="shared" si="32"/>
        <v>-3262.2967157266721</v>
      </c>
      <c r="X16" s="337">
        <f t="shared" si="32"/>
        <v>-3469.7911993680777</v>
      </c>
      <c r="Y16" s="337">
        <f t="shared" si="32"/>
        <v>-3234.8195547234445</v>
      </c>
      <c r="Z16" s="337">
        <f t="shared" si="32"/>
        <v>-3115.8335538967622</v>
      </c>
      <c r="AA16" s="337">
        <f t="shared" si="32"/>
        <v>-3001.2288710297626</v>
      </c>
      <c r="AB16" s="337">
        <f t="shared" si="32"/>
        <v>-3029.889769641662</v>
      </c>
      <c r="AC16" s="337">
        <f t="shared" si="32"/>
        <v>-3060.267053880666</v>
      </c>
      <c r="AD16" s="337">
        <f t="shared" si="32"/>
        <v>-3093.3001636188874</v>
      </c>
      <c r="AE16" s="337">
        <f t="shared" si="32"/>
        <v>-3130.0750307716594</v>
      </c>
      <c r="AF16" s="338">
        <f>-$E$56*AF15</f>
        <v>-3171.8395717206513</v>
      </c>
      <c r="AG16" s="389"/>
      <c r="AH16" s="7"/>
      <c r="AI16" s="7"/>
      <c r="AJ16" s="7"/>
      <c r="AK16" s="10"/>
      <c r="AL16" s="10"/>
      <c r="AM16" s="10"/>
      <c r="AN16" s="10"/>
    </row>
    <row r="17" spans="1:40" ht="15">
      <c r="A17" s="1045"/>
      <c r="B17" s="604">
        <v>11</v>
      </c>
      <c r="C17" s="605" t="s">
        <v>316</v>
      </c>
      <c r="D17" s="615">
        <f>'Fin. Data'!D23</f>
        <v>6726.1</v>
      </c>
      <c r="E17" s="540">
        <f>'Fin. Data'!C23</f>
        <v>8266</v>
      </c>
      <c r="F17" s="257">
        <f>'Fin. Data'!B23</f>
        <v>7021.6</v>
      </c>
      <c r="G17" s="263">
        <f t="shared" ref="G17:AF17" si="33">G16+G15</f>
        <v>10451.128532451059</v>
      </c>
      <c r="H17" s="264">
        <f t="shared" si="33"/>
        <v>8960.6565127304093</v>
      </c>
      <c r="I17" s="264">
        <f t="shared" si="33"/>
        <v>8316.0538879995001</v>
      </c>
      <c r="J17" s="265">
        <f t="shared" si="33"/>
        <v>8339.7173993372762</v>
      </c>
      <c r="K17" s="263">
        <f t="shared" si="33"/>
        <v>11076.704341929952</v>
      </c>
      <c r="L17" s="264">
        <f t="shared" si="33"/>
        <v>12296.042192121253</v>
      </c>
      <c r="M17" s="264">
        <f t="shared" si="33"/>
        <v>13625.624777647001</v>
      </c>
      <c r="N17" s="264">
        <f t="shared" si="33"/>
        <v>15428.296955346703</v>
      </c>
      <c r="O17" s="264">
        <f t="shared" si="33"/>
        <v>17818.084822047964</v>
      </c>
      <c r="P17" s="264">
        <f t="shared" si="33"/>
        <v>20133.523855815023</v>
      </c>
      <c r="Q17" s="264">
        <f t="shared" si="33"/>
        <v>22177.646486516529</v>
      </c>
      <c r="R17" s="264">
        <f t="shared" si="33"/>
        <v>24215.90629906749</v>
      </c>
      <c r="S17" s="264">
        <f t="shared" si="33"/>
        <v>24397.600260833911</v>
      </c>
      <c r="T17" s="264">
        <f t="shared" si="33"/>
        <v>25051.12314063964</v>
      </c>
      <c r="U17" s="264">
        <f>U16+U15</f>
        <v>26773.371467747522</v>
      </c>
      <c r="V17" s="264">
        <f t="shared" si="33"/>
        <v>28332.499839754866</v>
      </c>
      <c r="W17" s="264">
        <f t="shared" si="33"/>
        <v>29360.670441540049</v>
      </c>
      <c r="X17" s="264">
        <f t="shared" si="33"/>
        <v>31228.120794312697</v>
      </c>
      <c r="Y17" s="264">
        <f t="shared" si="33"/>
        <v>29113.375992510999</v>
      </c>
      <c r="Z17" s="264">
        <f t="shared" si="33"/>
        <v>28042.501985070856</v>
      </c>
      <c r="AA17" s="264">
        <f t="shared" si="33"/>
        <v>27011.059839267862</v>
      </c>
      <c r="AB17" s="264">
        <f t="shared" si="33"/>
        <v>27269.007926774957</v>
      </c>
      <c r="AC17" s="264">
        <f t="shared" si="33"/>
        <v>27542.403484925992</v>
      </c>
      <c r="AD17" s="264">
        <f t="shared" si="33"/>
        <v>27839.701472569985</v>
      </c>
      <c r="AE17" s="264">
        <f t="shared" si="33"/>
        <v>28170.675276944934</v>
      </c>
      <c r="AF17" s="265">
        <f t="shared" si="33"/>
        <v>28546.556145485858</v>
      </c>
      <c r="AG17" s="389"/>
      <c r="AH17" s="7"/>
      <c r="AI17" s="7"/>
      <c r="AJ17" s="7"/>
      <c r="AK17" s="10"/>
      <c r="AL17" s="10"/>
      <c r="AM17" s="10"/>
      <c r="AN17" s="10"/>
    </row>
    <row r="18" spans="1:40" ht="15">
      <c r="A18" s="196"/>
      <c r="B18" s="207"/>
      <c r="C18" s="208" t="s">
        <v>317</v>
      </c>
      <c r="D18" s="212" t="s">
        <v>317</v>
      </c>
      <c r="E18" s="212" t="s">
        <v>317</v>
      </c>
      <c r="F18" s="212" t="s">
        <v>317</v>
      </c>
      <c r="G18" s="209" t="s">
        <v>317</v>
      </c>
      <c r="H18" s="209" t="s">
        <v>317</v>
      </c>
      <c r="I18" s="209" t="s">
        <v>317</v>
      </c>
      <c r="J18" s="209" t="s">
        <v>317</v>
      </c>
      <c r="K18" s="209" t="s">
        <v>317</v>
      </c>
      <c r="L18" s="209" t="s">
        <v>317</v>
      </c>
      <c r="M18" s="209" t="s">
        <v>317</v>
      </c>
      <c r="N18" s="209" t="s">
        <v>317</v>
      </c>
      <c r="O18" s="209" t="s">
        <v>317</v>
      </c>
      <c r="P18" s="209" t="s">
        <v>317</v>
      </c>
      <c r="Q18" s="209" t="s">
        <v>317</v>
      </c>
      <c r="R18" s="209" t="s">
        <v>317</v>
      </c>
      <c r="S18" s="209" t="s">
        <v>317</v>
      </c>
      <c r="T18" s="209" t="s">
        <v>317</v>
      </c>
      <c r="U18" s="209" t="s">
        <v>317</v>
      </c>
      <c r="V18" s="209" t="s">
        <v>317</v>
      </c>
      <c r="W18" s="209" t="s">
        <v>317</v>
      </c>
      <c r="X18" s="209" t="s">
        <v>317</v>
      </c>
      <c r="Y18" s="209" t="s">
        <v>317</v>
      </c>
      <c r="Z18" s="209" t="s">
        <v>317</v>
      </c>
      <c r="AA18" s="209" t="s">
        <v>317</v>
      </c>
      <c r="AB18" s="209" t="s">
        <v>317</v>
      </c>
      <c r="AC18" s="209" t="s">
        <v>317</v>
      </c>
      <c r="AD18" s="209" t="s">
        <v>317</v>
      </c>
      <c r="AE18" s="209" t="s">
        <v>317</v>
      </c>
      <c r="AF18" s="217" t="s">
        <v>317</v>
      </c>
      <c r="AG18" s="389"/>
      <c r="AH18" s="7"/>
      <c r="AI18" s="7"/>
      <c r="AJ18" s="7"/>
      <c r="AK18" s="10"/>
      <c r="AL18" s="10"/>
      <c r="AM18" s="10"/>
      <c r="AN18" s="10"/>
    </row>
    <row r="19" spans="1:40" ht="15">
      <c r="A19" s="1046" t="s">
        <v>318</v>
      </c>
      <c r="B19" s="186">
        <v>12</v>
      </c>
      <c r="C19" s="350" t="s">
        <v>319</v>
      </c>
      <c r="D19" s="593">
        <f t="shared" ref="D19:E19" si="34">D17</f>
        <v>6726.1</v>
      </c>
      <c r="E19" s="593">
        <f t="shared" si="34"/>
        <v>8266</v>
      </c>
      <c r="F19" s="593">
        <f>F17</f>
        <v>7021.6</v>
      </c>
      <c r="G19" s="575">
        <f>G17</f>
        <v>10451.128532451059</v>
      </c>
      <c r="H19" s="575">
        <f t="shared" ref="H19:AF19" si="35">H17</f>
        <v>8960.6565127304093</v>
      </c>
      <c r="I19" s="575">
        <f t="shared" si="35"/>
        <v>8316.0538879995001</v>
      </c>
      <c r="J19" s="575">
        <f t="shared" si="35"/>
        <v>8339.7173993372762</v>
      </c>
      <c r="K19" s="575">
        <f t="shared" si="35"/>
        <v>11076.704341929952</v>
      </c>
      <c r="L19" s="575">
        <f t="shared" si="35"/>
        <v>12296.042192121253</v>
      </c>
      <c r="M19" s="575">
        <f t="shared" si="35"/>
        <v>13625.624777647001</v>
      </c>
      <c r="N19" s="575">
        <f t="shared" si="35"/>
        <v>15428.296955346703</v>
      </c>
      <c r="O19" s="575">
        <f t="shared" si="35"/>
        <v>17818.084822047964</v>
      </c>
      <c r="P19" s="575">
        <f t="shared" si="35"/>
        <v>20133.523855815023</v>
      </c>
      <c r="Q19" s="575">
        <f t="shared" si="35"/>
        <v>22177.646486516529</v>
      </c>
      <c r="R19" s="575">
        <f t="shared" si="35"/>
        <v>24215.90629906749</v>
      </c>
      <c r="S19" s="575">
        <f t="shared" si="35"/>
        <v>24397.600260833911</v>
      </c>
      <c r="T19" s="575">
        <f t="shared" si="35"/>
        <v>25051.12314063964</v>
      </c>
      <c r="U19" s="575">
        <f t="shared" si="35"/>
        <v>26773.371467747522</v>
      </c>
      <c r="V19" s="575">
        <f t="shared" si="35"/>
        <v>28332.499839754866</v>
      </c>
      <c r="W19" s="575">
        <f t="shared" si="35"/>
        <v>29360.670441540049</v>
      </c>
      <c r="X19" s="575">
        <f t="shared" si="35"/>
        <v>31228.120794312697</v>
      </c>
      <c r="Y19" s="575">
        <f t="shared" si="35"/>
        <v>29113.375992510999</v>
      </c>
      <c r="Z19" s="575">
        <f t="shared" si="35"/>
        <v>28042.501985070856</v>
      </c>
      <c r="AA19" s="575">
        <f t="shared" si="35"/>
        <v>27011.059839267862</v>
      </c>
      <c r="AB19" s="575">
        <f t="shared" si="35"/>
        <v>27269.007926774957</v>
      </c>
      <c r="AC19" s="575">
        <f t="shared" si="35"/>
        <v>27542.403484925992</v>
      </c>
      <c r="AD19" s="575">
        <f t="shared" si="35"/>
        <v>27839.701472569985</v>
      </c>
      <c r="AE19" s="575">
        <f t="shared" si="35"/>
        <v>28170.675276944934</v>
      </c>
      <c r="AF19" s="575">
        <f t="shared" si="35"/>
        <v>28546.556145485858</v>
      </c>
      <c r="AG19" s="389"/>
      <c r="AH19" s="7"/>
      <c r="AI19" s="7"/>
      <c r="AJ19" s="7"/>
      <c r="AK19" s="10"/>
      <c r="AL19" s="10"/>
      <c r="AM19" s="10"/>
      <c r="AN19" s="10"/>
    </row>
    <row r="20" spans="1:40" ht="15">
      <c r="A20" s="1047"/>
      <c r="B20" s="186">
        <v>13</v>
      </c>
      <c r="C20" s="205" t="s">
        <v>320</v>
      </c>
      <c r="D20" s="221"/>
      <c r="E20" s="222"/>
      <c r="F20" s="594"/>
      <c r="G20" s="576">
        <f>G11</f>
        <v>0</v>
      </c>
      <c r="H20" s="387">
        <f t="shared" ref="H20:AF20" si="36">H11</f>
        <v>0</v>
      </c>
      <c r="I20" s="387">
        <f t="shared" si="36"/>
        <v>0</v>
      </c>
      <c r="J20" s="388">
        <f t="shared" si="36"/>
        <v>0</v>
      </c>
      <c r="K20" s="375">
        <f t="shared" si="36"/>
        <v>0</v>
      </c>
      <c r="L20" s="387">
        <f t="shared" si="36"/>
        <v>0</v>
      </c>
      <c r="M20" s="387">
        <f t="shared" si="36"/>
        <v>0</v>
      </c>
      <c r="N20" s="387">
        <f t="shared" si="36"/>
        <v>0</v>
      </c>
      <c r="O20" s="387">
        <f t="shared" si="36"/>
        <v>0</v>
      </c>
      <c r="P20" s="387">
        <f t="shared" si="36"/>
        <v>0</v>
      </c>
      <c r="Q20" s="387">
        <f t="shared" si="36"/>
        <v>0</v>
      </c>
      <c r="R20" s="387">
        <f t="shared" si="36"/>
        <v>0</v>
      </c>
      <c r="S20" s="387">
        <f t="shared" si="36"/>
        <v>0</v>
      </c>
      <c r="T20" s="387">
        <f t="shared" si="36"/>
        <v>0</v>
      </c>
      <c r="U20" s="387">
        <f t="shared" si="36"/>
        <v>0</v>
      </c>
      <c r="V20" s="387">
        <f t="shared" si="36"/>
        <v>0</v>
      </c>
      <c r="W20" s="387">
        <f t="shared" si="36"/>
        <v>0</v>
      </c>
      <c r="X20" s="387">
        <f t="shared" si="36"/>
        <v>0</v>
      </c>
      <c r="Y20" s="387">
        <f t="shared" si="36"/>
        <v>0</v>
      </c>
      <c r="Z20" s="387">
        <f t="shared" si="36"/>
        <v>0</v>
      </c>
      <c r="AA20" s="387">
        <f t="shared" si="36"/>
        <v>0</v>
      </c>
      <c r="AB20" s="387">
        <f t="shared" si="36"/>
        <v>0</v>
      </c>
      <c r="AC20" s="387">
        <f t="shared" si="36"/>
        <v>0</v>
      </c>
      <c r="AD20" s="387">
        <f t="shared" si="36"/>
        <v>0</v>
      </c>
      <c r="AE20" s="387">
        <f t="shared" si="36"/>
        <v>0</v>
      </c>
      <c r="AF20" s="577">
        <f t="shared" si="36"/>
        <v>0</v>
      </c>
      <c r="AG20" s="389"/>
      <c r="AH20" s="7"/>
      <c r="AI20" s="7"/>
      <c r="AJ20" s="7"/>
      <c r="AK20" s="10"/>
      <c r="AL20" s="10"/>
      <c r="AM20" s="10"/>
      <c r="AN20" s="10"/>
    </row>
    <row r="21" spans="1:40" ht="15">
      <c r="A21" s="1047"/>
      <c r="B21" s="186">
        <v>14</v>
      </c>
      <c r="C21" s="205" t="s">
        <v>321</v>
      </c>
      <c r="D21" s="226">
        <f>Inputs!D62</f>
        <v>24153.599999999999</v>
      </c>
      <c r="E21" s="225">
        <f>Inputs!C62</f>
        <v>-1909.1</v>
      </c>
      <c r="F21" s="595">
        <f>Inputs!B62</f>
        <v>3520.6</v>
      </c>
      <c r="G21" s="578">
        <f t="shared" ref="G21:J21" si="37">$D$60*(G6-F6)</f>
        <v>0</v>
      </c>
      <c r="H21" s="366">
        <f t="shared" si="37"/>
        <v>0</v>
      </c>
      <c r="I21" s="366">
        <f t="shared" si="37"/>
        <v>0</v>
      </c>
      <c r="J21" s="367">
        <f t="shared" si="37"/>
        <v>0</v>
      </c>
      <c r="K21" s="262">
        <f t="shared" ref="K21:AF21" si="38">$E$60*(K6-J6)</f>
        <v>0</v>
      </c>
      <c r="L21" s="259">
        <f t="shared" si="38"/>
        <v>0</v>
      </c>
      <c r="M21" s="259">
        <f t="shared" si="38"/>
        <v>0</v>
      </c>
      <c r="N21" s="259">
        <f t="shared" si="38"/>
        <v>0</v>
      </c>
      <c r="O21" s="259">
        <f t="shared" si="38"/>
        <v>0</v>
      </c>
      <c r="P21" s="259">
        <f t="shared" si="38"/>
        <v>0</v>
      </c>
      <c r="Q21" s="259">
        <f t="shared" si="38"/>
        <v>0</v>
      </c>
      <c r="R21" s="259">
        <f t="shared" si="38"/>
        <v>0</v>
      </c>
      <c r="S21" s="259">
        <f t="shared" si="38"/>
        <v>0</v>
      </c>
      <c r="T21" s="259">
        <f t="shared" si="38"/>
        <v>0</v>
      </c>
      <c r="U21" s="259">
        <f t="shared" si="38"/>
        <v>0</v>
      </c>
      <c r="V21" s="259">
        <f t="shared" si="38"/>
        <v>0</v>
      </c>
      <c r="W21" s="259">
        <f t="shared" si="38"/>
        <v>0</v>
      </c>
      <c r="X21" s="259">
        <f t="shared" si="38"/>
        <v>0</v>
      </c>
      <c r="Y21" s="259">
        <f t="shared" si="38"/>
        <v>0</v>
      </c>
      <c r="Z21" s="259">
        <f t="shared" si="38"/>
        <v>0</v>
      </c>
      <c r="AA21" s="259">
        <f t="shared" si="38"/>
        <v>0</v>
      </c>
      <c r="AB21" s="259">
        <f t="shared" si="38"/>
        <v>0</v>
      </c>
      <c r="AC21" s="259">
        <f t="shared" si="38"/>
        <v>0</v>
      </c>
      <c r="AD21" s="259">
        <f t="shared" si="38"/>
        <v>0</v>
      </c>
      <c r="AE21" s="259">
        <f t="shared" si="38"/>
        <v>0</v>
      </c>
      <c r="AF21" s="579">
        <f t="shared" si="38"/>
        <v>0</v>
      </c>
      <c r="AG21" s="389"/>
      <c r="AH21" s="7"/>
      <c r="AI21" s="7"/>
      <c r="AJ21" s="7"/>
      <c r="AK21" s="10"/>
      <c r="AL21" s="10"/>
      <c r="AM21" s="10"/>
      <c r="AN21" s="10"/>
    </row>
    <row r="22" spans="1:40" ht="15">
      <c r="A22" s="1047"/>
      <c r="B22" s="186">
        <v>15</v>
      </c>
      <c r="C22" s="210" t="s">
        <v>322</v>
      </c>
      <c r="D22" s="223">
        <f t="shared" ref="D22:AF22" si="39">D19+D20+D21</f>
        <v>30879.699999999997</v>
      </c>
      <c r="E22" s="224">
        <f t="shared" si="39"/>
        <v>6356.9</v>
      </c>
      <c r="F22" s="596">
        <f t="shared" si="39"/>
        <v>10542.2</v>
      </c>
      <c r="G22" s="580">
        <f>G19+G20+G21</f>
        <v>10451.128532451059</v>
      </c>
      <c r="H22" s="364">
        <f t="shared" si="39"/>
        <v>8960.6565127304093</v>
      </c>
      <c r="I22" s="364">
        <f t="shared" si="39"/>
        <v>8316.0538879995001</v>
      </c>
      <c r="J22" s="365">
        <f t="shared" si="39"/>
        <v>8339.7173993372762</v>
      </c>
      <c r="K22" s="363">
        <f t="shared" si="39"/>
        <v>11076.704341929952</v>
      </c>
      <c r="L22" s="364">
        <f t="shared" si="39"/>
        <v>12296.042192121253</v>
      </c>
      <c r="M22" s="364">
        <f t="shared" si="39"/>
        <v>13625.624777647001</v>
      </c>
      <c r="N22" s="364">
        <f t="shared" si="39"/>
        <v>15428.296955346703</v>
      </c>
      <c r="O22" s="364">
        <f t="shared" si="39"/>
        <v>17818.084822047964</v>
      </c>
      <c r="P22" s="364">
        <f t="shared" si="39"/>
        <v>20133.523855815023</v>
      </c>
      <c r="Q22" s="364">
        <f t="shared" si="39"/>
        <v>22177.646486516529</v>
      </c>
      <c r="R22" s="364">
        <f t="shared" si="39"/>
        <v>24215.90629906749</v>
      </c>
      <c r="S22" s="364">
        <f t="shared" si="39"/>
        <v>24397.600260833911</v>
      </c>
      <c r="T22" s="364">
        <f t="shared" si="39"/>
        <v>25051.12314063964</v>
      </c>
      <c r="U22" s="364">
        <f t="shared" si="39"/>
        <v>26773.371467747522</v>
      </c>
      <c r="V22" s="364">
        <f t="shared" si="39"/>
        <v>28332.499839754866</v>
      </c>
      <c r="W22" s="364">
        <f t="shared" si="39"/>
        <v>29360.670441540049</v>
      </c>
      <c r="X22" s="364">
        <f t="shared" si="39"/>
        <v>31228.120794312697</v>
      </c>
      <c r="Y22" s="364">
        <f t="shared" si="39"/>
        <v>29113.375992510999</v>
      </c>
      <c r="Z22" s="364">
        <f t="shared" si="39"/>
        <v>28042.501985070856</v>
      </c>
      <c r="AA22" s="364">
        <f t="shared" si="39"/>
        <v>27011.059839267862</v>
      </c>
      <c r="AB22" s="364">
        <f t="shared" si="39"/>
        <v>27269.007926774957</v>
      </c>
      <c r="AC22" s="364">
        <f t="shared" si="39"/>
        <v>27542.403484925992</v>
      </c>
      <c r="AD22" s="364">
        <f t="shared" si="39"/>
        <v>27839.701472569985</v>
      </c>
      <c r="AE22" s="364">
        <f t="shared" si="39"/>
        <v>28170.675276944934</v>
      </c>
      <c r="AF22" s="581">
        <f t="shared" si="39"/>
        <v>28546.556145485858</v>
      </c>
      <c r="AG22" s="389"/>
      <c r="AH22" s="7"/>
      <c r="AI22" s="7"/>
      <c r="AJ22" s="7"/>
      <c r="AK22" s="10"/>
      <c r="AL22" s="10"/>
      <c r="AM22" s="10"/>
      <c r="AN22" s="10"/>
    </row>
    <row r="23" spans="1:40" ht="15">
      <c r="A23" s="1047"/>
      <c r="B23" s="186">
        <v>16</v>
      </c>
      <c r="C23" s="205" t="s">
        <v>323</v>
      </c>
      <c r="D23" s="239">
        <f>'Fin. Data'!D32</f>
        <v>-12473</v>
      </c>
      <c r="E23" s="238">
        <f>'Fin. Data'!C32</f>
        <v>-15859.3</v>
      </c>
      <c r="F23" s="597">
        <f>'Fin. Data'!B32</f>
        <v>-16229.1</v>
      </c>
      <c r="G23" s="582">
        <f>F23*(1+0.04)</f>
        <v>-16878.263999999999</v>
      </c>
      <c r="H23" s="582">
        <f t="shared" ref="H23:M23" si="40">G23*(1+0.04)</f>
        <v>-17553.394560000001</v>
      </c>
      <c r="I23" s="582">
        <f t="shared" si="40"/>
        <v>-18255.530342400001</v>
      </c>
      <c r="J23" s="582">
        <f t="shared" si="40"/>
        <v>-18985.751556096002</v>
      </c>
      <c r="K23" s="582">
        <f t="shared" si="40"/>
        <v>-19745.181618339844</v>
      </c>
      <c r="L23" s="582">
        <f t="shared" si="40"/>
        <v>-20534.988883073438</v>
      </c>
      <c r="M23" s="692">
        <f t="shared" si="40"/>
        <v>-21356.388438396378</v>
      </c>
      <c r="N23" s="582">
        <f>M23/(1+0.04)</f>
        <v>-20534.988883073438</v>
      </c>
      <c r="O23" s="582">
        <f t="shared" ref="O23:AF23" si="41">N23/(1+0.04)</f>
        <v>-19745.181618339844</v>
      </c>
      <c r="P23" s="582">
        <f t="shared" si="41"/>
        <v>-18985.751556096002</v>
      </c>
      <c r="Q23" s="582">
        <f t="shared" si="41"/>
        <v>-18255.530342400001</v>
      </c>
      <c r="R23" s="582">
        <f t="shared" si="41"/>
        <v>-17553.394560000001</v>
      </c>
      <c r="S23" s="582">
        <f t="shared" si="41"/>
        <v>-16878.263999999999</v>
      </c>
      <c r="T23" s="582">
        <f t="shared" si="41"/>
        <v>-16229.099999999999</v>
      </c>
      <c r="U23" s="582">
        <f t="shared" si="41"/>
        <v>-15604.903846153844</v>
      </c>
      <c r="V23" s="582">
        <f t="shared" si="41"/>
        <v>-15004.715236686388</v>
      </c>
      <c r="W23" s="582">
        <f t="shared" si="41"/>
        <v>-14427.610804506143</v>
      </c>
      <c r="X23" s="582">
        <f t="shared" si="41"/>
        <v>-13872.702696640521</v>
      </c>
      <c r="Y23" s="582">
        <f t="shared" si="41"/>
        <v>-13339.137208308193</v>
      </c>
      <c r="Z23" s="582">
        <f t="shared" si="41"/>
        <v>-12826.093469527108</v>
      </c>
      <c r="AA23" s="582">
        <f t="shared" si="41"/>
        <v>-12332.782182237603</v>
      </c>
      <c r="AB23" s="582">
        <f t="shared" si="41"/>
        <v>-11858.444405997694</v>
      </c>
      <c r="AC23" s="582">
        <f t="shared" si="41"/>
        <v>-11402.350390382398</v>
      </c>
      <c r="AD23" s="582">
        <f t="shared" si="41"/>
        <v>-10963.798452290768</v>
      </c>
      <c r="AE23" s="582">
        <f t="shared" si="41"/>
        <v>-10542.113896433431</v>
      </c>
      <c r="AF23" s="582">
        <f t="shared" si="41"/>
        <v>-10136.647977339837</v>
      </c>
      <c r="AG23" s="390">
        <f>SUM(D23:AF23)</f>
        <v>-458364.41092471895</v>
      </c>
      <c r="AH23" s="7"/>
      <c r="AI23" s="7"/>
      <c r="AJ23" s="7"/>
      <c r="AK23" s="10"/>
      <c r="AL23" s="10"/>
      <c r="AM23" s="10"/>
      <c r="AN23" s="10"/>
    </row>
    <row r="24" spans="1:40" ht="15">
      <c r="A24" s="1047"/>
      <c r="B24" s="186">
        <v>17</v>
      </c>
      <c r="C24" s="205" t="s">
        <v>324</v>
      </c>
      <c r="D24" s="226">
        <f>Inputs!D66</f>
        <v>0</v>
      </c>
      <c r="E24" s="225">
        <f>'Fin. Data'!C33</f>
        <v>0</v>
      </c>
      <c r="F24" s="595">
        <f>'Fin. Data'!B33</f>
        <v>0</v>
      </c>
      <c r="G24" s="582">
        <f>G6*$D$63</f>
        <v>0</v>
      </c>
      <c r="H24" s="259">
        <f t="shared" ref="H24:J24" si="42">H6*$D$63</f>
        <v>0</v>
      </c>
      <c r="I24" s="259">
        <f t="shared" si="42"/>
        <v>0</v>
      </c>
      <c r="J24" s="349">
        <f t="shared" si="42"/>
        <v>0</v>
      </c>
      <c r="K24" s="262">
        <f t="shared" ref="K24:AB24" si="43">K6*$E$63</f>
        <v>-206.65304542750673</v>
      </c>
      <c r="L24" s="259">
        <f t="shared" si="43"/>
        <v>-219.0522281531571</v>
      </c>
      <c r="M24" s="259"/>
      <c r="N24" s="259"/>
      <c r="O24" s="259"/>
      <c r="P24" s="259"/>
      <c r="Q24" s="259"/>
      <c r="R24" s="259"/>
      <c r="S24" s="259">
        <f t="shared" si="43"/>
        <v>-340.17236253458958</v>
      </c>
      <c r="T24" s="259">
        <f t="shared" si="43"/>
        <v>-354.45960176104234</v>
      </c>
      <c r="U24" s="259"/>
      <c r="V24" s="259"/>
      <c r="W24" s="259"/>
      <c r="X24" s="259"/>
      <c r="Y24" s="259"/>
      <c r="Z24" s="259"/>
      <c r="AA24" s="259"/>
      <c r="AB24" s="259">
        <f t="shared" si="43"/>
        <v>-459.12872499883326</v>
      </c>
      <c r="AC24" s="259"/>
      <c r="AD24" s="259"/>
      <c r="AE24" s="259"/>
      <c r="AF24" s="579"/>
      <c r="AG24" s="389"/>
      <c r="AH24" s="391">
        <f>AG9-AG23</f>
        <v>945784.28961294307</v>
      </c>
      <c r="AI24" s="7"/>
      <c r="AJ24" s="7"/>
      <c r="AK24" s="10"/>
      <c r="AL24" s="10"/>
      <c r="AM24" s="10"/>
      <c r="AN24" s="10"/>
    </row>
    <row r="25" spans="1:40" ht="15">
      <c r="A25" s="1047"/>
      <c r="B25" s="186">
        <v>18</v>
      </c>
      <c r="C25" s="205" t="s">
        <v>325</v>
      </c>
      <c r="D25" s="226">
        <f>Inputs!D67</f>
        <v>746.39999999999964</v>
      </c>
      <c r="E25" s="225">
        <f>Inputs!C67</f>
        <v>4875.3999999999996</v>
      </c>
      <c r="F25" s="595">
        <f>Inputs!B67</f>
        <v>4609.7000000000007</v>
      </c>
      <c r="G25" s="582">
        <f>(1+G5)*AVERAGE(D25:F25)</f>
        <v>3992.6255226783933</v>
      </c>
      <c r="H25" s="259">
        <f t="shared" ref="H25:AF25" si="44">(1+H5)*AVERAGE(E25:G25)</f>
        <v>4662.7053406793402</v>
      </c>
      <c r="I25" s="259">
        <f t="shared" si="44"/>
        <v>4694.8067317356381</v>
      </c>
      <c r="J25" s="349">
        <f t="shared" si="44"/>
        <v>4717.0486169329915</v>
      </c>
      <c r="K25" s="262">
        <f t="shared" si="44"/>
        <v>4973.0114435696169</v>
      </c>
      <c r="L25" s="259">
        <f t="shared" si="44"/>
        <v>5082.6529332575128</v>
      </c>
      <c r="M25" s="259">
        <f t="shared" si="44"/>
        <v>5219.6919244619094</v>
      </c>
      <c r="N25" s="259">
        <f t="shared" si="44"/>
        <v>5550.0461228016848</v>
      </c>
      <c r="O25" s="259">
        <f t="shared" si="44"/>
        <v>5706.860752987599</v>
      </c>
      <c r="P25" s="259">
        <f t="shared" si="44"/>
        <v>5876.6535720895936</v>
      </c>
      <c r="Q25" s="259">
        <f t="shared" si="44"/>
        <v>6053.8580249172037</v>
      </c>
      <c r="R25" s="259">
        <f t="shared" si="44"/>
        <v>6173.0803224980391</v>
      </c>
      <c r="S25" s="259">
        <f t="shared" si="44"/>
        <v>6306.0845186275174</v>
      </c>
      <c r="T25" s="259">
        <f t="shared" si="44"/>
        <v>6437.1366088055183</v>
      </c>
      <c r="U25" s="259">
        <f t="shared" si="44"/>
        <v>6551.3457354927941</v>
      </c>
      <c r="V25" s="259">
        <f t="shared" si="44"/>
        <v>6656.6255677094105</v>
      </c>
      <c r="W25" s="259">
        <f t="shared" si="44"/>
        <v>6771.0138603386622</v>
      </c>
      <c r="X25" s="259">
        <f t="shared" si="44"/>
        <v>6879.4305579792372</v>
      </c>
      <c r="Y25" s="259">
        <f t="shared" si="44"/>
        <v>6985.6320751933945</v>
      </c>
      <c r="Z25" s="259">
        <f t="shared" si="44"/>
        <v>7091.9316216033812</v>
      </c>
      <c r="AA25" s="259">
        <f t="shared" si="44"/>
        <v>7195.2346941397645</v>
      </c>
      <c r="AB25" s="259">
        <f t="shared" si="44"/>
        <v>7296.5698480912333</v>
      </c>
      <c r="AC25" s="259">
        <f t="shared" si="44"/>
        <v>7396.0269254739142</v>
      </c>
      <c r="AD25" s="259">
        <f t="shared" si="44"/>
        <v>7492.9343057776478</v>
      </c>
      <c r="AE25" s="259">
        <f t="shared" si="44"/>
        <v>7587.4516291352347</v>
      </c>
      <c r="AF25" s="579">
        <f t="shared" si="44"/>
        <v>7679.4410606321544</v>
      </c>
      <c r="AG25" s="242"/>
      <c r="AH25" s="7"/>
      <c r="AI25" s="7"/>
      <c r="AJ25" s="7"/>
      <c r="AK25" s="10"/>
      <c r="AL25" s="10"/>
      <c r="AM25" s="10"/>
      <c r="AN25" s="10"/>
    </row>
    <row r="26" spans="1:40" ht="15">
      <c r="A26" s="1047"/>
      <c r="B26" s="186">
        <v>19</v>
      </c>
      <c r="C26" s="210" t="s">
        <v>326</v>
      </c>
      <c r="D26" s="223">
        <f t="shared" ref="D26:AF26" si="45">D23+D24+D25</f>
        <v>-11726.6</v>
      </c>
      <c r="E26" s="224">
        <f t="shared" si="45"/>
        <v>-10983.9</v>
      </c>
      <c r="F26" s="596">
        <f t="shared" si="45"/>
        <v>-11619.4</v>
      </c>
      <c r="G26" s="583">
        <f>G23+G24+G25</f>
        <v>-12885.638477321605</v>
      </c>
      <c r="H26" s="272">
        <f t="shared" si="45"/>
        <v>-12890.68921932066</v>
      </c>
      <c r="I26" s="272">
        <f t="shared" si="45"/>
        <v>-13560.723610664363</v>
      </c>
      <c r="J26" s="348">
        <f t="shared" si="45"/>
        <v>-14268.702939163009</v>
      </c>
      <c r="K26" s="273">
        <f t="shared" si="45"/>
        <v>-14978.823220197733</v>
      </c>
      <c r="L26" s="272">
        <f t="shared" si="45"/>
        <v>-15671.388177969082</v>
      </c>
      <c r="M26" s="272">
        <f t="shared" si="45"/>
        <v>-16136.696513934468</v>
      </c>
      <c r="N26" s="272">
        <f t="shared" si="45"/>
        <v>-14984.942760271753</v>
      </c>
      <c r="O26" s="272">
        <f t="shared" si="45"/>
        <v>-14038.320865352245</v>
      </c>
      <c r="P26" s="272">
        <f t="shared" si="45"/>
        <v>-13109.097984006408</v>
      </c>
      <c r="Q26" s="272">
        <f t="shared" si="45"/>
        <v>-12201.672317482797</v>
      </c>
      <c r="R26" s="272">
        <f t="shared" si="45"/>
        <v>-11380.314237501962</v>
      </c>
      <c r="S26" s="272">
        <f t="shared" si="45"/>
        <v>-10912.351843907072</v>
      </c>
      <c r="T26" s="272">
        <f t="shared" si="45"/>
        <v>-10146.422992955522</v>
      </c>
      <c r="U26" s="272">
        <f t="shared" si="45"/>
        <v>-9053.5581106610498</v>
      </c>
      <c r="V26" s="272">
        <f t="shared" si="45"/>
        <v>-8348.0896689769779</v>
      </c>
      <c r="W26" s="272">
        <f t="shared" si="45"/>
        <v>-7656.5969441674806</v>
      </c>
      <c r="X26" s="272">
        <f t="shared" si="45"/>
        <v>-6993.2721386612839</v>
      </c>
      <c r="Y26" s="272">
        <f t="shared" si="45"/>
        <v>-6353.5051331147988</v>
      </c>
      <c r="Z26" s="272">
        <f t="shared" si="45"/>
        <v>-5734.1618479237268</v>
      </c>
      <c r="AA26" s="272">
        <f t="shared" si="45"/>
        <v>-5137.5474880978381</v>
      </c>
      <c r="AB26" s="272">
        <f t="shared" si="45"/>
        <v>-5021.0032829052934</v>
      </c>
      <c r="AC26" s="272">
        <f t="shared" si="45"/>
        <v>-4006.3234649084843</v>
      </c>
      <c r="AD26" s="272">
        <f t="shared" si="45"/>
        <v>-3470.8641465131204</v>
      </c>
      <c r="AE26" s="272">
        <f t="shared" si="45"/>
        <v>-2954.6622672981966</v>
      </c>
      <c r="AF26" s="584">
        <f t="shared" si="45"/>
        <v>-2457.2069167076825</v>
      </c>
      <c r="AG26" s="389"/>
      <c r="AH26" s="7"/>
      <c r="AI26" s="7"/>
      <c r="AJ26" s="7"/>
      <c r="AK26" s="10"/>
      <c r="AL26" s="10"/>
      <c r="AM26" s="10"/>
      <c r="AN26" s="10"/>
    </row>
    <row r="27" spans="1:40" ht="15">
      <c r="A27" s="1047"/>
      <c r="B27" s="186">
        <v>20</v>
      </c>
      <c r="C27" s="205" t="s">
        <v>327</v>
      </c>
      <c r="D27" s="226">
        <f>Inputs!D71+Inputs!D72</f>
        <v>0</v>
      </c>
      <c r="E27" s="225">
        <f>Inputs!C71+Inputs!C72</f>
        <v>0</v>
      </c>
      <c r="F27" s="597">
        <f>Inputs!B71+Inputs!B72</f>
        <v>0</v>
      </c>
      <c r="G27" s="585">
        <f>G6*$D$66</f>
        <v>0</v>
      </c>
      <c r="H27" s="228">
        <f t="shared" ref="H27:J27" si="46">H6*$D$66</f>
        <v>0</v>
      </c>
      <c r="I27" s="228">
        <f t="shared" si="46"/>
        <v>0</v>
      </c>
      <c r="J27" s="560">
        <f t="shared" si="46"/>
        <v>0</v>
      </c>
      <c r="K27" s="559">
        <f>$E$66*K6</f>
        <v>0</v>
      </c>
      <c r="L27" s="228">
        <f>$E$66*L6</f>
        <v>0</v>
      </c>
      <c r="M27" s="228">
        <f t="shared" ref="M27:AE27" si="47">$E$66*M6</f>
        <v>0</v>
      </c>
      <c r="N27" s="228">
        <f t="shared" si="47"/>
        <v>0</v>
      </c>
      <c r="O27" s="228">
        <f t="shared" si="47"/>
        <v>0</v>
      </c>
      <c r="P27" s="228">
        <f t="shared" si="47"/>
        <v>0</v>
      </c>
      <c r="Q27" s="228">
        <f t="shared" si="47"/>
        <v>0</v>
      </c>
      <c r="R27" s="228">
        <f t="shared" si="47"/>
        <v>0</v>
      </c>
      <c r="S27" s="228">
        <f t="shared" si="47"/>
        <v>0</v>
      </c>
      <c r="T27" s="228">
        <f t="shared" si="47"/>
        <v>0</v>
      </c>
      <c r="U27" s="228">
        <f t="shared" si="47"/>
        <v>0</v>
      </c>
      <c r="V27" s="228">
        <f t="shared" si="47"/>
        <v>0</v>
      </c>
      <c r="W27" s="228">
        <f t="shared" si="47"/>
        <v>0</v>
      </c>
      <c r="X27" s="228">
        <f t="shared" si="47"/>
        <v>0</v>
      </c>
      <c r="Y27" s="228">
        <f t="shared" si="47"/>
        <v>0</v>
      </c>
      <c r="Z27" s="228">
        <f t="shared" si="47"/>
        <v>0</v>
      </c>
      <c r="AA27" s="228">
        <f t="shared" si="47"/>
        <v>0</v>
      </c>
      <c r="AB27" s="228">
        <f t="shared" si="47"/>
        <v>0</v>
      </c>
      <c r="AC27" s="228">
        <f t="shared" si="47"/>
        <v>0</v>
      </c>
      <c r="AD27" s="228">
        <f t="shared" si="47"/>
        <v>0</v>
      </c>
      <c r="AE27" s="228">
        <f t="shared" si="47"/>
        <v>0</v>
      </c>
      <c r="AF27" s="586">
        <f>$E$66*AF6</f>
        <v>0</v>
      </c>
      <c r="AG27" s="389"/>
      <c r="AH27" s="7"/>
      <c r="AI27" s="7"/>
      <c r="AJ27" s="7"/>
      <c r="AK27" s="10"/>
      <c r="AL27" s="10"/>
      <c r="AM27" s="10"/>
      <c r="AN27" s="10"/>
    </row>
    <row r="28" spans="1:40" ht="15">
      <c r="A28" s="1047"/>
      <c r="B28" s="186">
        <v>21</v>
      </c>
      <c r="C28" s="205" t="s">
        <v>328</v>
      </c>
      <c r="D28" s="239">
        <f>+SUM(Inputs!D69:D70)</f>
        <v>-92.2</v>
      </c>
      <c r="E28" s="225">
        <f>+SUM(Inputs!C69:C70)</f>
        <v>8925.2000000000007</v>
      </c>
      <c r="F28" s="595">
        <f>+SUM(Inputs!B69:B70)</f>
        <v>526.20000000000005</v>
      </c>
      <c r="G28" s="582">
        <f>G44-F44</f>
        <v>2896.3050000000003</v>
      </c>
      <c r="H28" s="259">
        <f t="shared" ref="H28:AF28" si="48">H44-G44</f>
        <v>3649.3443000000043</v>
      </c>
      <c r="I28" s="259">
        <f t="shared" si="48"/>
        <v>4513.0224510000044</v>
      </c>
      <c r="J28" s="349">
        <f t="shared" si="48"/>
        <v>5518.7817400800122</v>
      </c>
      <c r="K28" s="262">
        <f t="shared" si="48"/>
        <v>6705.3198141972098</v>
      </c>
      <c r="L28" s="259">
        <f t="shared" si="48"/>
        <v>7308.7985974749608</v>
      </c>
      <c r="M28" s="259">
        <f t="shared" si="48"/>
        <v>10514.524956049005</v>
      </c>
      <c r="N28" s="259">
        <f t="shared" si="48"/>
        <v>9400.8551123351644</v>
      </c>
      <c r="O28" s="259">
        <f t="shared" si="48"/>
        <v>9774.8576786496269</v>
      </c>
      <c r="P28" s="259">
        <f t="shared" si="48"/>
        <v>10022.796986706497</v>
      </c>
      <c r="Q28" s="259">
        <f t="shared" si="48"/>
        <v>10124.939927007159</v>
      </c>
      <c r="R28" s="259">
        <f t="shared" si="48"/>
        <v>10065.94920059471</v>
      </c>
      <c r="S28" s="259">
        <f t="shared" si="48"/>
        <v>10281.451286322466</v>
      </c>
      <c r="T28" s="259">
        <f t="shared" si="48"/>
        <v>10618.779161862796</v>
      </c>
      <c r="U28" s="259">
        <f t="shared" si="48"/>
        <v>3800.1721855193609</v>
      </c>
      <c r="V28" s="259">
        <f t="shared" si="48"/>
        <v>3458.6880737750907</v>
      </c>
      <c r="W28" s="259">
        <f t="shared" si="48"/>
        <v>3408.118537127797</v>
      </c>
      <c r="X28" s="259">
        <f t="shared" si="48"/>
        <v>3358.8279784848855</v>
      </c>
      <c r="Y28" s="259">
        <f t="shared" si="48"/>
        <v>3311.9510699001257</v>
      </c>
      <c r="Z28" s="259">
        <f t="shared" si="48"/>
        <v>3268.7060045783292</v>
      </c>
      <c r="AA28" s="259">
        <f t="shared" si="48"/>
        <v>3230.3933586876665</v>
      </c>
      <c r="AB28" s="259">
        <f t="shared" si="48"/>
        <v>3198.3945152780216</v>
      </c>
      <c r="AC28" s="259">
        <f t="shared" si="48"/>
        <v>3174.1696575138776</v>
      </c>
      <c r="AD28" s="259">
        <f t="shared" si="48"/>
        <v>3159.2553431481647</v>
      </c>
      <c r="AE28" s="259">
        <f t="shared" si="48"/>
        <v>3155.2616769672313</v>
      </c>
      <c r="AF28" s="579">
        <f t="shared" si="48"/>
        <v>3163.8691027708119</v>
      </c>
      <c r="AG28" s="389"/>
      <c r="AH28" s="7"/>
      <c r="AI28" s="7"/>
      <c r="AJ28" s="7"/>
      <c r="AK28" s="10"/>
      <c r="AL28" s="10"/>
      <c r="AM28" s="10"/>
      <c r="AN28" s="10"/>
    </row>
    <row r="29" spans="1:40" ht="15">
      <c r="A29" s="1047"/>
      <c r="B29" s="186">
        <v>22</v>
      </c>
      <c r="C29" s="205" t="s">
        <v>329</v>
      </c>
      <c r="D29" s="239">
        <f>'Fin. Data'!D28</f>
        <v>-807.3</v>
      </c>
      <c r="E29" s="225">
        <f>'Fin. Data'!C28</f>
        <v>-357.3</v>
      </c>
      <c r="F29" s="597">
        <f>'Fin. Data'!B28</f>
        <v>-681.6</v>
      </c>
      <c r="G29" s="582">
        <f>AVERAGE('Fin. Data'!B28:F28)</f>
        <v>-416.34</v>
      </c>
      <c r="H29" s="259">
        <f>G29*(1+H5)</f>
        <v>-432.10645704394477</v>
      </c>
      <c r="I29" s="259">
        <f t="shared" ref="I29:AF29" si="49">H29*(1+I5)</f>
        <v>-458.79794572362738</v>
      </c>
      <c r="J29" s="259">
        <f t="shared" si="49"/>
        <v>-486.32582246704504</v>
      </c>
      <c r="K29" s="259">
        <f t="shared" si="49"/>
        <v>-515.50537181506775</v>
      </c>
      <c r="L29" s="259">
        <f t="shared" si="49"/>
        <v>-546.43569412397187</v>
      </c>
      <c r="M29" s="259">
        <f t="shared" si="49"/>
        <v>-579.22183577141016</v>
      </c>
      <c r="N29" s="259">
        <f t="shared" si="49"/>
        <v>-631.35180099083709</v>
      </c>
      <c r="O29" s="259">
        <f t="shared" si="49"/>
        <v>-681.85994507010412</v>
      </c>
      <c r="P29" s="259">
        <f t="shared" si="49"/>
        <v>-729.59014122501139</v>
      </c>
      <c r="Q29" s="259">
        <f t="shared" si="49"/>
        <v>-773.36554969851215</v>
      </c>
      <c r="R29" s="259">
        <f t="shared" si="49"/>
        <v>-812.03382718343778</v>
      </c>
      <c r="S29" s="259">
        <f t="shared" si="49"/>
        <v>-848.57534940669245</v>
      </c>
      <c r="T29" s="259">
        <f t="shared" si="49"/>
        <v>-884.21551408177356</v>
      </c>
      <c r="U29" s="259">
        <f t="shared" si="49"/>
        <v>-918.69991913096271</v>
      </c>
      <c r="V29" s="259">
        <f t="shared" si="49"/>
        <v>-950.85441630054629</v>
      </c>
      <c r="W29" s="259">
        <f t="shared" si="49"/>
        <v>-983.18346645476493</v>
      </c>
      <c r="X29" s="259">
        <f t="shared" si="49"/>
        <v>-1015.6285208477721</v>
      </c>
      <c r="Y29" s="259">
        <f t="shared" si="49"/>
        <v>-1048.1286335149007</v>
      </c>
      <c r="Z29" s="259">
        <f t="shared" si="49"/>
        <v>-1080.6206211538624</v>
      </c>
      <c r="AA29" s="259">
        <f t="shared" si="49"/>
        <v>-1113.0392397884784</v>
      </c>
      <c r="AB29" s="259">
        <f t="shared" si="49"/>
        <v>-1145.3173777423442</v>
      </c>
      <c r="AC29" s="259">
        <f t="shared" si="49"/>
        <v>-1177.3862643191299</v>
      </c>
      <c r="AD29" s="259">
        <f t="shared" si="49"/>
        <v>-1209.1756934557463</v>
      </c>
      <c r="AE29" s="259">
        <f t="shared" si="49"/>
        <v>-1240.6142614855958</v>
      </c>
      <c r="AF29" s="259">
        <f t="shared" si="49"/>
        <v>-1271.6296180227355</v>
      </c>
      <c r="AG29" s="389"/>
      <c r="AH29" s="7"/>
      <c r="AI29" s="7"/>
      <c r="AJ29" s="7"/>
      <c r="AK29" s="10"/>
      <c r="AL29" s="10"/>
      <c r="AM29" s="10"/>
      <c r="AN29" s="10"/>
    </row>
    <row r="30" spans="1:40" s="7" customFormat="1" ht="15">
      <c r="A30" s="1047"/>
      <c r="B30" s="186">
        <v>23</v>
      </c>
      <c r="C30" s="205" t="s">
        <v>330</v>
      </c>
      <c r="D30" s="226">
        <f>'Fin. Data'!D27</f>
        <v>-5338.1</v>
      </c>
      <c r="E30" s="225">
        <f>'Fin. Data'!C27</f>
        <v>-641.6</v>
      </c>
      <c r="F30" s="595">
        <f>'Fin. Data'!B27</f>
        <v>-641.6</v>
      </c>
      <c r="G30" s="582">
        <f>-$D$64*G6</f>
        <v>-947.29676155225695</v>
      </c>
      <c r="H30" s="582">
        <f t="shared" ref="H30:J30" si="50">-$D$64*H6</f>
        <v>-983.17011914192335</v>
      </c>
      <c r="I30" s="582">
        <f t="shared" si="50"/>
        <v>-1043.9011581659713</v>
      </c>
      <c r="J30" s="582">
        <f t="shared" si="50"/>
        <v>-1106.5352276559295</v>
      </c>
      <c r="K30" s="262">
        <f>-$E$64*K6</f>
        <v>-930.01496603294891</v>
      </c>
      <c r="L30" s="262">
        <f t="shared" ref="L30:AF30" si="51">-$E$64*L6</f>
        <v>-985.81586399492585</v>
      </c>
      <c r="M30" s="262">
        <f t="shared" si="51"/>
        <v>-1044.9648158346215</v>
      </c>
      <c r="N30" s="262">
        <f t="shared" si="51"/>
        <v>-1139.0116492597374</v>
      </c>
      <c r="O30" s="262">
        <f t="shared" si="51"/>
        <v>-1230.1325812005166</v>
      </c>
      <c r="P30" s="262">
        <f t="shared" si="51"/>
        <v>-1316.2418618845529</v>
      </c>
      <c r="Q30" s="262">
        <f t="shared" si="51"/>
        <v>-1395.216373597626</v>
      </c>
      <c r="R30" s="262">
        <f t="shared" si="51"/>
        <v>-1464.9771922775076</v>
      </c>
      <c r="S30" s="262">
        <f t="shared" si="51"/>
        <v>-1530.9011659299952</v>
      </c>
      <c r="T30" s="262">
        <f t="shared" si="51"/>
        <v>-1595.1990148990553</v>
      </c>
      <c r="U30" s="262">
        <f t="shared" si="51"/>
        <v>-1657.4117764801183</v>
      </c>
      <c r="V30" s="262">
        <f t="shared" si="51"/>
        <v>-1715.4211886569224</v>
      </c>
      <c r="W30" s="262">
        <f t="shared" si="51"/>
        <v>-1773.7455090712576</v>
      </c>
      <c r="X30" s="262">
        <f t="shared" si="51"/>
        <v>-1832.279110870609</v>
      </c>
      <c r="Y30" s="262">
        <f t="shared" si="51"/>
        <v>-1890.9120424184684</v>
      </c>
      <c r="Z30" s="262">
        <f t="shared" si="51"/>
        <v>-1949.5303157334406</v>
      </c>
      <c r="AA30" s="262">
        <f t="shared" si="51"/>
        <v>-2008.0162252054438</v>
      </c>
      <c r="AB30" s="262">
        <f t="shared" si="51"/>
        <v>-2066.2486957364013</v>
      </c>
      <c r="AC30" s="262">
        <f t="shared" si="51"/>
        <v>-2124.1036592170203</v>
      </c>
      <c r="AD30" s="262">
        <f t="shared" si="51"/>
        <v>-2181.4544580158799</v>
      </c>
      <c r="AE30" s="262">
        <f t="shared" si="51"/>
        <v>-2238.1722739242928</v>
      </c>
      <c r="AF30" s="262">
        <f t="shared" si="51"/>
        <v>-2294.1265807723998</v>
      </c>
      <c r="AG30" s="389"/>
      <c r="AK30" s="10"/>
      <c r="AL30" s="10"/>
      <c r="AM30" s="10"/>
      <c r="AN30" s="10"/>
    </row>
    <row r="31" spans="1:40" s="3" customFormat="1" ht="15">
      <c r="A31" s="1047"/>
      <c r="B31" s="186">
        <v>24</v>
      </c>
      <c r="C31" s="205" t="s">
        <v>331</v>
      </c>
      <c r="D31" s="292">
        <f>Inputs!D75</f>
        <v>-2854.5999999999995</v>
      </c>
      <c r="E31" s="291">
        <f>Inputs!C75</f>
        <v>-10475.000000000002</v>
      </c>
      <c r="F31" s="598">
        <f>Inputs!B75</f>
        <v>4746</v>
      </c>
      <c r="G31" s="582">
        <f>(1+G5)*AVERAGE(D31:F31)</f>
        <v>-3349.5675547536789</v>
      </c>
      <c r="H31" s="259">
        <f t="shared" ref="H31:AF31" si="52">(1+H5)*AVERAGE(E31:G31)</f>
        <v>-3140.7885070845323</v>
      </c>
      <c r="I31" s="259">
        <f>(1+I5)*AVERAGE(G31:H31)</f>
        <v>-3445.634726864806</v>
      </c>
      <c r="J31" s="349">
        <f t="shared" si="52"/>
        <v>-3510.7167453417328</v>
      </c>
      <c r="K31" s="373">
        <f t="shared" si="52"/>
        <v>-3567.6561260161784</v>
      </c>
      <c r="L31" s="374">
        <f t="shared" si="52"/>
        <v>-3718.48268470536</v>
      </c>
      <c r="M31" s="374">
        <f t="shared" si="52"/>
        <v>-3814.8889631423554</v>
      </c>
      <c r="N31" s="374">
        <f t="shared" si="52"/>
        <v>-4033.3734245038818</v>
      </c>
      <c r="O31" s="374">
        <f t="shared" si="52"/>
        <v>-4164.0282260465756</v>
      </c>
      <c r="P31" s="374">
        <f t="shared" si="52"/>
        <v>-4284.3836522171032</v>
      </c>
      <c r="Q31" s="374">
        <f t="shared" si="52"/>
        <v>-4410.2308069778719</v>
      </c>
      <c r="R31" s="374">
        <f t="shared" si="52"/>
        <v>-4500.5249398345431</v>
      </c>
      <c r="S31" s="374">
        <f t="shared" si="52"/>
        <v>-4596.3068906619483</v>
      </c>
      <c r="T31" s="374">
        <f t="shared" si="52"/>
        <v>-4691.4530894160953</v>
      </c>
      <c r="U31" s="374">
        <f t="shared" si="52"/>
        <v>-4775.3426772630592</v>
      </c>
      <c r="V31" s="374">
        <f t="shared" si="52"/>
        <v>-4851.7704167826805</v>
      </c>
      <c r="W31" s="374">
        <f t="shared" si="52"/>
        <v>-4935.1324778998469</v>
      </c>
      <c r="X31" s="374">
        <f t="shared" si="52"/>
        <v>-5014.2665586065968</v>
      </c>
      <c r="Y31" s="374">
        <f t="shared" si="52"/>
        <v>-5091.6022919314591</v>
      </c>
      <c r="Z31" s="374">
        <f t="shared" si="52"/>
        <v>-5169.0907898731584</v>
      </c>
      <c r="AA31" s="374">
        <f t="shared" si="52"/>
        <v>-5244.4028098745175</v>
      </c>
      <c r="AB31" s="374">
        <f t="shared" si="52"/>
        <v>-5318.2478908459425</v>
      </c>
      <c r="AC31" s="374">
        <f t="shared" si="52"/>
        <v>-5390.743417443412</v>
      </c>
      <c r="AD31" s="374">
        <f t="shared" si="52"/>
        <v>-5461.3785864514321</v>
      </c>
      <c r="AE31" s="374">
        <f t="shared" si="52"/>
        <v>-5530.2665040013499</v>
      </c>
      <c r="AF31" s="587">
        <f t="shared" si="52"/>
        <v>-5597.3160735311985</v>
      </c>
      <c r="AG31" s="389"/>
      <c r="AH31" s="396"/>
      <c r="AI31" s="396"/>
      <c r="AJ31" s="396"/>
      <c r="AK31" s="394"/>
      <c r="AL31" s="394"/>
      <c r="AM31" s="394"/>
      <c r="AN31" s="394"/>
    </row>
    <row r="32" spans="1:40" s="7" customFormat="1" ht="16.5" customHeight="1">
      <c r="A32" s="1047"/>
      <c r="B32" s="187">
        <v>25</v>
      </c>
      <c r="C32" s="211" t="s">
        <v>332</v>
      </c>
      <c r="D32" s="343">
        <f t="shared" ref="D32:AF32" si="53">D27+D28+D29+D30+D31</f>
        <v>-9092.2000000000007</v>
      </c>
      <c r="E32" s="344">
        <f t="shared" si="53"/>
        <v>-2548.7000000000007</v>
      </c>
      <c r="F32" s="345">
        <f t="shared" si="53"/>
        <v>3949</v>
      </c>
      <c r="G32" s="588">
        <f>G27+G28+G29+G30+G31</f>
        <v>-1816.8993163059358</v>
      </c>
      <c r="H32" s="589">
        <f t="shared" si="53"/>
        <v>-906.72078327039617</v>
      </c>
      <c r="I32" s="589">
        <f t="shared" si="53"/>
        <v>-435.31137975440015</v>
      </c>
      <c r="J32" s="590">
        <f t="shared" si="53"/>
        <v>415.20394461530441</v>
      </c>
      <c r="K32" s="591">
        <f t="shared" si="53"/>
        <v>1692.143350333015</v>
      </c>
      <c r="L32" s="589">
        <f t="shared" si="53"/>
        <v>2058.0643546507026</v>
      </c>
      <c r="M32" s="589">
        <f t="shared" si="53"/>
        <v>5075.4493413006185</v>
      </c>
      <c r="N32" s="589">
        <f t="shared" si="53"/>
        <v>3597.1182375807089</v>
      </c>
      <c r="O32" s="589">
        <f t="shared" si="53"/>
        <v>3698.8369263324312</v>
      </c>
      <c r="P32" s="589">
        <f t="shared" si="53"/>
        <v>3692.581331379829</v>
      </c>
      <c r="Q32" s="589">
        <f t="shared" si="53"/>
        <v>3546.1271967331486</v>
      </c>
      <c r="R32" s="589">
        <f t="shared" si="53"/>
        <v>3288.413241299223</v>
      </c>
      <c r="S32" s="589">
        <f t="shared" si="53"/>
        <v>3305.667880323831</v>
      </c>
      <c r="T32" s="589">
        <f>T27+T28+T29+T30+T31</f>
        <v>3447.9115434658715</v>
      </c>
      <c r="U32" s="589">
        <f t="shared" si="53"/>
        <v>-3551.2821873547791</v>
      </c>
      <c r="V32" s="589">
        <f t="shared" si="53"/>
        <v>-4059.3579479650584</v>
      </c>
      <c r="W32" s="589">
        <f t="shared" si="53"/>
        <v>-4283.9429162980723</v>
      </c>
      <c r="X32" s="589">
        <f t="shared" si="53"/>
        <v>-4503.3462118400921</v>
      </c>
      <c r="Y32" s="589">
        <f t="shared" si="53"/>
        <v>-4718.6918979647025</v>
      </c>
      <c r="Z32" s="589">
        <f t="shared" si="53"/>
        <v>-4930.5357221821323</v>
      </c>
      <c r="AA32" s="589">
        <f t="shared" si="53"/>
        <v>-5135.0649161807733</v>
      </c>
      <c r="AB32" s="589">
        <f t="shared" si="53"/>
        <v>-5331.4194490466671</v>
      </c>
      <c r="AC32" s="589">
        <f t="shared" si="53"/>
        <v>-5518.0636834656843</v>
      </c>
      <c r="AD32" s="589">
        <f t="shared" si="53"/>
        <v>-5692.7533947748934</v>
      </c>
      <c r="AE32" s="589">
        <f t="shared" si="53"/>
        <v>-5853.7913624440071</v>
      </c>
      <c r="AF32" s="592">
        <f t="shared" si="53"/>
        <v>-5999.2031695555215</v>
      </c>
      <c r="AG32" s="389"/>
      <c r="AK32" s="10"/>
      <c r="AL32" s="10"/>
      <c r="AM32" s="10"/>
      <c r="AN32" s="10"/>
    </row>
    <row r="33" spans="1:40">
      <c r="A33" s="1034"/>
      <c r="B33" s="1035"/>
      <c r="C33" s="1035"/>
      <c r="D33" s="1035"/>
      <c r="E33" s="1035"/>
      <c r="F33" s="1035"/>
      <c r="G33" s="1036"/>
      <c r="H33" s="1036"/>
      <c r="I33" s="1036"/>
      <c r="J33" s="1036"/>
      <c r="K33" s="1036"/>
      <c r="L33" s="1036"/>
      <c r="M33" s="1036"/>
      <c r="N33" s="1036"/>
      <c r="O33" s="1036"/>
      <c r="P33" s="1036"/>
      <c r="Q33" s="1036"/>
      <c r="R33" s="1036"/>
      <c r="S33" s="1036"/>
      <c r="T33" s="1036"/>
      <c r="U33" s="1036"/>
      <c r="V33" s="1036"/>
      <c r="W33" s="1036"/>
      <c r="X33" s="1036"/>
      <c r="Y33" s="1036"/>
      <c r="Z33" s="1036"/>
      <c r="AA33" s="1036"/>
      <c r="AB33" s="1036"/>
      <c r="AC33" s="1036"/>
      <c r="AD33" s="1036"/>
      <c r="AE33" s="1036"/>
      <c r="AF33" s="1037"/>
      <c r="AG33" s="7"/>
      <c r="AH33" s="7"/>
      <c r="AI33" s="7"/>
      <c r="AJ33" s="7"/>
      <c r="AK33" s="10"/>
      <c r="AL33" s="10"/>
      <c r="AM33" s="10"/>
      <c r="AN33" s="10"/>
    </row>
    <row r="34" spans="1:40" ht="15">
      <c r="A34" s="1059" t="s">
        <v>333</v>
      </c>
      <c r="B34" s="186">
        <v>26</v>
      </c>
      <c r="C34" s="190" t="s">
        <v>334</v>
      </c>
      <c r="D34" s="339">
        <f>D22+D26+D27+D28+D31</f>
        <v>16206.3</v>
      </c>
      <c r="E34" s="340">
        <f t="shared" ref="E34:AF34" si="54">E22+E26+E27+E28+E31</f>
        <v>-6176.8000000000011</v>
      </c>
      <c r="F34" s="369">
        <f t="shared" si="54"/>
        <v>4195.0000000000009</v>
      </c>
      <c r="G34" s="460">
        <f t="shared" si="54"/>
        <v>-2887.7724996242246</v>
      </c>
      <c r="H34" s="341">
        <f>H22+H26+H27+H28+H31</f>
        <v>-3421.4769136747791</v>
      </c>
      <c r="I34" s="341">
        <f t="shared" si="54"/>
        <v>-4177.2819985296646</v>
      </c>
      <c r="J34" s="342">
        <f t="shared" si="54"/>
        <v>-3920.9205450874538</v>
      </c>
      <c r="K34" s="368">
        <f t="shared" si="54"/>
        <v>-764.45519008675046</v>
      </c>
      <c r="L34" s="341">
        <f t="shared" si="54"/>
        <v>214.96992692177173</v>
      </c>
      <c r="M34" s="341">
        <f t="shared" si="54"/>
        <v>4188.5642566191818</v>
      </c>
      <c r="N34" s="341">
        <f t="shared" si="54"/>
        <v>5810.8358829062327</v>
      </c>
      <c r="O34" s="341">
        <f t="shared" si="54"/>
        <v>9390.59340929877</v>
      </c>
      <c r="P34" s="341">
        <f t="shared" si="54"/>
        <v>12762.839206298006</v>
      </c>
      <c r="Q34" s="341">
        <f t="shared" si="54"/>
        <v>15690.683289063019</v>
      </c>
      <c r="R34" s="341">
        <f t="shared" si="54"/>
        <v>18401.016322325693</v>
      </c>
      <c r="S34" s="341">
        <f t="shared" si="54"/>
        <v>19170.392812587357</v>
      </c>
      <c r="T34" s="341">
        <f t="shared" si="54"/>
        <v>20832.026220130818</v>
      </c>
      <c r="U34" s="341">
        <f t="shared" si="54"/>
        <v>16744.642865342776</v>
      </c>
      <c r="V34" s="341">
        <f t="shared" si="54"/>
        <v>18591.327827770299</v>
      </c>
      <c r="W34" s="341">
        <f t="shared" si="54"/>
        <v>20177.059556600521</v>
      </c>
      <c r="X34" s="341">
        <f t="shared" si="54"/>
        <v>22579.410075529704</v>
      </c>
      <c r="Y34" s="341">
        <f t="shared" si="54"/>
        <v>20980.219637364866</v>
      </c>
      <c r="Z34" s="341">
        <f t="shared" si="54"/>
        <v>20407.955351852303</v>
      </c>
      <c r="AA34" s="341">
        <f t="shared" si="54"/>
        <v>19859.50289998317</v>
      </c>
      <c r="AB34" s="341">
        <f t="shared" si="54"/>
        <v>20128.151268301743</v>
      </c>
      <c r="AC34" s="341">
        <f t="shared" si="54"/>
        <v>21319.506260087972</v>
      </c>
      <c r="AD34" s="341">
        <f t="shared" si="54"/>
        <v>22066.714082753595</v>
      </c>
      <c r="AE34" s="341">
        <f t="shared" si="54"/>
        <v>22841.008182612619</v>
      </c>
      <c r="AF34" s="342">
        <f t="shared" si="54"/>
        <v>23655.902258017792</v>
      </c>
      <c r="AG34" s="389"/>
      <c r="AH34" s="7"/>
      <c r="AI34" s="7"/>
      <c r="AJ34" s="7"/>
      <c r="AK34" s="10"/>
      <c r="AL34" s="10"/>
      <c r="AM34" s="10"/>
      <c r="AN34" s="10"/>
    </row>
    <row r="35" spans="1:40" s="3" customFormat="1" ht="15">
      <c r="A35" s="1059"/>
      <c r="B35" s="186">
        <v>27</v>
      </c>
      <c r="C35" s="190" t="s">
        <v>335</v>
      </c>
      <c r="D35" s="276">
        <f>-1*(D29+D30)</f>
        <v>6145.4000000000005</v>
      </c>
      <c r="E35" s="274">
        <f t="shared" ref="E35:AF35" si="55">-1*(E29+E30)</f>
        <v>998.90000000000009</v>
      </c>
      <c r="F35" s="277">
        <f>-1*(F29+F30)</f>
        <v>1323.2</v>
      </c>
      <c r="G35" s="283">
        <f t="shared" si="55"/>
        <v>1363.636761552257</v>
      </c>
      <c r="H35" s="240">
        <f t="shared" si="55"/>
        <v>1415.2765761858682</v>
      </c>
      <c r="I35" s="240">
        <f t="shared" si="55"/>
        <v>1502.6991038895987</v>
      </c>
      <c r="J35" s="284">
        <f t="shared" si="55"/>
        <v>1592.8610501229746</v>
      </c>
      <c r="K35" s="240">
        <f t="shared" si="55"/>
        <v>1445.5203378480167</v>
      </c>
      <c r="L35" s="240">
        <f t="shared" si="55"/>
        <v>1532.2515581188977</v>
      </c>
      <c r="M35" s="240">
        <f t="shared" si="55"/>
        <v>1624.1866516060318</v>
      </c>
      <c r="N35" s="240">
        <f t="shared" si="55"/>
        <v>1770.3634502505745</v>
      </c>
      <c r="O35" s="240">
        <f t="shared" si="55"/>
        <v>1911.9925262706206</v>
      </c>
      <c r="P35" s="240">
        <f t="shared" si="55"/>
        <v>2045.8320031095643</v>
      </c>
      <c r="Q35" s="240">
        <f t="shared" si="55"/>
        <v>2168.581923296138</v>
      </c>
      <c r="R35" s="240">
        <f t="shared" si="55"/>
        <v>2277.0110194609451</v>
      </c>
      <c r="S35" s="240">
        <f t="shared" si="55"/>
        <v>2379.4765153366875</v>
      </c>
      <c r="T35" s="240">
        <f t="shared" si="55"/>
        <v>2479.4145289808289</v>
      </c>
      <c r="U35" s="240">
        <f t="shared" si="55"/>
        <v>2576.1116956110809</v>
      </c>
      <c r="V35" s="240">
        <f t="shared" si="55"/>
        <v>2666.2756049574687</v>
      </c>
      <c r="W35" s="240">
        <f t="shared" si="55"/>
        <v>2756.9289755260224</v>
      </c>
      <c r="X35" s="240">
        <f t="shared" si="55"/>
        <v>2847.9076317183808</v>
      </c>
      <c r="Y35" s="240">
        <f t="shared" si="55"/>
        <v>2939.0406759333691</v>
      </c>
      <c r="Z35" s="240">
        <f t="shared" si="55"/>
        <v>3030.150936887303</v>
      </c>
      <c r="AA35" s="240">
        <f t="shared" si="55"/>
        <v>3121.0554649939222</v>
      </c>
      <c r="AB35" s="240">
        <f t="shared" si="55"/>
        <v>3211.5660734787452</v>
      </c>
      <c r="AC35" s="240">
        <f t="shared" si="55"/>
        <v>3301.4899235361499</v>
      </c>
      <c r="AD35" s="240">
        <f t="shared" si="55"/>
        <v>3390.630151471626</v>
      </c>
      <c r="AE35" s="240">
        <f t="shared" si="55"/>
        <v>3478.7865354098885</v>
      </c>
      <c r="AF35" s="284">
        <f t="shared" si="55"/>
        <v>3565.7561987951353</v>
      </c>
      <c r="AG35" s="389"/>
      <c r="AH35" s="396"/>
      <c r="AI35" s="396"/>
      <c r="AJ35" s="396"/>
      <c r="AK35" s="394"/>
      <c r="AL35" s="394"/>
      <c r="AM35" s="394"/>
      <c r="AN35" s="394"/>
    </row>
    <row r="36" spans="1:40" s="7" customFormat="1" ht="15.75" thickBot="1">
      <c r="A36" s="1059"/>
      <c r="B36" s="187">
        <v>28</v>
      </c>
      <c r="C36" s="185" t="s">
        <v>336</v>
      </c>
      <c r="D36" s="326">
        <f>D34-D35</f>
        <v>10060.899999999998</v>
      </c>
      <c r="E36" s="327">
        <f>E34-E35</f>
        <v>-7175.7000000000007</v>
      </c>
      <c r="F36" s="278">
        <f>F34-F35</f>
        <v>2871.8000000000011</v>
      </c>
      <c r="G36" s="285">
        <f>G34-G35</f>
        <v>-4251.4092611764818</v>
      </c>
      <c r="H36" s="286">
        <f t="shared" ref="H36:AF36" si="56">H34-H35</f>
        <v>-4836.7534898606473</v>
      </c>
      <c r="I36" s="286">
        <f t="shared" si="56"/>
        <v>-5679.9811024192632</v>
      </c>
      <c r="J36" s="287">
        <f t="shared" si="56"/>
        <v>-5513.7815952104283</v>
      </c>
      <c r="K36" s="286">
        <f t="shared" si="56"/>
        <v>-2209.9755279347673</v>
      </c>
      <c r="L36" s="286">
        <f t="shared" si="56"/>
        <v>-1317.281631197126</v>
      </c>
      <c r="M36" s="286">
        <f t="shared" si="56"/>
        <v>2564.3776050131501</v>
      </c>
      <c r="N36" s="286">
        <f t="shared" si="56"/>
        <v>4040.4724326556579</v>
      </c>
      <c r="O36" s="286">
        <f t="shared" si="56"/>
        <v>7478.6008830281498</v>
      </c>
      <c r="P36" s="286">
        <f t="shared" si="56"/>
        <v>10717.007203188441</v>
      </c>
      <c r="Q36" s="286">
        <f t="shared" si="56"/>
        <v>13522.101365766881</v>
      </c>
      <c r="R36" s="286">
        <f t="shared" si="56"/>
        <v>16124.005302864749</v>
      </c>
      <c r="S36" s="286">
        <f t="shared" si="56"/>
        <v>16790.916297250671</v>
      </c>
      <c r="T36" s="286">
        <f t="shared" si="56"/>
        <v>18352.611691149988</v>
      </c>
      <c r="U36" s="286">
        <f t="shared" si="56"/>
        <v>14168.531169731694</v>
      </c>
      <c r="V36" s="286">
        <f t="shared" si="56"/>
        <v>15925.05222281283</v>
      </c>
      <c r="W36" s="286">
        <f t="shared" si="56"/>
        <v>17420.1305810745</v>
      </c>
      <c r="X36" s="286">
        <f t="shared" si="56"/>
        <v>19731.502443811325</v>
      </c>
      <c r="Y36" s="286">
        <f t="shared" si="56"/>
        <v>18041.178961431498</v>
      </c>
      <c r="Z36" s="286">
        <f t="shared" si="56"/>
        <v>17377.804414965001</v>
      </c>
      <c r="AA36" s="286">
        <f t="shared" si="56"/>
        <v>16738.447434989248</v>
      </c>
      <c r="AB36" s="286">
        <f t="shared" si="56"/>
        <v>16916.585194822997</v>
      </c>
      <c r="AC36" s="286">
        <f t="shared" si="56"/>
        <v>18018.016336551824</v>
      </c>
      <c r="AD36" s="286">
        <f t="shared" si="56"/>
        <v>18676.08393128197</v>
      </c>
      <c r="AE36" s="286">
        <f t="shared" si="56"/>
        <v>19362.221647202728</v>
      </c>
      <c r="AF36" s="287">
        <f t="shared" si="56"/>
        <v>20090.146059222658</v>
      </c>
      <c r="AG36" s="389"/>
      <c r="AK36" s="10"/>
      <c r="AL36" s="10"/>
      <c r="AM36" s="10"/>
      <c r="AN36" s="10"/>
    </row>
    <row r="37" spans="1:40" ht="15.75" thickBot="1">
      <c r="A37" s="195"/>
      <c r="B37" s="193"/>
      <c r="C37" s="194"/>
      <c r="D37" s="346"/>
      <c r="E37" s="346"/>
      <c r="F37" s="346"/>
      <c r="G37" s="346"/>
      <c r="H37" s="346"/>
      <c r="I37" s="346"/>
      <c r="J37" s="346"/>
      <c r="K37" s="346"/>
      <c r="L37" s="346"/>
      <c r="M37" s="346"/>
      <c r="N37" s="346"/>
      <c r="O37" s="346"/>
      <c r="P37" s="346"/>
      <c r="Q37" s="346"/>
      <c r="R37" s="346"/>
      <c r="S37" s="346"/>
      <c r="T37" s="346"/>
      <c r="U37" s="346"/>
      <c r="V37" s="346"/>
      <c r="W37" s="346"/>
      <c r="X37" s="346"/>
      <c r="Y37" s="346"/>
      <c r="Z37" s="346"/>
      <c r="AA37" s="346"/>
      <c r="AB37" s="346"/>
      <c r="AC37" s="346"/>
      <c r="AD37" s="346"/>
      <c r="AE37" s="346"/>
      <c r="AF37" s="347"/>
      <c r="AG37" s="389"/>
      <c r="AH37" s="7"/>
      <c r="AI37" s="7"/>
      <c r="AJ37" s="7"/>
      <c r="AK37" s="10"/>
      <c r="AL37" s="10"/>
      <c r="AM37" s="10"/>
      <c r="AN37" s="10"/>
    </row>
    <row r="38" spans="1:40" ht="15">
      <c r="A38" s="1060" t="s">
        <v>337</v>
      </c>
      <c r="B38" s="188">
        <v>29</v>
      </c>
      <c r="C38" s="190" t="s">
        <v>338</v>
      </c>
      <c r="D38" s="695">
        <v>11180</v>
      </c>
      <c r="E38" s="275">
        <v>17215.099999999999</v>
      </c>
      <c r="F38" s="687">
        <v>20415.7</v>
      </c>
      <c r="G38" s="280">
        <f>F38*(1.05)</f>
        <v>21436.485000000001</v>
      </c>
      <c r="H38" s="280">
        <f t="shared" ref="H38:S38" si="57">G38*(1.05)</f>
        <v>22508.309250000002</v>
      </c>
      <c r="I38" s="280">
        <f t="shared" si="57"/>
        <v>23633.724712500003</v>
      </c>
      <c r="J38" s="280">
        <f t="shared" si="57"/>
        <v>24815.410948125005</v>
      </c>
      <c r="K38" s="280">
        <f t="shared" si="57"/>
        <v>26056.181495531258</v>
      </c>
      <c r="L38" s="280">
        <f t="shared" si="57"/>
        <v>27358.990570307822</v>
      </c>
      <c r="M38" s="280">
        <f t="shared" si="57"/>
        <v>28726.940098823216</v>
      </c>
      <c r="N38" s="280">
        <f t="shared" si="57"/>
        <v>30163.287103764378</v>
      </c>
      <c r="O38" s="280">
        <f t="shared" si="57"/>
        <v>31671.451458952597</v>
      </c>
      <c r="P38" s="280">
        <f t="shared" si="57"/>
        <v>33255.024031900226</v>
      </c>
      <c r="Q38" s="280">
        <f t="shared" si="57"/>
        <v>34917.775233495238</v>
      </c>
      <c r="R38" s="280">
        <f t="shared" si="57"/>
        <v>36663.663995170005</v>
      </c>
      <c r="S38" s="280">
        <f t="shared" si="57"/>
        <v>38496.847194928509</v>
      </c>
      <c r="T38" s="280">
        <f>S38*(1.04)</f>
        <v>40036.721082725649</v>
      </c>
      <c r="U38" s="280">
        <f t="shared" ref="U38:AF38" si="58">T38*(1.04)</f>
        <v>41638.189926034676</v>
      </c>
      <c r="V38" s="280">
        <f t="shared" si="58"/>
        <v>43303.717523076062</v>
      </c>
      <c r="W38" s="280">
        <f t="shared" si="58"/>
        <v>45035.866223999103</v>
      </c>
      <c r="X38" s="280">
        <f t="shared" si="58"/>
        <v>46837.300872959066</v>
      </c>
      <c r="Y38" s="280">
        <f t="shared" si="58"/>
        <v>48710.792907877432</v>
      </c>
      <c r="Z38" s="280">
        <f t="shared" si="58"/>
        <v>50659.224624192531</v>
      </c>
      <c r="AA38" s="280">
        <f t="shared" si="58"/>
        <v>52685.593609160234</v>
      </c>
      <c r="AB38" s="280">
        <f t="shared" si="58"/>
        <v>54793.017353526644</v>
      </c>
      <c r="AC38" s="280">
        <f t="shared" si="58"/>
        <v>56984.738047667714</v>
      </c>
      <c r="AD38" s="280">
        <f t="shared" si="58"/>
        <v>59264.127569574426</v>
      </c>
      <c r="AE38" s="280">
        <f t="shared" si="58"/>
        <v>61634.692672357407</v>
      </c>
      <c r="AF38" s="280">
        <f t="shared" si="58"/>
        <v>64100.080379251704</v>
      </c>
      <c r="AG38" s="390">
        <f>SUM(G38:AF38)</f>
        <v>1045388.153885901</v>
      </c>
      <c r="AH38" s="7"/>
      <c r="AI38" s="7"/>
      <c r="AJ38" s="7"/>
      <c r="AK38" s="10"/>
      <c r="AL38" s="10"/>
      <c r="AM38" s="10"/>
      <c r="AN38" s="10"/>
    </row>
    <row r="39" spans="1:40" ht="15">
      <c r="A39" s="1059"/>
      <c r="B39" s="188">
        <v>30</v>
      </c>
      <c r="C39" s="190" t="s">
        <v>339</v>
      </c>
      <c r="D39" s="276">
        <v>0</v>
      </c>
      <c r="E39" s="274">
        <v>0</v>
      </c>
      <c r="F39" s="688">
        <v>0</v>
      </c>
      <c r="G39" s="281">
        <f>F39-G10</f>
        <v>0</v>
      </c>
      <c r="H39" s="279">
        <f t="shared" ref="H39:AF39" si="59">G39-H10</f>
        <v>0</v>
      </c>
      <c r="I39" s="279">
        <f t="shared" si="59"/>
        <v>0</v>
      </c>
      <c r="J39" s="282">
        <f t="shared" si="59"/>
        <v>0</v>
      </c>
      <c r="K39" s="370">
        <f t="shared" si="59"/>
        <v>0</v>
      </c>
      <c r="L39" s="279">
        <f t="shared" si="59"/>
        <v>0</v>
      </c>
      <c r="M39" s="279">
        <f t="shared" si="59"/>
        <v>0</v>
      </c>
      <c r="N39" s="279">
        <f t="shared" si="59"/>
        <v>0</v>
      </c>
      <c r="O39" s="279">
        <f t="shared" si="59"/>
        <v>0</v>
      </c>
      <c r="P39" s="279">
        <f t="shared" si="59"/>
        <v>0</v>
      </c>
      <c r="Q39" s="279">
        <f t="shared" si="59"/>
        <v>0</v>
      </c>
      <c r="R39" s="279">
        <f t="shared" si="59"/>
        <v>0</v>
      </c>
      <c r="S39" s="279">
        <f t="shared" si="59"/>
        <v>0</v>
      </c>
      <c r="T39" s="279">
        <f t="shared" si="59"/>
        <v>0</v>
      </c>
      <c r="U39" s="279">
        <f t="shared" si="59"/>
        <v>0</v>
      </c>
      <c r="V39" s="279">
        <f t="shared" si="59"/>
        <v>0</v>
      </c>
      <c r="W39" s="279">
        <f t="shared" si="59"/>
        <v>0</v>
      </c>
      <c r="X39" s="279">
        <f t="shared" si="59"/>
        <v>0</v>
      </c>
      <c r="Y39" s="279">
        <f t="shared" si="59"/>
        <v>0</v>
      </c>
      <c r="Z39" s="279">
        <f t="shared" si="59"/>
        <v>0</v>
      </c>
      <c r="AA39" s="279">
        <f t="shared" si="59"/>
        <v>0</v>
      </c>
      <c r="AB39" s="279">
        <f t="shared" si="59"/>
        <v>0</v>
      </c>
      <c r="AC39" s="279">
        <f t="shared" si="59"/>
        <v>0</v>
      </c>
      <c r="AD39" s="279">
        <f t="shared" si="59"/>
        <v>0</v>
      </c>
      <c r="AE39" s="279">
        <f t="shared" si="59"/>
        <v>0</v>
      </c>
      <c r="AF39" s="282">
        <f t="shared" si="59"/>
        <v>0</v>
      </c>
      <c r="AG39" s="390">
        <f>SUM(G39:AF39)</f>
        <v>0</v>
      </c>
      <c r="AH39" s="7"/>
      <c r="AI39" s="7"/>
      <c r="AJ39" s="7"/>
      <c r="AK39" s="10"/>
      <c r="AL39" s="10"/>
      <c r="AM39" s="10"/>
      <c r="AN39" s="10"/>
    </row>
    <row r="40" spans="1:40" ht="15">
      <c r="A40" s="1059"/>
      <c r="B40" s="188">
        <v>31</v>
      </c>
      <c r="C40" s="190" t="s">
        <v>340</v>
      </c>
      <c r="D40" s="276">
        <v>61861</v>
      </c>
      <c r="E40" s="274">
        <v>69550</v>
      </c>
      <c r="F40" s="688">
        <v>74518.3</v>
      </c>
      <c r="G40" s="281">
        <f>F40*(1+0.05)</f>
        <v>78244.215000000011</v>
      </c>
      <c r="H40" s="281">
        <f>G40*(1+0.04)</f>
        <v>81373.983600000021</v>
      </c>
      <c r="I40" s="281">
        <f t="shared" ref="I40:AF40" si="60">H40*(1+0.04)</f>
        <v>84628.942944000024</v>
      </c>
      <c r="J40" s="281">
        <f t="shared" si="60"/>
        <v>88014.100661760021</v>
      </c>
      <c r="K40" s="281">
        <f t="shared" si="60"/>
        <v>91534.664688230419</v>
      </c>
      <c r="L40" s="281">
        <f t="shared" si="60"/>
        <v>95196.051275759644</v>
      </c>
      <c r="M40" s="281">
        <f t="shared" si="60"/>
        <v>99003.893326790028</v>
      </c>
      <c r="N40" s="281">
        <f t="shared" si="60"/>
        <v>102964.04905986163</v>
      </c>
      <c r="O40" s="281">
        <f t="shared" si="60"/>
        <v>107082.6110222561</v>
      </c>
      <c r="P40" s="281">
        <f t="shared" si="60"/>
        <v>111365.91546314635</v>
      </c>
      <c r="Q40" s="281">
        <f t="shared" si="60"/>
        <v>115820.5520816722</v>
      </c>
      <c r="R40" s="281">
        <f t="shared" si="60"/>
        <v>120453.37416493909</v>
      </c>
      <c r="S40" s="281">
        <f t="shared" si="60"/>
        <v>125271.50913153666</v>
      </c>
      <c r="T40" s="281">
        <f t="shared" si="60"/>
        <v>130282.36949679813</v>
      </c>
      <c r="U40" s="281">
        <f t="shared" si="60"/>
        <v>135493.66427667005</v>
      </c>
      <c r="V40" s="281">
        <f t="shared" si="60"/>
        <v>140913.41084773687</v>
      </c>
      <c r="W40" s="281">
        <f t="shared" si="60"/>
        <v>146549.94728164634</v>
      </c>
      <c r="X40" s="281">
        <f t="shared" si="60"/>
        <v>152411.94517291221</v>
      </c>
      <c r="Y40" s="281">
        <f t="shared" si="60"/>
        <v>158508.4229798287</v>
      </c>
      <c r="Z40" s="281">
        <f t="shared" si="60"/>
        <v>164848.75989902185</v>
      </c>
      <c r="AA40" s="281">
        <f t="shared" si="60"/>
        <v>171442.71029498274</v>
      </c>
      <c r="AB40" s="281">
        <f t="shared" si="60"/>
        <v>178300.41870678205</v>
      </c>
      <c r="AC40" s="281">
        <f t="shared" si="60"/>
        <v>185432.43545505335</v>
      </c>
      <c r="AD40" s="281">
        <f t="shared" si="60"/>
        <v>192849.73287325547</v>
      </c>
      <c r="AE40" s="281">
        <f t="shared" si="60"/>
        <v>200563.7221881857</v>
      </c>
      <c r="AF40" s="281">
        <f t="shared" si="60"/>
        <v>208586.27107571313</v>
      </c>
      <c r="AG40" s="390">
        <f>SUM(G40:AF40)</f>
        <v>3467137.6729685389</v>
      </c>
      <c r="AH40" s="7"/>
      <c r="AI40" s="7"/>
      <c r="AJ40" s="7"/>
      <c r="AK40" s="10"/>
      <c r="AL40" s="10"/>
      <c r="AM40" s="10"/>
      <c r="AN40" s="10"/>
    </row>
    <row r="41" spans="1:40" ht="15.75" thickBot="1">
      <c r="A41" s="1059"/>
      <c r="B41" s="189">
        <v>32</v>
      </c>
      <c r="C41" s="185" t="s">
        <v>341</v>
      </c>
      <c r="D41" s="689">
        <v>26643.1</v>
      </c>
      <c r="E41" s="690">
        <v>30211.5</v>
      </c>
      <c r="F41" s="691">
        <v>-34083</v>
      </c>
      <c r="G41" s="461">
        <f>F41-G9</f>
        <v>-42408.205000000002</v>
      </c>
      <c r="H41" s="462">
        <f t="shared" ref="H41:AF41" si="61">G41-H9</f>
        <v>-51441.052425000002</v>
      </c>
      <c r="I41" s="462">
        <f t="shared" si="61"/>
        <v>-61241.691881125</v>
      </c>
      <c r="J41" s="463">
        <f t="shared" si="61"/>
        <v>-71875.385691020623</v>
      </c>
      <c r="K41" s="464">
        <f t="shared" si="61"/>
        <v>-83040.764191411028</v>
      </c>
      <c r="L41" s="462">
        <f t="shared" si="61"/>
        <v>-94764.411616820958</v>
      </c>
      <c r="M41" s="462">
        <f t="shared" si="61"/>
        <v>-107074.24141350138</v>
      </c>
      <c r="N41" s="462">
        <f t="shared" si="61"/>
        <v>-119999.56270001583</v>
      </c>
      <c r="O41" s="462">
        <f t="shared" si="61"/>
        <v>-133571.150050856</v>
      </c>
      <c r="P41" s="462">
        <f t="shared" si="61"/>
        <v>-147821.31676923818</v>
      </c>
      <c r="Q41" s="462">
        <f t="shared" si="61"/>
        <v>-162783.99182353946</v>
      </c>
      <c r="R41" s="462">
        <f t="shared" si="61"/>
        <v>-178494.80063055581</v>
      </c>
      <c r="S41" s="462">
        <f t="shared" si="61"/>
        <v>-194991.14987792299</v>
      </c>
      <c r="T41" s="462">
        <f t="shared" si="61"/>
        <v>-212312.31658765851</v>
      </c>
      <c r="U41" s="462">
        <f t="shared" si="61"/>
        <v>-230499.54163288081</v>
      </c>
      <c r="V41" s="462">
        <f t="shared" si="61"/>
        <v>-249596.12793036422</v>
      </c>
      <c r="W41" s="462">
        <f t="shared" si="61"/>
        <v>-269647.54354272183</v>
      </c>
      <c r="X41" s="462">
        <f t="shared" si="61"/>
        <v>-290701.52993569733</v>
      </c>
      <c r="Y41" s="462">
        <f t="shared" si="61"/>
        <v>-312808.21564832155</v>
      </c>
      <c r="Z41" s="462">
        <f t="shared" si="61"/>
        <v>-336020.23564657703</v>
      </c>
      <c r="AA41" s="462">
        <f t="shared" si="61"/>
        <v>-360392.85664474528</v>
      </c>
      <c r="AB41" s="462">
        <f t="shared" si="61"/>
        <v>-385984.10869282193</v>
      </c>
      <c r="AC41" s="462">
        <f t="shared" si="61"/>
        <v>-412854.92334330239</v>
      </c>
      <c r="AD41" s="462">
        <f t="shared" si="61"/>
        <v>-441069.27872630692</v>
      </c>
      <c r="AE41" s="462">
        <f t="shared" si="61"/>
        <v>-470694.35187846166</v>
      </c>
      <c r="AF41" s="463">
        <f t="shared" si="61"/>
        <v>-501800.67868822411</v>
      </c>
      <c r="AG41" s="390">
        <f>SUM(G41:AF41)</f>
        <v>-5923889.4329690915</v>
      </c>
      <c r="AH41" s="7"/>
      <c r="AI41" s="7"/>
      <c r="AJ41" s="7"/>
      <c r="AK41" s="10"/>
      <c r="AL41" s="10"/>
      <c r="AM41" s="10"/>
      <c r="AN41" s="10"/>
    </row>
    <row r="42" spans="1:40" s="7" customFormat="1" ht="15.75" thickBot="1">
      <c r="A42" s="1053"/>
      <c r="B42" s="1054"/>
      <c r="C42" s="1054"/>
      <c r="D42" s="1054"/>
      <c r="E42" s="1054"/>
      <c r="F42" s="1054"/>
      <c r="G42" s="1054"/>
      <c r="H42" s="1054"/>
      <c r="I42" s="1054"/>
      <c r="J42" s="1054"/>
      <c r="K42" s="1054"/>
      <c r="L42" s="1054"/>
      <c r="M42" s="1054"/>
      <c r="N42" s="1054"/>
      <c r="O42" s="1054"/>
      <c r="P42" s="1054"/>
      <c r="Q42" s="1054"/>
      <c r="R42" s="1054"/>
      <c r="S42" s="1054"/>
      <c r="T42" s="1054"/>
      <c r="U42" s="1054"/>
      <c r="V42" s="1054"/>
      <c r="W42" s="1054"/>
      <c r="X42" s="1054"/>
      <c r="Y42" s="1054"/>
      <c r="Z42" s="1054"/>
      <c r="AA42" s="1054"/>
      <c r="AB42" s="1054"/>
      <c r="AC42" s="1054"/>
      <c r="AD42" s="1054"/>
      <c r="AE42" s="1054"/>
      <c r="AF42" s="1055"/>
      <c r="AG42" s="389"/>
      <c r="AK42" s="10"/>
      <c r="AL42" s="10"/>
      <c r="AM42" s="10"/>
      <c r="AN42" s="10"/>
    </row>
    <row r="43" spans="1:40" ht="15" customHeight="1">
      <c r="A43" s="1047" t="s">
        <v>342</v>
      </c>
      <c r="B43" s="186">
        <v>33</v>
      </c>
      <c r="C43" s="190" t="s">
        <v>343</v>
      </c>
      <c r="D43" s="454">
        <f>'Fin. Data'!D39</f>
        <v>41910.5</v>
      </c>
      <c r="E43" s="247">
        <f>E36+D43</f>
        <v>34734.800000000003</v>
      </c>
      <c r="F43" s="465">
        <f>F36+E43</f>
        <v>37606.600000000006</v>
      </c>
      <c r="G43" s="466">
        <f>G36+F43</f>
        <v>33355.190738823527</v>
      </c>
      <c r="H43" s="467">
        <f t="shared" ref="H43:AF43" si="62">H36+G43</f>
        <v>28518.43724896288</v>
      </c>
      <c r="I43" s="467">
        <f t="shared" si="62"/>
        <v>22838.456146543616</v>
      </c>
      <c r="J43" s="468">
        <f t="shared" si="62"/>
        <v>17324.674551333188</v>
      </c>
      <c r="K43" s="553">
        <f t="shared" si="62"/>
        <v>15114.699023398422</v>
      </c>
      <c r="L43" s="554">
        <f t="shared" si="62"/>
        <v>13797.417392201296</v>
      </c>
      <c r="M43" s="554">
        <f>M36+L43</f>
        <v>16361.794997214445</v>
      </c>
      <c r="N43" s="554">
        <f t="shared" si="62"/>
        <v>20402.267429870102</v>
      </c>
      <c r="O43" s="554">
        <f t="shared" si="62"/>
        <v>27880.868312898252</v>
      </c>
      <c r="P43" s="554">
        <f t="shared" si="62"/>
        <v>38597.875516086693</v>
      </c>
      <c r="Q43" s="554">
        <f t="shared" si="62"/>
        <v>52119.976881853574</v>
      </c>
      <c r="R43" s="554">
        <f t="shared" si="62"/>
        <v>68243.982184718319</v>
      </c>
      <c r="S43" s="554">
        <f t="shared" si="62"/>
        <v>85034.898481968994</v>
      </c>
      <c r="T43" s="554">
        <f t="shared" si="62"/>
        <v>103387.51017311898</v>
      </c>
      <c r="U43" s="554">
        <f t="shared" si="62"/>
        <v>117556.04134285067</v>
      </c>
      <c r="V43" s="554">
        <f t="shared" si="62"/>
        <v>133481.0935656635</v>
      </c>
      <c r="W43" s="554">
        <f t="shared" si="62"/>
        <v>150901.22414673801</v>
      </c>
      <c r="X43" s="554">
        <f t="shared" si="62"/>
        <v>170632.72659054934</v>
      </c>
      <c r="Y43" s="554">
        <f t="shared" si="62"/>
        <v>188673.90555198083</v>
      </c>
      <c r="Z43" s="554">
        <f t="shared" si="62"/>
        <v>206051.70996694584</v>
      </c>
      <c r="AA43" s="554">
        <f t="shared" si="62"/>
        <v>222790.15740193508</v>
      </c>
      <c r="AB43" s="554">
        <f t="shared" si="62"/>
        <v>239706.74259675806</v>
      </c>
      <c r="AC43" s="554">
        <f t="shared" si="62"/>
        <v>257724.75893330987</v>
      </c>
      <c r="AD43" s="554">
        <f t="shared" si="62"/>
        <v>276400.84286459186</v>
      </c>
      <c r="AE43" s="554">
        <f t="shared" si="62"/>
        <v>295763.0645117946</v>
      </c>
      <c r="AF43" s="555">
        <f t="shared" si="62"/>
        <v>315853.21057101723</v>
      </c>
      <c r="AG43" s="389"/>
      <c r="AH43" s="7"/>
      <c r="AI43" s="7"/>
      <c r="AJ43" s="7"/>
      <c r="AK43" s="10"/>
      <c r="AL43" s="10"/>
      <c r="AM43" s="10"/>
      <c r="AN43" s="10"/>
    </row>
    <row r="44" spans="1:40" ht="15">
      <c r="A44" s="1047"/>
      <c r="B44" s="186">
        <v>34</v>
      </c>
      <c r="C44" s="190" t="s">
        <v>290</v>
      </c>
      <c r="D44" s="454">
        <f>'Fin. Data'!D58</f>
        <v>48289.9</v>
      </c>
      <c r="E44" s="246">
        <f>'Fin. Data'!C58</f>
        <v>60783.9</v>
      </c>
      <c r="F44" s="455">
        <f>'Fin. Data'!B58</f>
        <v>57926.1</v>
      </c>
      <c r="G44" s="552">
        <f>F44*(1+0.05)</f>
        <v>60822.404999999999</v>
      </c>
      <c r="H44" s="552">
        <f>G44*(1+0.06)</f>
        <v>64471.749300000003</v>
      </c>
      <c r="I44" s="552">
        <f>H44*(1+0.07)</f>
        <v>68984.771751000007</v>
      </c>
      <c r="J44" s="552">
        <f>I44*(1+0.08)</f>
        <v>74503.55349108002</v>
      </c>
      <c r="K44" s="552">
        <f>J44*(1+0.09)</f>
        <v>81208.87330527723</v>
      </c>
      <c r="L44" s="552">
        <f>K44*(1+0.09)</f>
        <v>88517.67190275219</v>
      </c>
      <c r="M44" s="552">
        <f t="shared" ref="M44:AF44" si="63">M12*$E$67</f>
        <v>99032.196858801195</v>
      </c>
      <c r="N44" s="552">
        <f t="shared" si="63"/>
        <v>108433.05197113636</v>
      </c>
      <c r="O44" s="552">
        <f t="shared" si="63"/>
        <v>118207.90964978599</v>
      </c>
      <c r="P44" s="552">
        <f t="shared" si="63"/>
        <v>128230.70663649248</v>
      </c>
      <c r="Q44" s="552">
        <f t="shared" si="63"/>
        <v>138355.64656349964</v>
      </c>
      <c r="R44" s="552">
        <f t="shared" si="63"/>
        <v>148421.59576409435</v>
      </c>
      <c r="S44" s="552">
        <f t="shared" si="63"/>
        <v>158703.04705041682</v>
      </c>
      <c r="T44" s="552">
        <f t="shared" si="63"/>
        <v>169321.82621227961</v>
      </c>
      <c r="U44" s="552">
        <f t="shared" si="63"/>
        <v>173121.99839779898</v>
      </c>
      <c r="V44" s="552">
        <f t="shared" si="63"/>
        <v>176580.68647157407</v>
      </c>
      <c r="W44" s="552">
        <f t="shared" si="63"/>
        <v>179988.80500870186</v>
      </c>
      <c r="X44" s="552">
        <f t="shared" si="63"/>
        <v>183347.63298718675</v>
      </c>
      <c r="Y44" s="552">
        <f t="shared" si="63"/>
        <v>186659.58405708687</v>
      </c>
      <c r="Z44" s="552">
        <f t="shared" si="63"/>
        <v>189928.2900616652</v>
      </c>
      <c r="AA44" s="552">
        <f t="shared" si="63"/>
        <v>193158.68342035287</v>
      </c>
      <c r="AB44" s="552">
        <f t="shared" si="63"/>
        <v>196357.07793563089</v>
      </c>
      <c r="AC44" s="552">
        <f t="shared" si="63"/>
        <v>199531.24759314477</v>
      </c>
      <c r="AD44" s="552">
        <f t="shared" si="63"/>
        <v>202690.50293629293</v>
      </c>
      <c r="AE44" s="552">
        <f t="shared" si="63"/>
        <v>205845.76461326017</v>
      </c>
      <c r="AF44" s="693">
        <f t="shared" si="63"/>
        <v>209009.63371603098</v>
      </c>
      <c r="AG44" s="393"/>
      <c r="AH44" s="10"/>
      <c r="AI44" s="10"/>
      <c r="AJ44" s="10"/>
      <c r="AK44" s="10"/>
      <c r="AL44" s="10"/>
      <c r="AM44" s="10"/>
      <c r="AN44" s="10"/>
    </row>
    <row r="45" spans="1:40" ht="15">
      <c r="A45" s="1047"/>
      <c r="B45" s="186">
        <v>35</v>
      </c>
      <c r="C45" s="190" t="s">
        <v>344</v>
      </c>
      <c r="D45" s="456"/>
      <c r="E45" s="335"/>
      <c r="F45" s="457">
        <f>1/((1+$F$50)^G50)</f>
        <v>1</v>
      </c>
      <c r="G45" s="288">
        <f t="shared" ref="G45:AF45" si="64">1/((1+$F$50)^G49)</f>
        <v>0.92592592592592582</v>
      </c>
      <c r="H45" s="241">
        <f t="shared" si="64"/>
        <v>0.85733882030178321</v>
      </c>
      <c r="I45" s="241">
        <f t="shared" si="64"/>
        <v>0.79383224102016958</v>
      </c>
      <c r="J45" s="289">
        <f t="shared" si="64"/>
        <v>0.73502985279645328</v>
      </c>
      <c r="K45" s="288">
        <f t="shared" si="64"/>
        <v>0.68058319703375303</v>
      </c>
      <c r="L45" s="241">
        <f t="shared" si="64"/>
        <v>0.63016962688310452</v>
      </c>
      <c r="M45" s="241">
        <f t="shared" si="64"/>
        <v>0.58349039526213387</v>
      </c>
      <c r="N45" s="241">
        <f t="shared" si="64"/>
        <v>0.54026888450197574</v>
      </c>
      <c r="O45" s="241">
        <f t="shared" si="64"/>
        <v>0.50024896713145905</v>
      </c>
      <c r="P45" s="241">
        <f t="shared" si="64"/>
        <v>0.46319348808468425</v>
      </c>
      <c r="Q45" s="241">
        <f t="shared" si="64"/>
        <v>0.42888285933767062</v>
      </c>
      <c r="R45" s="241">
        <f t="shared" si="64"/>
        <v>0.39711375864599124</v>
      </c>
      <c r="S45" s="241">
        <f t="shared" si="64"/>
        <v>0.36769792467221413</v>
      </c>
      <c r="T45" s="241">
        <f t="shared" si="64"/>
        <v>0.34046104136316119</v>
      </c>
      <c r="U45" s="241">
        <f t="shared" si="64"/>
        <v>0.31524170496588994</v>
      </c>
      <c r="V45" s="241">
        <f t="shared" si="64"/>
        <v>0.29189046756100923</v>
      </c>
      <c r="W45" s="241">
        <f t="shared" si="64"/>
        <v>0.27026895144537894</v>
      </c>
      <c r="X45" s="241">
        <f t="shared" si="64"/>
        <v>0.25024902911609154</v>
      </c>
      <c r="Y45" s="241">
        <f t="shared" si="64"/>
        <v>0.23171206399638106</v>
      </c>
      <c r="Z45" s="241">
        <f t="shared" si="64"/>
        <v>0.21454820740405653</v>
      </c>
      <c r="AA45" s="241">
        <f t="shared" si="64"/>
        <v>0.19865574759634863</v>
      </c>
      <c r="AB45" s="241">
        <f t="shared" si="64"/>
        <v>0.18394050703365611</v>
      </c>
      <c r="AC45" s="241">
        <f t="shared" si="64"/>
        <v>0.17031528429042234</v>
      </c>
      <c r="AD45" s="241">
        <f t="shared" si="64"/>
        <v>0.1576993373059466</v>
      </c>
      <c r="AE45" s="241">
        <f t="shared" si="64"/>
        <v>0.1460179049129135</v>
      </c>
      <c r="AF45" s="550">
        <f t="shared" si="64"/>
        <v>0.13520176380825324</v>
      </c>
      <c r="AG45" s="393"/>
      <c r="AH45" s="10"/>
      <c r="AI45" s="10"/>
      <c r="AJ45" s="10"/>
      <c r="AK45" s="10"/>
      <c r="AL45" s="10"/>
      <c r="AM45" s="10"/>
      <c r="AN45" s="10"/>
    </row>
    <row r="46" spans="1:40" ht="15">
      <c r="A46" s="1047"/>
      <c r="B46" s="186">
        <v>36</v>
      </c>
      <c r="C46" s="190" t="s">
        <v>345</v>
      </c>
      <c r="D46" s="458"/>
      <c r="E46" s="459" t="s">
        <v>346</v>
      </c>
      <c r="F46" s="289">
        <f>1/((1+$F$50+0.001)^G50)</f>
        <v>1</v>
      </c>
      <c r="G46" s="288">
        <f>1/((1+$F$50+0.001)^G49)</f>
        <v>0.92506938020351526</v>
      </c>
      <c r="H46" s="241">
        <f t="shared" ref="H46:AF46" si="65">1/((1+$F$50+0.001)^H49)</f>
        <v>0.85575335819011589</v>
      </c>
      <c r="I46" s="241">
        <f t="shared" si="65"/>
        <v>0.79163122866800739</v>
      </c>
      <c r="J46" s="289">
        <f t="shared" si="65"/>
        <v>0.73231381005366081</v>
      </c>
      <c r="K46" s="288">
        <f t="shared" si="65"/>
        <v>0.67744108238081491</v>
      </c>
      <c r="L46" s="241">
        <f t="shared" si="65"/>
        <v>0.62668000220241893</v>
      </c>
      <c r="M46" s="241">
        <f t="shared" si="65"/>
        <v>0.57972248122332926</v>
      </c>
      <c r="N46" s="241">
        <f t="shared" si="65"/>
        <v>0.53628351639530925</v>
      </c>
      <c r="O46" s="241">
        <f t="shared" si="65"/>
        <v>0.49609946012517048</v>
      </c>
      <c r="P46" s="241">
        <f t="shared" si="65"/>
        <v>0.45892642009728996</v>
      </c>
      <c r="Q46" s="241">
        <f t="shared" si="65"/>
        <v>0.42453877899841808</v>
      </c>
      <c r="R46" s="241">
        <f t="shared" si="65"/>
        <v>0.39272782516042376</v>
      </c>
      <c r="S46" s="241">
        <f t="shared" si="65"/>
        <v>0.36330048580982777</v>
      </c>
      <c r="T46" s="241">
        <f t="shared" si="65"/>
        <v>0.33607815523573337</v>
      </c>
      <c r="U46" s="241">
        <f t="shared" si="65"/>
        <v>0.31089561076386063</v>
      </c>
      <c r="V46" s="241">
        <f t="shared" si="65"/>
        <v>0.28760000995731788</v>
      </c>
      <c r="W46" s="241">
        <f t="shared" si="65"/>
        <v>0.26604996295774092</v>
      </c>
      <c r="X46" s="241">
        <f t="shared" si="65"/>
        <v>0.24611467433648557</v>
      </c>
      <c r="Y46" s="241">
        <f t="shared" si="65"/>
        <v>0.22767314924744272</v>
      </c>
      <c r="Z46" s="241">
        <f t="shared" si="65"/>
        <v>0.21061345906331425</v>
      </c>
      <c r="AA46" s="241">
        <f t="shared" si="65"/>
        <v>0.19483206203821857</v>
      </c>
      <c r="AB46" s="241">
        <f t="shared" si="65"/>
        <v>0.18023317487346768</v>
      </c>
      <c r="AC46" s="241">
        <f t="shared" si="65"/>
        <v>0.16672819137231054</v>
      </c>
      <c r="AD46" s="241">
        <f t="shared" si="65"/>
        <v>0.15423514465523638</v>
      </c>
      <c r="AE46" s="241">
        <f t="shared" si="65"/>
        <v>0.14267820967181905</v>
      </c>
      <c r="AF46" s="289">
        <f t="shared" si="65"/>
        <v>0.13198724298965686</v>
      </c>
      <c r="AG46" s="393"/>
      <c r="AH46" s="10"/>
      <c r="AI46" s="10"/>
      <c r="AJ46" s="10"/>
      <c r="AK46" s="10"/>
      <c r="AL46" s="10"/>
      <c r="AM46" s="10"/>
      <c r="AN46" s="10"/>
    </row>
    <row r="47" spans="1:40" ht="15.75" thickBot="1">
      <c r="A47" s="1047"/>
      <c r="B47" s="187">
        <v>37</v>
      </c>
      <c r="C47" s="185" t="s">
        <v>347</v>
      </c>
      <c r="D47" s="458"/>
      <c r="E47" s="459" t="s">
        <v>348</v>
      </c>
      <c r="F47" s="469">
        <f>1/((1+$F$50+0.005)^G50)</f>
        <v>1</v>
      </c>
      <c r="G47" s="470">
        <f t="shared" ref="G47:AF47" si="66">1/((1+$F$50+0.005)^G49)</f>
        <v>0.92165898617511521</v>
      </c>
      <c r="H47" s="471">
        <f t="shared" si="66"/>
        <v>0.84945528679734128</v>
      </c>
      <c r="I47" s="471">
        <f t="shared" si="66"/>
        <v>0.78290809843072917</v>
      </c>
      <c r="J47" s="469">
        <f t="shared" si="66"/>
        <v>0.72157428426795334</v>
      </c>
      <c r="K47" s="556">
        <f t="shared" si="66"/>
        <v>0.66504542328843619</v>
      </c>
      <c r="L47" s="557">
        <f t="shared" si="66"/>
        <v>0.6129450905884205</v>
      </c>
      <c r="M47" s="557">
        <f t="shared" si="66"/>
        <v>0.56492635077273778</v>
      </c>
      <c r="N47" s="557">
        <f t="shared" si="66"/>
        <v>0.52066944771680901</v>
      </c>
      <c r="O47" s="557">
        <f t="shared" si="66"/>
        <v>0.4798796753150314</v>
      </c>
      <c r="P47" s="557">
        <f t="shared" si="66"/>
        <v>0.44228541503689528</v>
      </c>
      <c r="Q47" s="557">
        <f t="shared" si="66"/>
        <v>0.40763632722294496</v>
      </c>
      <c r="R47" s="557">
        <f t="shared" si="66"/>
        <v>0.37570168407644705</v>
      </c>
      <c r="S47" s="557">
        <f t="shared" si="66"/>
        <v>0.3462688332501816</v>
      </c>
      <c r="T47" s="557">
        <f t="shared" si="66"/>
        <v>0.31914178179740244</v>
      </c>
      <c r="U47" s="557">
        <f t="shared" si="66"/>
        <v>0.2941398910575137</v>
      </c>
      <c r="V47" s="557">
        <f t="shared" si="66"/>
        <v>0.27109667378572694</v>
      </c>
      <c r="W47" s="557">
        <f t="shared" si="66"/>
        <v>0.24985868551679907</v>
      </c>
      <c r="X47" s="557">
        <f t="shared" si="66"/>
        <v>0.23028450278045995</v>
      </c>
      <c r="Y47" s="557">
        <f t="shared" si="66"/>
        <v>0.21224378136447922</v>
      </c>
      <c r="Z47" s="557">
        <f t="shared" si="66"/>
        <v>0.19561638835435877</v>
      </c>
      <c r="AA47" s="557">
        <f t="shared" si="66"/>
        <v>0.18029160216991591</v>
      </c>
      <c r="AB47" s="557">
        <f t="shared" si="66"/>
        <v>0.16616737527181191</v>
      </c>
      <c r="AC47" s="557">
        <f t="shared" si="66"/>
        <v>0.15314965462839805</v>
      </c>
      <c r="AD47" s="557">
        <f t="shared" si="66"/>
        <v>0.14115175541787842</v>
      </c>
      <c r="AE47" s="557">
        <f t="shared" si="66"/>
        <v>0.13009378379527964</v>
      </c>
      <c r="AF47" s="558">
        <f t="shared" si="66"/>
        <v>0.11990210488044206</v>
      </c>
      <c r="AG47" s="393"/>
      <c r="AH47" s="10"/>
      <c r="AI47" s="10"/>
      <c r="AJ47" s="10"/>
      <c r="AK47" s="10"/>
      <c r="AL47" s="10"/>
      <c r="AM47" s="10"/>
      <c r="AN47" s="10"/>
    </row>
    <row r="48" spans="1:40" ht="15.75" thickBot="1">
      <c r="A48" s="1056" t="s">
        <v>317</v>
      </c>
      <c r="B48" s="1057"/>
      <c r="C48" s="1057"/>
      <c r="D48" s="1057"/>
      <c r="E48" s="1057"/>
      <c r="F48" s="1057"/>
      <c r="G48" s="1057"/>
      <c r="H48" s="1057"/>
      <c r="I48" s="1057"/>
      <c r="J48" s="1057"/>
      <c r="K48" s="1057"/>
      <c r="L48" s="1057"/>
      <c r="M48" s="1057"/>
      <c r="N48" s="1057"/>
      <c r="O48" s="1057"/>
      <c r="P48" s="1057"/>
      <c r="Q48" s="1057"/>
      <c r="R48" s="1057"/>
      <c r="S48" s="1057"/>
      <c r="T48" s="1057"/>
      <c r="U48" s="1057"/>
      <c r="V48" s="1057"/>
      <c r="W48" s="1057"/>
      <c r="X48" s="1057"/>
      <c r="Y48" s="1057"/>
      <c r="Z48" s="1057"/>
      <c r="AA48" s="1057"/>
      <c r="AB48" s="1057"/>
      <c r="AC48" s="1057"/>
      <c r="AD48" s="1057"/>
      <c r="AE48" s="1057"/>
      <c r="AF48" s="1058"/>
      <c r="AG48" s="393"/>
      <c r="AH48" s="10"/>
      <c r="AI48" s="10"/>
      <c r="AJ48" s="395"/>
      <c r="AK48" s="10"/>
      <c r="AL48" s="10"/>
      <c r="AM48" s="10"/>
      <c r="AN48" s="10"/>
    </row>
    <row r="49" spans="1:40" ht="15">
      <c r="A49" s="1061" t="s">
        <v>349</v>
      </c>
      <c r="C49" s="201" t="s">
        <v>350</v>
      </c>
      <c r="D49" s="191" t="s">
        <v>351</v>
      </c>
      <c r="E49" s="192" t="s">
        <v>352</v>
      </c>
      <c r="F49" s="202" t="s">
        <v>353</v>
      </c>
      <c r="G49" s="242">
        <v>1</v>
      </c>
      <c r="H49" s="243">
        <v>2</v>
      </c>
      <c r="I49" s="243">
        <v>3</v>
      </c>
      <c r="J49" s="242">
        <v>4</v>
      </c>
      <c r="K49" s="243">
        <v>5</v>
      </c>
      <c r="L49" s="243">
        <v>6</v>
      </c>
      <c r="M49" s="242">
        <v>7</v>
      </c>
      <c r="N49" s="243">
        <v>8</v>
      </c>
      <c r="O49" s="243">
        <v>9</v>
      </c>
      <c r="P49" s="242">
        <v>10</v>
      </c>
      <c r="Q49" s="243">
        <v>11</v>
      </c>
      <c r="R49" s="243">
        <v>12</v>
      </c>
      <c r="S49" s="242">
        <v>13</v>
      </c>
      <c r="T49" s="243">
        <v>14</v>
      </c>
      <c r="U49" s="243">
        <v>15</v>
      </c>
      <c r="V49" s="242">
        <v>16</v>
      </c>
      <c r="W49" s="243">
        <v>17</v>
      </c>
      <c r="X49" s="243">
        <v>18</v>
      </c>
      <c r="Y49" s="242">
        <v>19</v>
      </c>
      <c r="Z49" s="243">
        <v>20</v>
      </c>
      <c r="AA49" s="243">
        <v>21</v>
      </c>
      <c r="AB49" s="242">
        <v>22</v>
      </c>
      <c r="AC49" s="243">
        <v>23</v>
      </c>
      <c r="AD49" s="243">
        <v>24</v>
      </c>
      <c r="AE49" s="242">
        <v>25</v>
      </c>
      <c r="AF49" s="243">
        <v>26</v>
      </c>
      <c r="AG49" s="393"/>
      <c r="AH49" s="10"/>
      <c r="AI49" s="10"/>
      <c r="AJ49" s="10"/>
      <c r="AK49" s="10"/>
      <c r="AL49" s="10"/>
      <c r="AM49" s="10"/>
      <c r="AN49" s="10"/>
    </row>
    <row r="50" spans="1:40" ht="15.75" thickBot="1">
      <c r="A50" s="1062"/>
      <c r="C50" s="197">
        <v>0.04</v>
      </c>
      <c r="D50" s="198">
        <v>0.04</v>
      </c>
      <c r="E50" s="199"/>
      <c r="F50" s="200">
        <f>E50+D50+C50</f>
        <v>0.08</v>
      </c>
      <c r="G50" s="242">
        <v>0</v>
      </c>
      <c r="S50" s="184"/>
      <c r="T50" s="184"/>
      <c r="U50" s="184"/>
      <c r="V50" s="184"/>
      <c r="W50" s="184"/>
      <c r="X50" s="184"/>
      <c r="Y50" s="184"/>
      <c r="Z50" s="184"/>
      <c r="AA50" s="184"/>
      <c r="AB50" s="184"/>
      <c r="AC50" s="184"/>
      <c r="AD50" s="184"/>
      <c r="AE50" s="184"/>
      <c r="AF50" s="184"/>
      <c r="AG50" s="392"/>
      <c r="AH50" s="10"/>
      <c r="AI50" s="10"/>
      <c r="AJ50" s="10"/>
      <c r="AK50" s="10"/>
      <c r="AL50" s="10"/>
      <c r="AM50" s="10"/>
      <c r="AN50" s="10"/>
    </row>
    <row r="51" spans="1:40" ht="15">
      <c r="A51" s="184"/>
      <c r="C51" s="184"/>
      <c r="D51" s="184"/>
      <c r="G51"/>
      <c r="H51" s="682"/>
      <c r="I51" s="184"/>
      <c r="J51" s="184"/>
      <c r="K51" s="184"/>
      <c r="S51" s="184"/>
      <c r="T51" s="184"/>
      <c r="U51" s="184"/>
      <c r="V51" s="184"/>
      <c r="W51" s="184"/>
      <c r="X51" s="184"/>
      <c r="Y51" s="184"/>
      <c r="Z51" s="184"/>
      <c r="AA51" s="184"/>
      <c r="AB51" s="184"/>
      <c r="AC51" s="184"/>
      <c r="AD51" s="184"/>
      <c r="AE51" s="184"/>
      <c r="AF51" s="184"/>
      <c r="AG51" s="392"/>
      <c r="AH51" s="10"/>
      <c r="AI51" s="10"/>
      <c r="AJ51" s="10"/>
      <c r="AK51" s="10"/>
      <c r="AL51" s="10"/>
      <c r="AM51" s="10"/>
      <c r="AN51" s="10"/>
    </row>
    <row r="52" spans="1:40" ht="15" customHeight="1">
      <c r="A52" s="1063" t="s">
        <v>354</v>
      </c>
      <c r="C52" s="354" t="s">
        <v>317</v>
      </c>
      <c r="D52" s="355" t="s">
        <v>293</v>
      </c>
      <c r="E52" s="356" t="s">
        <v>294</v>
      </c>
      <c r="F52" s="355" t="s">
        <v>355</v>
      </c>
      <c r="G52" s="184"/>
      <c r="I52" s="372"/>
      <c r="J52" s="372"/>
      <c r="K52" s="184"/>
      <c r="S52" s="184"/>
      <c r="T52" s="184"/>
      <c r="U52" s="184"/>
      <c r="V52" s="184"/>
      <c r="W52" s="184"/>
      <c r="X52" s="184"/>
      <c r="Y52" s="184"/>
      <c r="Z52" s="184"/>
      <c r="AA52" s="184"/>
      <c r="AB52" s="184"/>
      <c r="AC52" s="184"/>
      <c r="AD52" s="184"/>
      <c r="AE52" s="184"/>
      <c r="AF52" s="184"/>
      <c r="AG52" s="392"/>
      <c r="AH52" s="10"/>
      <c r="AI52" s="10"/>
      <c r="AJ52" s="10"/>
      <c r="AK52" s="10"/>
      <c r="AL52" s="10"/>
      <c r="AM52" s="10"/>
      <c r="AN52" s="10"/>
    </row>
    <row r="53" spans="1:40" ht="15" customHeight="1">
      <c r="A53" s="1063"/>
      <c r="C53" s="357" t="s">
        <v>356</v>
      </c>
      <c r="D53" s="324">
        <v>8.5000000000000006E-2</v>
      </c>
      <c r="E53" s="325">
        <v>0.05</v>
      </c>
      <c r="F53" s="358" t="s">
        <v>357</v>
      </c>
      <c r="G53" s="376"/>
      <c r="I53" s="184"/>
      <c r="J53" s="184"/>
      <c r="K53" s="184"/>
      <c r="S53" s="184"/>
      <c r="T53" s="184"/>
      <c r="U53" s="184"/>
      <c r="V53" s="184"/>
      <c r="W53" s="184"/>
      <c r="X53" s="184"/>
      <c r="Y53" s="184"/>
      <c r="Z53" s="184"/>
      <c r="AA53" s="184"/>
      <c r="AB53" s="184"/>
      <c r="AC53" s="184"/>
      <c r="AD53" s="184"/>
      <c r="AE53" s="184"/>
      <c r="AF53" s="184"/>
      <c r="AG53" s="392"/>
      <c r="AH53" s="10"/>
      <c r="AI53" s="10"/>
      <c r="AJ53" s="10"/>
      <c r="AK53" s="10"/>
      <c r="AL53" s="10"/>
      <c r="AM53" s="10"/>
      <c r="AN53" s="10"/>
    </row>
    <row r="54" spans="1:40" ht="15" customHeight="1">
      <c r="A54" s="1063"/>
      <c r="C54" s="359" t="s">
        <v>358</v>
      </c>
      <c r="D54" s="324">
        <v>0</v>
      </c>
      <c r="E54" s="325">
        <v>0</v>
      </c>
      <c r="F54" s="358" t="s">
        <v>359</v>
      </c>
      <c r="G54" s="184"/>
      <c r="I54" s="184"/>
      <c r="J54" s="184"/>
      <c r="K54" s="184"/>
      <c r="S54" s="184"/>
      <c r="T54" s="184"/>
      <c r="U54" s="184"/>
      <c r="V54" s="184"/>
      <c r="W54" s="184"/>
      <c r="X54" s="184"/>
      <c r="Y54" s="184"/>
      <c r="Z54" s="184"/>
      <c r="AA54" s="184"/>
      <c r="AB54" s="184"/>
      <c r="AC54" s="184"/>
      <c r="AD54" s="184"/>
      <c r="AE54" s="184"/>
      <c r="AF54" s="184"/>
      <c r="AG54" s="392"/>
      <c r="AH54" s="10"/>
      <c r="AI54" s="10"/>
      <c r="AJ54" s="10"/>
      <c r="AK54" s="10"/>
      <c r="AL54" s="10"/>
      <c r="AM54" s="10"/>
      <c r="AN54" s="10"/>
    </row>
    <row r="55" spans="1:40" ht="15" customHeight="1">
      <c r="A55" s="1063"/>
      <c r="C55" s="334" t="s">
        <v>360</v>
      </c>
      <c r="D55" s="324">
        <v>0</v>
      </c>
      <c r="E55" s="325">
        <v>0</v>
      </c>
      <c r="F55" s="358" t="s">
        <v>361</v>
      </c>
      <c r="G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392"/>
      <c r="AH55" s="10"/>
      <c r="AI55" s="10"/>
      <c r="AJ55" s="10"/>
      <c r="AK55" s="10"/>
      <c r="AL55" s="10"/>
      <c r="AM55" s="10"/>
      <c r="AN55" s="10"/>
    </row>
    <row r="56" spans="1:40" ht="15" customHeight="1">
      <c r="A56" s="1063"/>
      <c r="C56" s="359" t="s">
        <v>362</v>
      </c>
      <c r="D56" s="324">
        <v>7.6999999999999999E-2</v>
      </c>
      <c r="E56" s="325">
        <v>0.1</v>
      </c>
      <c r="F56" s="358" t="s">
        <v>363</v>
      </c>
      <c r="G56" s="184"/>
      <c r="I56" s="184"/>
      <c r="J56" s="184"/>
      <c r="K56" s="184"/>
      <c r="L56" s="184"/>
      <c r="M56" s="184"/>
      <c r="N56" s="184"/>
      <c r="O56" s="184"/>
      <c r="P56" s="184"/>
      <c r="Q56" s="184"/>
      <c r="R56" s="184"/>
      <c r="S56" s="184"/>
      <c r="T56" s="184"/>
      <c r="U56" s="184"/>
      <c r="V56" s="184"/>
      <c r="W56" s="184"/>
      <c r="X56" s="184"/>
      <c r="Y56" s="184"/>
      <c r="Z56" s="184"/>
      <c r="AA56" s="184"/>
      <c r="AB56" s="184"/>
      <c r="AC56" s="184"/>
      <c r="AD56" s="184"/>
      <c r="AE56" s="184"/>
      <c r="AF56" s="184"/>
      <c r="AG56" s="392"/>
      <c r="AH56" s="10"/>
      <c r="AI56" s="10"/>
      <c r="AJ56" s="10"/>
      <c r="AK56" s="10"/>
      <c r="AL56" s="10"/>
      <c r="AM56" s="10"/>
      <c r="AN56" s="10"/>
    </row>
    <row r="57" spans="1:40" ht="15" customHeight="1">
      <c r="A57" s="1063"/>
      <c r="C57" s="334" t="s">
        <v>364</v>
      </c>
      <c r="D57" s="324">
        <v>3.5000000000000003E-2</v>
      </c>
      <c r="E57" s="325">
        <v>3.6999999999999998E-2</v>
      </c>
      <c r="F57" s="358" t="s">
        <v>365</v>
      </c>
      <c r="G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392"/>
      <c r="AH57" s="10"/>
      <c r="AI57" s="10"/>
      <c r="AJ57" s="10"/>
      <c r="AK57" s="10"/>
      <c r="AL57" s="10"/>
      <c r="AM57" s="10"/>
      <c r="AN57" s="10"/>
    </row>
    <row r="58" spans="1:40" ht="15" customHeight="1">
      <c r="A58" s="1063"/>
      <c r="C58" s="359" t="s">
        <v>366</v>
      </c>
      <c r="D58" s="324">
        <v>0.15</v>
      </c>
      <c r="E58" s="325">
        <v>0.1</v>
      </c>
      <c r="F58" s="358" t="s">
        <v>367</v>
      </c>
      <c r="G58" s="184"/>
      <c r="H58" s="184"/>
      <c r="I58" s="185"/>
      <c r="J58" s="203"/>
      <c r="K58" s="203"/>
      <c r="L58" s="203"/>
      <c r="M58" s="203"/>
      <c r="N58" s="203"/>
      <c r="O58" s="184"/>
      <c r="P58" s="184"/>
      <c r="Q58" s="184"/>
      <c r="R58" s="184"/>
      <c r="S58" s="184"/>
      <c r="T58" s="184"/>
      <c r="U58" s="184"/>
      <c r="V58" s="184"/>
      <c r="W58" s="184"/>
      <c r="X58" s="184"/>
      <c r="Y58" s="184"/>
      <c r="Z58" s="184"/>
      <c r="AA58" s="184"/>
      <c r="AB58" s="184"/>
      <c r="AC58" s="184"/>
      <c r="AD58" s="184"/>
      <c r="AE58" s="184"/>
      <c r="AF58" s="184"/>
      <c r="AG58" s="392"/>
      <c r="AH58" s="10"/>
      <c r="AI58" s="10"/>
      <c r="AJ58" s="10"/>
      <c r="AK58" s="10"/>
      <c r="AL58" s="10"/>
      <c r="AM58" s="10"/>
      <c r="AN58" s="10"/>
    </row>
    <row r="59" spans="1:40" ht="15" customHeight="1">
      <c r="A59" s="1063"/>
      <c r="C59" s="334" t="s">
        <v>368</v>
      </c>
      <c r="D59" s="324">
        <v>0</v>
      </c>
      <c r="E59" s="325">
        <v>0</v>
      </c>
      <c r="F59" s="358" t="s">
        <v>369</v>
      </c>
      <c r="G59" s="184"/>
      <c r="H59" s="184"/>
      <c r="I59" s="184"/>
      <c r="J59" s="204"/>
      <c r="K59" s="204"/>
      <c r="L59" s="204"/>
      <c r="M59" s="204"/>
      <c r="N59" s="203"/>
      <c r="O59" s="184"/>
      <c r="P59" s="184"/>
      <c r="Q59" s="184"/>
      <c r="R59" s="184"/>
      <c r="S59" s="184"/>
      <c r="T59" s="184"/>
      <c r="U59" s="184"/>
      <c r="V59" s="184"/>
      <c r="W59" s="184"/>
      <c r="X59" s="184"/>
      <c r="Y59" s="184"/>
      <c r="Z59" s="184"/>
      <c r="AA59" s="184"/>
      <c r="AB59" s="184"/>
      <c r="AC59" s="184"/>
      <c r="AD59" s="184"/>
      <c r="AE59" s="184"/>
      <c r="AF59" s="184"/>
      <c r="AG59" s="392"/>
      <c r="AH59" s="10"/>
      <c r="AI59" s="10"/>
      <c r="AJ59" s="10"/>
      <c r="AK59" s="10"/>
      <c r="AL59" s="10"/>
      <c r="AM59" s="10"/>
      <c r="AN59" s="10"/>
    </row>
    <row r="60" spans="1:40" ht="15" customHeight="1">
      <c r="A60" s="1063"/>
      <c r="C60" s="354" t="s">
        <v>370</v>
      </c>
      <c r="D60" s="324">
        <v>0</v>
      </c>
      <c r="E60" s="325">
        <v>0</v>
      </c>
      <c r="F60" s="358" t="s">
        <v>371</v>
      </c>
      <c r="G60" s="184"/>
      <c r="H60" s="184"/>
      <c r="I60" s="184"/>
      <c r="J60" s="203"/>
      <c r="K60" s="203"/>
      <c r="L60" s="203"/>
      <c r="M60" s="203"/>
      <c r="N60" s="203"/>
      <c r="O60" s="184"/>
      <c r="P60" s="184"/>
      <c r="Q60" s="184"/>
      <c r="R60" s="184"/>
      <c r="S60" s="184"/>
      <c r="T60" s="184"/>
      <c r="U60" s="184"/>
      <c r="V60" s="184"/>
      <c r="W60" s="184"/>
      <c r="X60" s="184"/>
      <c r="Y60" s="184"/>
      <c r="Z60" s="184"/>
      <c r="AA60" s="184"/>
      <c r="AB60" s="184"/>
      <c r="AC60" s="184"/>
      <c r="AD60" s="184"/>
      <c r="AE60" s="184"/>
      <c r="AF60" s="184"/>
      <c r="AG60" s="392"/>
      <c r="AH60" s="10"/>
      <c r="AI60" s="10"/>
      <c r="AJ60" s="10"/>
      <c r="AK60" s="10"/>
      <c r="AL60" s="10"/>
      <c r="AM60" s="10"/>
      <c r="AN60" s="10"/>
    </row>
    <row r="61" spans="1:40" ht="15" customHeight="1">
      <c r="A61" s="1063"/>
      <c r="C61" s="361" t="s">
        <v>372</v>
      </c>
      <c r="D61" s="324" t="s">
        <v>373</v>
      </c>
      <c r="E61" s="325" t="s">
        <v>373</v>
      </c>
      <c r="F61" s="358" t="s">
        <v>374</v>
      </c>
      <c r="G61" s="184"/>
      <c r="H61" s="184"/>
      <c r="I61" s="184"/>
      <c r="J61" s="184"/>
      <c r="K61" s="184"/>
      <c r="L61" s="184"/>
      <c r="M61" s="184"/>
      <c r="N61" s="184"/>
      <c r="O61" s="184"/>
      <c r="P61" s="184"/>
      <c r="Q61" s="184"/>
      <c r="R61" s="184"/>
      <c r="S61" s="184"/>
      <c r="T61" s="184"/>
      <c r="U61" s="184"/>
      <c r="V61" s="184"/>
      <c r="W61" s="184"/>
      <c r="X61" s="184"/>
      <c r="Y61" s="184"/>
      <c r="Z61" s="184"/>
      <c r="AA61" s="184"/>
      <c r="AB61" s="184"/>
      <c r="AC61" s="184"/>
      <c r="AD61" s="184"/>
      <c r="AE61" s="184"/>
      <c r="AF61" s="184"/>
      <c r="AG61" s="392"/>
      <c r="AH61" s="10"/>
      <c r="AI61" s="10"/>
      <c r="AJ61" s="10"/>
      <c r="AK61" s="10"/>
      <c r="AL61" s="10"/>
      <c r="AM61" s="10"/>
      <c r="AN61" s="10"/>
    </row>
    <row r="62" spans="1:40" ht="15" customHeight="1">
      <c r="A62" s="1063"/>
      <c r="C62" s="361" t="s">
        <v>375</v>
      </c>
      <c r="D62" s="324">
        <v>-9.3694968063208386E-2</v>
      </c>
      <c r="E62" s="325">
        <v>-8.4899003950285171E-2</v>
      </c>
      <c r="F62" s="358" t="s">
        <v>361</v>
      </c>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392"/>
      <c r="AH62" s="10"/>
      <c r="AI62" s="10"/>
      <c r="AJ62" s="10"/>
      <c r="AK62" s="10"/>
      <c r="AL62" s="10"/>
      <c r="AM62" s="10"/>
      <c r="AN62" s="10"/>
    </row>
    <row r="63" spans="1:40" ht="15" customHeight="1">
      <c r="A63" s="1063"/>
      <c r="C63" s="361" t="s">
        <v>376</v>
      </c>
      <c r="D63" s="324">
        <v>0</v>
      </c>
      <c r="E63" s="325">
        <v>-8.2307243819177811E-4</v>
      </c>
      <c r="F63" s="358" t="s">
        <v>361</v>
      </c>
      <c r="G63" s="184"/>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c r="AG63" s="392"/>
      <c r="AH63" s="10"/>
      <c r="AI63" s="10"/>
      <c r="AJ63" s="10"/>
      <c r="AK63" s="10"/>
      <c r="AL63" s="10"/>
      <c r="AM63" s="10"/>
      <c r="AN63" s="10"/>
    </row>
    <row r="64" spans="1:40" ht="15" customHeight="1">
      <c r="A64" s="1063"/>
      <c r="C64" s="361" t="s">
        <v>123</v>
      </c>
      <c r="D64" s="324">
        <v>4.6716183864652155E-3</v>
      </c>
      <c r="E64" s="325">
        <v>3.7041297120206608E-3</v>
      </c>
      <c r="F64" s="358" t="s">
        <v>377</v>
      </c>
      <c r="G64" s="184"/>
      <c r="I64" s="184"/>
      <c r="J64" s="184"/>
      <c r="K64" s="184"/>
      <c r="L64" s="184"/>
      <c r="M64" s="184"/>
      <c r="N64" s="184"/>
      <c r="O64" s="184"/>
      <c r="P64" s="184"/>
      <c r="Q64" s="184"/>
      <c r="R64" s="184"/>
      <c r="S64" s="184"/>
      <c r="T64" s="184"/>
      <c r="U64" s="184"/>
      <c r="V64" s="184"/>
      <c r="W64" s="184"/>
      <c r="X64" s="184"/>
      <c r="Y64" s="184"/>
      <c r="Z64" s="184"/>
      <c r="AA64" s="184"/>
      <c r="AB64" s="184"/>
      <c r="AC64" s="184"/>
      <c r="AD64" s="184"/>
      <c r="AE64" s="184"/>
      <c r="AF64" s="184"/>
      <c r="AG64" s="184"/>
    </row>
    <row r="65" spans="1:33" ht="15" customHeight="1">
      <c r="A65" s="1063"/>
      <c r="C65" s="361" t="s">
        <v>378</v>
      </c>
      <c r="D65" s="324">
        <v>8.6774043291638625E-2</v>
      </c>
      <c r="E65" s="325">
        <v>5.0826019724146708E-2</v>
      </c>
      <c r="F65" s="358" t="s">
        <v>377</v>
      </c>
      <c r="G65" s="184"/>
      <c r="I65" s="184"/>
      <c r="J65" s="184"/>
      <c r="K65" s="184"/>
      <c r="L65" s="184"/>
      <c r="M65" s="184"/>
      <c r="N65" s="184"/>
      <c r="O65" s="184"/>
      <c r="P65" s="184"/>
      <c r="Q65" s="184"/>
      <c r="R65" s="184"/>
      <c r="S65" s="184"/>
      <c r="T65" s="184"/>
      <c r="U65" s="184"/>
      <c r="V65" s="184"/>
      <c r="W65" s="184"/>
      <c r="X65" s="184"/>
      <c r="Y65" s="184"/>
      <c r="Z65" s="184"/>
      <c r="AA65" s="184"/>
      <c r="AB65" s="184"/>
      <c r="AC65" s="184"/>
      <c r="AD65" s="184"/>
      <c r="AE65" s="184"/>
      <c r="AF65" s="184"/>
      <c r="AG65" s="184"/>
    </row>
    <row r="66" spans="1:33" ht="15" customHeight="1">
      <c r="A66" s="1063"/>
      <c r="C66" s="361" t="s">
        <v>379</v>
      </c>
      <c r="D66" s="324">
        <v>0</v>
      </c>
      <c r="E66" s="325">
        <v>0</v>
      </c>
      <c r="F66" s="358" t="s">
        <v>361</v>
      </c>
      <c r="G66" s="184"/>
      <c r="I66" s="184"/>
      <c r="J66" s="184"/>
      <c r="K66" s="184"/>
      <c r="L66" s="184"/>
      <c r="M66" s="184"/>
      <c r="N66" s="184"/>
      <c r="O66" s="184"/>
      <c r="P66" s="184"/>
      <c r="Q66" s="184"/>
      <c r="R66" s="184"/>
      <c r="S66" s="184"/>
      <c r="T66" s="184"/>
      <c r="U66" s="184"/>
      <c r="V66" s="184"/>
      <c r="W66" s="184"/>
      <c r="X66" s="184"/>
      <c r="Y66" s="184"/>
      <c r="Z66" s="184"/>
      <c r="AA66" s="184"/>
      <c r="AB66" s="184"/>
      <c r="AC66" s="184"/>
      <c r="AD66" s="184"/>
      <c r="AE66" s="184"/>
      <c r="AF66" s="184"/>
      <c r="AG66" s="184"/>
    </row>
    <row r="67" spans="1:33" ht="15.75" customHeight="1">
      <c r="A67" s="1063"/>
      <c r="C67" s="359" t="s">
        <v>290</v>
      </c>
      <c r="D67" s="564">
        <v>3.98</v>
      </c>
      <c r="E67" s="564">
        <v>3.98</v>
      </c>
      <c r="F67" s="563" t="s">
        <v>380</v>
      </c>
      <c r="G67" s="184"/>
      <c r="J67" s="184"/>
      <c r="K67" s="184"/>
      <c r="L67" s="184"/>
      <c r="M67" s="184"/>
      <c r="N67" s="184"/>
      <c r="O67" s="184"/>
      <c r="P67" s="184"/>
      <c r="Q67" s="184"/>
      <c r="R67" s="184"/>
      <c r="S67" s="184"/>
      <c r="T67" s="184"/>
      <c r="U67" s="184"/>
      <c r="V67" s="184"/>
      <c r="W67" s="184"/>
      <c r="X67" s="184"/>
      <c r="Y67" s="184"/>
      <c r="Z67" s="184"/>
      <c r="AA67" s="184"/>
      <c r="AB67" s="184"/>
      <c r="AC67" s="184"/>
      <c r="AD67" s="184"/>
      <c r="AE67" s="184"/>
      <c r="AF67" s="184"/>
      <c r="AG67" s="184"/>
    </row>
    <row r="68" spans="1:33" ht="15">
      <c r="A68" s="18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c r="AG68" s="184"/>
    </row>
    <row r="69" spans="1:33" ht="15">
      <c r="A69" s="1042" t="s">
        <v>100</v>
      </c>
      <c r="C69" s="244"/>
      <c r="D69" s="328" t="s">
        <v>381</v>
      </c>
      <c r="E69" s="2"/>
      <c r="G69" s="184"/>
      <c r="H69" s="184"/>
      <c r="I69" s="184"/>
      <c r="J69" s="184"/>
      <c r="K69" s="184"/>
      <c r="L69" s="184"/>
      <c r="M69" s="184"/>
      <c r="N69" s="184"/>
      <c r="O69" s="184"/>
      <c r="P69" s="184"/>
      <c r="Q69" s="184"/>
      <c r="R69" s="184"/>
      <c r="S69" s="184"/>
      <c r="T69" s="184"/>
      <c r="U69" s="184"/>
      <c r="V69" s="184"/>
      <c r="W69" s="184"/>
      <c r="X69" s="184"/>
      <c r="Y69" s="184"/>
      <c r="Z69" s="184"/>
      <c r="AA69" s="184"/>
      <c r="AB69" s="184"/>
      <c r="AC69" s="184"/>
      <c r="AD69" s="184"/>
      <c r="AE69" s="184"/>
      <c r="AF69" s="184"/>
      <c r="AG69" s="184"/>
    </row>
    <row r="70" spans="1:33" ht="15">
      <c r="A70" s="1043"/>
      <c r="C70" s="244" t="s">
        <v>382</v>
      </c>
      <c r="D70" s="329">
        <f>SUMPRODUCT(G35:AF35,G45:AF45)+((AF43-AF44)*AF45)</f>
        <v>36273.225487411306</v>
      </c>
      <c r="E70" s="290">
        <f>D70/D72</f>
        <v>0.38415059863109269</v>
      </c>
      <c r="G70" s="184"/>
      <c r="H70" s="184"/>
      <c r="I70" s="184"/>
      <c r="J70" s="184"/>
      <c r="K70" s="184"/>
      <c r="L70" s="184"/>
      <c r="M70" s="184"/>
      <c r="N70" s="184"/>
      <c r="O70" s="184"/>
      <c r="P70" s="184"/>
      <c r="Q70" s="184"/>
      <c r="R70" s="184"/>
      <c r="S70" s="184"/>
      <c r="T70" s="184"/>
      <c r="U70" s="184"/>
      <c r="V70" s="184"/>
      <c r="W70" s="184"/>
      <c r="X70" s="184"/>
      <c r="Y70" s="184"/>
      <c r="Z70" s="184"/>
      <c r="AA70" s="184"/>
      <c r="AB70" s="184"/>
      <c r="AC70" s="184"/>
      <c r="AD70" s="184"/>
      <c r="AE70" s="184"/>
      <c r="AF70" s="184"/>
      <c r="AG70" s="184"/>
    </row>
    <row r="71" spans="1:33" ht="15">
      <c r="A71" s="1043"/>
      <c r="C71" s="244" t="s">
        <v>383</v>
      </c>
      <c r="D71" s="329">
        <f>(AF34/(F50-AF5))*AF45</f>
        <v>58151.267450175379</v>
      </c>
      <c r="E71" s="290">
        <f>D71/D72</f>
        <v>0.61584940136890742</v>
      </c>
      <c r="G71" s="184"/>
      <c r="H71" s="184"/>
      <c r="I71" s="184"/>
      <c r="J71" s="184"/>
      <c r="K71" s="184"/>
      <c r="L71" s="184"/>
      <c r="M71" s="184"/>
      <c r="N71" s="184"/>
      <c r="O71" s="184"/>
      <c r="P71" s="184"/>
      <c r="Q71" s="184"/>
      <c r="R71" s="184"/>
      <c r="S71" s="184"/>
      <c r="T71" s="184"/>
      <c r="U71" s="184"/>
      <c r="V71" s="184"/>
      <c r="W71" s="184"/>
      <c r="X71" s="184"/>
      <c r="Y71" s="184"/>
      <c r="Z71" s="184"/>
      <c r="AA71" s="184"/>
      <c r="AB71" s="184"/>
      <c r="AC71" s="184"/>
      <c r="AD71" s="184"/>
      <c r="AE71" s="184"/>
      <c r="AF71" s="184"/>
      <c r="AG71" s="184"/>
    </row>
    <row r="72" spans="1:33" ht="15">
      <c r="A72" s="1043"/>
      <c r="C72" s="244" t="s">
        <v>384</v>
      </c>
      <c r="D72" s="329">
        <f>D70+D71</f>
        <v>94424.492937586678</v>
      </c>
      <c r="E72" s="2"/>
      <c r="G72" s="184"/>
      <c r="H72" s="184"/>
      <c r="I72" s="184"/>
      <c r="J72" s="184"/>
      <c r="K72" s="184"/>
      <c r="L72" s="184"/>
      <c r="M72" s="184"/>
      <c r="N72" s="184"/>
      <c r="O72" s="184"/>
      <c r="P72" s="184"/>
      <c r="Q72" s="184"/>
      <c r="R72" s="184"/>
      <c r="S72" s="184"/>
      <c r="T72" s="184"/>
      <c r="U72" s="184"/>
      <c r="V72" s="184"/>
      <c r="W72" s="184"/>
      <c r="X72" s="184"/>
      <c r="Y72" s="184"/>
      <c r="Z72" s="184"/>
      <c r="AA72" s="184"/>
      <c r="AB72" s="184"/>
      <c r="AC72" s="184"/>
      <c r="AD72" s="184"/>
      <c r="AE72" s="184"/>
      <c r="AF72" s="184"/>
      <c r="AG72" s="184"/>
    </row>
    <row r="73" spans="1:33" ht="15">
      <c r="A73" s="1043"/>
      <c r="C73" s="547" t="s">
        <v>385</v>
      </c>
      <c r="D73" s="548">
        <f ca="1">OP!C15</f>
        <v>13.26</v>
      </c>
      <c r="E73" s="245"/>
      <c r="G73" s="184"/>
      <c r="H73" s="184"/>
      <c r="I73" s="184"/>
      <c r="J73" s="184"/>
      <c r="K73" s="184"/>
      <c r="L73" s="184"/>
      <c r="M73" s="184"/>
      <c r="N73" s="184"/>
      <c r="O73" s="184"/>
      <c r="P73" s="184"/>
      <c r="Q73" s="184"/>
      <c r="R73" s="184"/>
      <c r="S73" s="184"/>
      <c r="T73" s="184"/>
      <c r="U73" s="184"/>
      <c r="V73" s="184"/>
      <c r="W73" s="184"/>
      <c r="X73" s="184"/>
      <c r="Y73" s="184"/>
      <c r="Z73" s="184"/>
      <c r="AA73" s="184"/>
      <c r="AB73" s="184"/>
      <c r="AC73" s="184"/>
      <c r="AD73" s="184"/>
      <c r="AE73" s="184"/>
      <c r="AF73" s="184"/>
      <c r="AG73" s="184"/>
    </row>
    <row r="74" spans="1:33" ht="15">
      <c r="A74" s="1043"/>
      <c r="C74" s="547" t="s">
        <v>386</v>
      </c>
      <c r="D74" s="330">
        <f ca="1">D75/D73-1</f>
        <v>-0.16836512927580327</v>
      </c>
      <c r="H74" s="184"/>
      <c r="I74" s="184"/>
      <c r="J74" s="184"/>
      <c r="K74" s="184"/>
      <c r="L74" s="184"/>
      <c r="M74" s="184"/>
      <c r="N74" s="184"/>
      <c r="O74" s="184"/>
      <c r="P74" s="184"/>
      <c r="Q74" s="184"/>
      <c r="R74" s="184"/>
      <c r="S74" s="184"/>
      <c r="T74" s="184"/>
      <c r="U74" s="184"/>
      <c r="V74" s="184"/>
      <c r="W74" s="184"/>
      <c r="X74" s="184"/>
      <c r="Y74" s="184"/>
      <c r="Z74" s="184"/>
      <c r="AA74" s="184"/>
      <c r="AB74" s="184"/>
      <c r="AC74" s="184"/>
      <c r="AD74" s="184"/>
      <c r="AE74" s="184"/>
      <c r="AF74" s="184"/>
      <c r="AG74" s="184"/>
    </row>
    <row r="75" spans="1:33" ht="15">
      <c r="A75" s="1044"/>
      <c r="C75" s="331" t="s">
        <v>387</v>
      </c>
      <c r="D75" s="332">
        <f ca="1">D72*1000000/OP!C16</f>
        <v>11.027478385802848</v>
      </c>
    </row>
    <row r="76" spans="1:33" ht="15">
      <c r="A76" s="318"/>
      <c r="C76" s="245"/>
      <c r="D76" s="549"/>
    </row>
    <row r="77" spans="1:33" ht="15">
      <c r="A77" s="1038" t="s">
        <v>388</v>
      </c>
      <c r="C77" s="353" t="s">
        <v>389</v>
      </c>
      <c r="D77" s="548">
        <f ca="1">(SUMPRODUCT(G35:AF35,G45:AF45)+((AF43-AF44)*AF45)+(AF34/(F50+0.001-AF5))*AF45)*1000000/OP!C16</f>
        <v>10.906205779329539</v>
      </c>
      <c r="E77" s="333">
        <f ca="1">D77/D75-1</f>
        <v>-1.0997310738730559E-2</v>
      </c>
    </row>
    <row r="78" spans="1:33" ht="15">
      <c r="A78" s="1039"/>
      <c r="C78" s="353" t="s">
        <v>390</v>
      </c>
      <c r="D78" s="548">
        <f ca="1">(SUMPRODUCT(G35:AF35,G45:AF45)+((AF43-AF44)*AF45)+(AF34/(F50+0.005-AF5))*AF45)*1000000/OP!C16</f>
        <v>10.461539555594078</v>
      </c>
      <c r="E78" s="333">
        <f ca="1">D78/D75-1</f>
        <v>-5.1320783447408869E-2</v>
      </c>
    </row>
    <row r="79" spans="1:33" ht="15">
      <c r="A79" s="351"/>
      <c r="C79" s="352"/>
      <c r="D79" s="549"/>
      <c r="E79" s="333"/>
    </row>
    <row r="80" spans="1:33" ht="15">
      <c r="A80" s="599" t="s">
        <v>391</v>
      </c>
      <c r="C80" s="566" t="s">
        <v>392</v>
      </c>
      <c r="D80" s="332">
        <f ca="1">D75/1.15</f>
        <v>9.5891116398285643</v>
      </c>
      <c r="J80" s="5"/>
    </row>
    <row r="81" spans="7:12">
      <c r="G81" s="1"/>
      <c r="H81" s="1"/>
      <c r="I81" s="1"/>
      <c r="J81" s="4"/>
    </row>
    <row r="82" spans="7:12">
      <c r="G82" s="1"/>
      <c r="H82" s="1"/>
      <c r="I82" s="1"/>
      <c r="J82" s="4"/>
    </row>
    <row r="83" spans="7:12">
      <c r="G83" s="1"/>
      <c r="H83" s="1"/>
      <c r="I83" s="1"/>
      <c r="K83" s="4"/>
    </row>
    <row r="84" spans="7:12">
      <c r="L84" s="5"/>
    </row>
    <row r="85" spans="7:12">
      <c r="G85" s="1"/>
      <c r="H85" s="1"/>
      <c r="I85" s="1"/>
    </row>
    <row r="86" spans="7:12">
      <c r="G86" s="1"/>
      <c r="H86" s="1"/>
      <c r="I86" s="1"/>
    </row>
    <row r="87" spans="7:12">
      <c r="G87" s="1"/>
      <c r="H87" s="1"/>
      <c r="I87" s="1"/>
    </row>
  </sheetData>
  <mergeCells count="15">
    <mergeCell ref="A33:AF33"/>
    <mergeCell ref="A77:A78"/>
    <mergeCell ref="A1:AF2"/>
    <mergeCell ref="A69:A75"/>
    <mergeCell ref="A5:A17"/>
    <mergeCell ref="A19:A32"/>
    <mergeCell ref="A43:A47"/>
    <mergeCell ref="G3:J3"/>
    <mergeCell ref="K3:AF3"/>
    <mergeCell ref="A42:AF42"/>
    <mergeCell ref="A48:AF48"/>
    <mergeCell ref="A34:A36"/>
    <mergeCell ref="A38:A41"/>
    <mergeCell ref="A49:A50"/>
    <mergeCell ref="A52:A67"/>
  </mergeCells>
  <phoneticPr fontId="0" type="noConversion"/>
  <conditionalFormatting sqref="D74">
    <cfRule type="cellIs" dxfId="23" priority="1" operator="lessThan">
      <formula>0</formula>
    </cfRule>
    <cfRule type="cellIs" dxfId="22" priority="2" operator="greaterThan">
      <formula>0%</formula>
    </cfRule>
  </conditionalFormatting>
  <pageMargins left="0.75" right="0.75" top="1" bottom="1" header="0" footer="0"/>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0"/>
  <sheetViews>
    <sheetView topLeftCell="A15" zoomScale="69" workbookViewId="0"/>
  </sheetViews>
  <sheetFormatPr defaultRowHeight="12.75"/>
  <cols>
    <col min="2" max="2" width="10.85546875" customWidth="1"/>
    <col min="3" max="3" width="19.5703125" customWidth="1"/>
    <col min="4" max="5" width="34.28515625" customWidth="1"/>
  </cols>
  <sheetData>
    <row r="1" spans="1:5">
      <c r="A1" t="s">
        <v>111</v>
      </c>
      <c r="B1" t="s">
        <v>112</v>
      </c>
      <c r="C1" t="s">
        <v>393</v>
      </c>
      <c r="D1" t="s">
        <v>394</v>
      </c>
      <c r="E1" t="s">
        <v>395</v>
      </c>
    </row>
    <row r="2" spans="1:5">
      <c r="A2">
        <v>2012</v>
      </c>
      <c r="B2" s="236">
        <v>43159.9666</v>
      </c>
    </row>
    <row r="3" spans="1:5">
      <c r="A3">
        <v>2013</v>
      </c>
      <c r="B3" s="236">
        <v>56784.314299999998</v>
      </c>
    </row>
    <row r="4" spans="1:5">
      <c r="A4">
        <v>2014</v>
      </c>
      <c r="B4" s="236">
        <v>62599.104200000002</v>
      </c>
    </row>
    <row r="5" spans="1:5">
      <c r="A5">
        <v>2015</v>
      </c>
      <c r="B5" s="236">
        <v>76033.142500000002</v>
      </c>
    </row>
    <row r="6" spans="1:5">
      <c r="A6">
        <v>2016</v>
      </c>
      <c r="B6" s="236">
        <v>98615.702400000009</v>
      </c>
    </row>
    <row r="7" spans="1:5">
      <c r="A7">
        <v>2017</v>
      </c>
      <c r="B7" s="236">
        <v>101169.48880000001</v>
      </c>
    </row>
    <row r="8" spans="1:5">
      <c r="A8">
        <v>2018</v>
      </c>
      <c r="B8" s="236">
        <v>99230</v>
      </c>
    </row>
    <row r="9" spans="1:5">
      <c r="A9">
        <v>2019</v>
      </c>
      <c r="B9" s="236">
        <v>96210.7</v>
      </c>
    </row>
    <row r="10" spans="1:5">
      <c r="A10">
        <v>2020</v>
      </c>
      <c r="B10" s="236">
        <v>103307.6</v>
      </c>
    </row>
    <row r="11" spans="1:5">
      <c r="A11">
        <v>2021</v>
      </c>
      <c r="B11" s="236">
        <v>136404.70000000001</v>
      </c>
    </row>
    <row r="12" spans="1:5">
      <c r="A12">
        <v>2022</v>
      </c>
      <c r="B12" s="236">
        <v>137339.98518776</v>
      </c>
    </row>
    <row r="13" spans="1:5">
      <c r="A13">
        <v>2023</v>
      </c>
      <c r="B13" s="236">
        <v>173212.07675797</v>
      </c>
    </row>
    <row r="14" spans="1:5">
      <c r="A14">
        <v>2024</v>
      </c>
      <c r="B14" s="236">
        <v>202777</v>
      </c>
      <c r="C14" s="236">
        <v>202777</v>
      </c>
      <c r="D14" s="236">
        <v>202777</v>
      </c>
      <c r="E14" s="236">
        <v>202777</v>
      </c>
    </row>
    <row r="15" spans="1:5">
      <c r="A15">
        <v>2025</v>
      </c>
      <c r="C15" s="236" t="e">
        <f t="shared" ref="C15:C40" si="0">_xlfn.FORECAST.ETS(A15,$B$2:$B$14,$A$2:$A$14,1,1)</f>
        <v>#N/A</v>
      </c>
      <c r="D15" s="236" t="e">
        <f t="shared" ref="D15:D40" si="1">C15-_xlfn.FORECAST.ETS.CONFINT(A15,$B$2:$B$14,$A$2:$A$14,0.9,1,1)</f>
        <v>#N/A</v>
      </c>
      <c r="E15" s="236" t="e">
        <f t="shared" ref="E15:E40" si="2">C15+_xlfn.FORECAST.ETS.CONFINT(A15,$B$2:$B$14,$A$2:$A$14,0.9,1,1)</f>
        <v>#N/A</v>
      </c>
    </row>
    <row r="16" spans="1:5">
      <c r="A16">
        <v>2026</v>
      </c>
      <c r="C16" s="236" t="e">
        <f t="shared" si="0"/>
        <v>#N/A</v>
      </c>
      <c r="D16" s="236" t="e">
        <f t="shared" si="1"/>
        <v>#N/A</v>
      </c>
      <c r="E16" s="236" t="e">
        <f t="shared" si="2"/>
        <v>#N/A</v>
      </c>
    </row>
    <row r="17" spans="1:5">
      <c r="A17">
        <v>2027</v>
      </c>
      <c r="C17" s="236" t="e">
        <f t="shared" si="0"/>
        <v>#N/A</v>
      </c>
      <c r="D17" s="236" t="e">
        <f t="shared" si="1"/>
        <v>#N/A</v>
      </c>
      <c r="E17" s="236" t="e">
        <f t="shared" si="2"/>
        <v>#N/A</v>
      </c>
    </row>
    <row r="18" spans="1:5">
      <c r="A18">
        <v>2028</v>
      </c>
      <c r="C18" s="236" t="e">
        <f t="shared" si="0"/>
        <v>#N/A</v>
      </c>
      <c r="D18" s="236" t="e">
        <f t="shared" si="1"/>
        <v>#N/A</v>
      </c>
      <c r="E18" s="236" t="e">
        <f t="shared" si="2"/>
        <v>#N/A</v>
      </c>
    </row>
    <row r="19" spans="1:5">
      <c r="A19">
        <v>2029</v>
      </c>
      <c r="C19" s="236" t="e">
        <f t="shared" si="0"/>
        <v>#N/A</v>
      </c>
      <c r="D19" s="236" t="e">
        <f t="shared" si="1"/>
        <v>#N/A</v>
      </c>
      <c r="E19" s="236" t="e">
        <f t="shared" si="2"/>
        <v>#N/A</v>
      </c>
    </row>
    <row r="20" spans="1:5">
      <c r="A20">
        <v>2030</v>
      </c>
      <c r="C20" s="236" t="e">
        <f t="shared" si="0"/>
        <v>#N/A</v>
      </c>
      <c r="D20" s="236" t="e">
        <f t="shared" si="1"/>
        <v>#N/A</v>
      </c>
      <c r="E20" s="236" t="e">
        <f t="shared" si="2"/>
        <v>#N/A</v>
      </c>
    </row>
    <row r="21" spans="1:5">
      <c r="A21">
        <v>2031</v>
      </c>
      <c r="C21" s="236" t="e">
        <f t="shared" si="0"/>
        <v>#N/A</v>
      </c>
      <c r="D21" s="236" t="e">
        <f t="shared" si="1"/>
        <v>#N/A</v>
      </c>
      <c r="E21" s="236" t="e">
        <f t="shared" si="2"/>
        <v>#N/A</v>
      </c>
    </row>
    <row r="22" spans="1:5">
      <c r="A22">
        <v>2032</v>
      </c>
      <c r="C22" s="236" t="e">
        <f t="shared" si="0"/>
        <v>#N/A</v>
      </c>
      <c r="D22" s="236" t="e">
        <f t="shared" si="1"/>
        <v>#N/A</v>
      </c>
      <c r="E22" s="236" t="e">
        <f t="shared" si="2"/>
        <v>#N/A</v>
      </c>
    </row>
    <row r="23" spans="1:5">
      <c r="A23">
        <v>2033</v>
      </c>
      <c r="C23" s="236" t="e">
        <f t="shared" si="0"/>
        <v>#N/A</v>
      </c>
      <c r="D23" s="236" t="e">
        <f t="shared" si="1"/>
        <v>#N/A</v>
      </c>
      <c r="E23" s="236" t="e">
        <f t="shared" si="2"/>
        <v>#N/A</v>
      </c>
    </row>
    <row r="24" spans="1:5">
      <c r="A24">
        <v>2034</v>
      </c>
      <c r="C24" s="236" t="e">
        <f t="shared" si="0"/>
        <v>#N/A</v>
      </c>
      <c r="D24" s="236" t="e">
        <f t="shared" si="1"/>
        <v>#N/A</v>
      </c>
      <c r="E24" s="236" t="e">
        <f t="shared" si="2"/>
        <v>#N/A</v>
      </c>
    </row>
    <row r="25" spans="1:5">
      <c r="A25">
        <v>2035</v>
      </c>
      <c r="C25" s="236" t="e">
        <f t="shared" si="0"/>
        <v>#N/A</v>
      </c>
      <c r="D25" s="236" t="e">
        <f t="shared" si="1"/>
        <v>#N/A</v>
      </c>
      <c r="E25" s="236" t="e">
        <f t="shared" si="2"/>
        <v>#N/A</v>
      </c>
    </row>
    <row r="26" spans="1:5">
      <c r="A26">
        <v>2036</v>
      </c>
      <c r="C26" s="236" t="e">
        <f t="shared" si="0"/>
        <v>#N/A</v>
      </c>
      <c r="D26" s="236" t="e">
        <f t="shared" si="1"/>
        <v>#N/A</v>
      </c>
      <c r="E26" s="236" t="e">
        <f t="shared" si="2"/>
        <v>#N/A</v>
      </c>
    </row>
    <row r="27" spans="1:5">
      <c r="A27">
        <v>2037</v>
      </c>
      <c r="C27" s="236" t="e">
        <f t="shared" si="0"/>
        <v>#N/A</v>
      </c>
      <c r="D27" s="236" t="e">
        <f t="shared" si="1"/>
        <v>#N/A</v>
      </c>
      <c r="E27" s="236" t="e">
        <f t="shared" si="2"/>
        <v>#N/A</v>
      </c>
    </row>
    <row r="28" spans="1:5">
      <c r="A28">
        <v>2038</v>
      </c>
      <c r="C28" s="236" t="e">
        <f t="shared" si="0"/>
        <v>#N/A</v>
      </c>
      <c r="D28" s="236" t="e">
        <f t="shared" si="1"/>
        <v>#N/A</v>
      </c>
      <c r="E28" s="236" t="e">
        <f t="shared" si="2"/>
        <v>#N/A</v>
      </c>
    </row>
    <row r="29" spans="1:5">
      <c r="A29">
        <v>2039</v>
      </c>
      <c r="C29" s="236" t="e">
        <f t="shared" si="0"/>
        <v>#N/A</v>
      </c>
      <c r="D29" s="236" t="e">
        <f t="shared" si="1"/>
        <v>#N/A</v>
      </c>
      <c r="E29" s="236" t="e">
        <f t="shared" si="2"/>
        <v>#N/A</v>
      </c>
    </row>
    <row r="30" spans="1:5">
      <c r="A30">
        <v>2040</v>
      </c>
      <c r="C30" s="236" t="e">
        <f t="shared" si="0"/>
        <v>#N/A</v>
      </c>
      <c r="D30" s="236" t="e">
        <f t="shared" si="1"/>
        <v>#N/A</v>
      </c>
      <c r="E30" s="236" t="e">
        <f t="shared" si="2"/>
        <v>#N/A</v>
      </c>
    </row>
    <row r="31" spans="1:5">
      <c r="A31">
        <v>2041</v>
      </c>
      <c r="C31" s="236" t="e">
        <f t="shared" si="0"/>
        <v>#N/A</v>
      </c>
      <c r="D31" s="236" t="e">
        <f t="shared" si="1"/>
        <v>#N/A</v>
      </c>
      <c r="E31" s="236" t="e">
        <f t="shared" si="2"/>
        <v>#N/A</v>
      </c>
    </row>
    <row r="32" spans="1:5">
      <c r="A32">
        <v>2042</v>
      </c>
      <c r="C32" s="236" t="e">
        <f t="shared" si="0"/>
        <v>#N/A</v>
      </c>
      <c r="D32" s="236" t="e">
        <f t="shared" si="1"/>
        <v>#N/A</v>
      </c>
      <c r="E32" s="236" t="e">
        <f t="shared" si="2"/>
        <v>#N/A</v>
      </c>
    </row>
    <row r="33" spans="1:5">
      <c r="A33">
        <v>2043</v>
      </c>
      <c r="C33" s="236" t="e">
        <f t="shared" si="0"/>
        <v>#N/A</v>
      </c>
      <c r="D33" s="236" t="e">
        <f t="shared" si="1"/>
        <v>#N/A</v>
      </c>
      <c r="E33" s="236" t="e">
        <f t="shared" si="2"/>
        <v>#N/A</v>
      </c>
    </row>
    <row r="34" spans="1:5">
      <c r="A34">
        <v>2044</v>
      </c>
      <c r="C34" s="236" t="e">
        <f t="shared" si="0"/>
        <v>#N/A</v>
      </c>
      <c r="D34" s="236" t="e">
        <f t="shared" si="1"/>
        <v>#N/A</v>
      </c>
      <c r="E34" s="236" t="e">
        <f t="shared" si="2"/>
        <v>#N/A</v>
      </c>
    </row>
    <row r="35" spans="1:5">
      <c r="A35">
        <v>2045</v>
      </c>
      <c r="C35" s="236" t="e">
        <f t="shared" si="0"/>
        <v>#N/A</v>
      </c>
      <c r="D35" s="236" t="e">
        <f t="shared" si="1"/>
        <v>#N/A</v>
      </c>
      <c r="E35" s="236" t="e">
        <f t="shared" si="2"/>
        <v>#N/A</v>
      </c>
    </row>
    <row r="36" spans="1:5">
      <c r="A36">
        <v>2046</v>
      </c>
      <c r="C36" s="236" t="e">
        <f t="shared" si="0"/>
        <v>#N/A</v>
      </c>
      <c r="D36" s="236" t="e">
        <f t="shared" si="1"/>
        <v>#N/A</v>
      </c>
      <c r="E36" s="236" t="e">
        <f t="shared" si="2"/>
        <v>#N/A</v>
      </c>
    </row>
    <row r="37" spans="1:5">
      <c r="A37">
        <v>2047</v>
      </c>
      <c r="C37" s="236" t="e">
        <f t="shared" si="0"/>
        <v>#N/A</v>
      </c>
      <c r="D37" s="236" t="e">
        <f t="shared" si="1"/>
        <v>#N/A</v>
      </c>
      <c r="E37" s="236" t="e">
        <f t="shared" si="2"/>
        <v>#N/A</v>
      </c>
    </row>
    <row r="38" spans="1:5">
      <c r="A38">
        <v>2048</v>
      </c>
      <c r="C38" s="236" t="e">
        <f t="shared" si="0"/>
        <v>#N/A</v>
      </c>
      <c r="D38" s="236" t="e">
        <f t="shared" si="1"/>
        <v>#N/A</v>
      </c>
      <c r="E38" s="236" t="e">
        <f t="shared" si="2"/>
        <v>#N/A</v>
      </c>
    </row>
    <row r="39" spans="1:5">
      <c r="A39">
        <v>2049</v>
      </c>
      <c r="C39" s="236" t="e">
        <f t="shared" si="0"/>
        <v>#N/A</v>
      </c>
      <c r="D39" s="236" t="e">
        <f t="shared" si="1"/>
        <v>#N/A</v>
      </c>
      <c r="E39" s="236" t="e">
        <f t="shared" si="2"/>
        <v>#N/A</v>
      </c>
    </row>
    <row r="40" spans="1:5">
      <c r="A40">
        <v>2050</v>
      </c>
      <c r="C40" s="236" t="e">
        <f t="shared" si="0"/>
        <v>#N/A</v>
      </c>
      <c r="D40" s="236" t="e">
        <f t="shared" si="1"/>
        <v>#N/A</v>
      </c>
      <c r="E40" s="236" t="e">
        <f t="shared" si="2"/>
        <v>#N/A</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0"/>
  <sheetViews>
    <sheetView topLeftCell="A16" workbookViewId="0"/>
  </sheetViews>
  <sheetFormatPr defaultRowHeight="12.75"/>
  <cols>
    <col min="3" max="3" width="15.42578125" customWidth="1"/>
    <col min="4" max="5" width="30.140625" customWidth="1"/>
  </cols>
  <sheetData>
    <row r="1" spans="1:5">
      <c r="A1" t="s">
        <v>111</v>
      </c>
      <c r="B1" t="s">
        <v>396</v>
      </c>
      <c r="C1" t="s">
        <v>397</v>
      </c>
      <c r="D1" t="s">
        <v>398</v>
      </c>
      <c r="E1" t="s">
        <v>399</v>
      </c>
    </row>
    <row r="2" spans="1:5">
      <c r="A2">
        <v>2012</v>
      </c>
      <c r="B2" s="236">
        <v>4393.3999999999996</v>
      </c>
    </row>
    <row r="3" spans="1:5">
      <c r="A3">
        <v>2013</v>
      </c>
      <c r="B3" s="236">
        <v>4791</v>
      </c>
    </row>
    <row r="4" spans="1:5">
      <c r="A4">
        <v>2014</v>
      </c>
      <c r="B4" s="236">
        <v>4213.8</v>
      </c>
    </row>
    <row r="5" spans="1:5">
      <c r="A5">
        <v>2015</v>
      </c>
      <c r="B5" s="236">
        <v>5913.8</v>
      </c>
    </row>
    <row r="6" spans="1:5">
      <c r="A6">
        <v>2016</v>
      </c>
      <c r="B6" s="236">
        <v>4464.8</v>
      </c>
    </row>
    <row r="7" spans="1:5">
      <c r="A7">
        <v>2017</v>
      </c>
      <c r="B7" s="236">
        <v>17391</v>
      </c>
    </row>
    <row r="8" spans="1:5">
      <c r="A8">
        <v>2018</v>
      </c>
      <c r="B8" s="236">
        <v>19163</v>
      </c>
    </row>
    <row r="9" spans="1:5">
      <c r="A9">
        <v>2019</v>
      </c>
      <c r="B9" s="236">
        <v>17660.400000000001</v>
      </c>
    </row>
    <row r="10" spans="1:5">
      <c r="A10">
        <v>2020</v>
      </c>
      <c r="B10" s="236">
        <v>38746.400000000009</v>
      </c>
    </row>
    <row r="11" spans="1:5">
      <c r="A11">
        <v>2021</v>
      </c>
      <c r="B11" s="236">
        <v>48289.9</v>
      </c>
    </row>
    <row r="12" spans="1:5">
      <c r="A12">
        <v>2022</v>
      </c>
      <c r="B12" s="236">
        <v>60783.9</v>
      </c>
    </row>
    <row r="13" spans="1:5">
      <c r="A13">
        <v>2023</v>
      </c>
      <c r="B13" s="236">
        <v>57926.1</v>
      </c>
      <c r="C13" s="236">
        <v>57926.1</v>
      </c>
      <c r="D13" s="236">
        <v>57926.1</v>
      </c>
      <c r="E13" s="236">
        <v>57926.1</v>
      </c>
    </row>
    <row r="14" spans="1:5">
      <c r="A14">
        <v>2024</v>
      </c>
      <c r="C14" s="236" t="e">
        <f t="shared" ref="C14:C40" si="0">_xlfn.FORECAST.ETS(A14,$B$2:$B$13,$A$2:$A$13,1,1)</f>
        <v>#N/A</v>
      </c>
      <c r="D14" s="236" t="e">
        <f t="shared" ref="D14:D40" si="1">C14-_xlfn.FORECAST.ETS.CONFINT(A14,$B$2:$B$13,$A$2:$A$13,0.95,1,1)</f>
        <v>#N/A</v>
      </c>
      <c r="E14" s="236" t="e">
        <f t="shared" ref="E14:E40" si="2">C14+_xlfn.FORECAST.ETS.CONFINT(A14,$B$2:$B$13,$A$2:$A$13,0.95,1,1)</f>
        <v>#N/A</v>
      </c>
    </row>
    <row r="15" spans="1:5">
      <c r="A15">
        <v>2025</v>
      </c>
      <c r="C15" s="236" t="e">
        <f t="shared" si="0"/>
        <v>#N/A</v>
      </c>
      <c r="D15" s="236" t="e">
        <f t="shared" si="1"/>
        <v>#N/A</v>
      </c>
      <c r="E15" s="236" t="e">
        <f t="shared" si="2"/>
        <v>#N/A</v>
      </c>
    </row>
    <row r="16" spans="1:5">
      <c r="A16">
        <v>2026</v>
      </c>
      <c r="C16" s="236" t="e">
        <f t="shared" si="0"/>
        <v>#N/A</v>
      </c>
      <c r="D16" s="236" t="e">
        <f t="shared" si="1"/>
        <v>#N/A</v>
      </c>
      <c r="E16" s="236" t="e">
        <f t="shared" si="2"/>
        <v>#N/A</v>
      </c>
    </row>
    <row r="17" spans="1:5">
      <c r="A17">
        <v>2027</v>
      </c>
      <c r="C17" s="236" t="e">
        <f t="shared" si="0"/>
        <v>#N/A</v>
      </c>
      <c r="D17" s="236" t="e">
        <f t="shared" si="1"/>
        <v>#N/A</v>
      </c>
      <c r="E17" s="236" t="e">
        <f t="shared" si="2"/>
        <v>#N/A</v>
      </c>
    </row>
    <row r="18" spans="1:5">
      <c r="A18">
        <v>2028</v>
      </c>
      <c r="C18" s="236" t="e">
        <f t="shared" si="0"/>
        <v>#N/A</v>
      </c>
      <c r="D18" s="236" t="e">
        <f t="shared" si="1"/>
        <v>#N/A</v>
      </c>
      <c r="E18" s="236" t="e">
        <f t="shared" si="2"/>
        <v>#N/A</v>
      </c>
    </row>
    <row r="19" spans="1:5">
      <c r="A19">
        <v>2029</v>
      </c>
      <c r="C19" s="236" t="e">
        <f t="shared" si="0"/>
        <v>#N/A</v>
      </c>
      <c r="D19" s="236" t="e">
        <f t="shared" si="1"/>
        <v>#N/A</v>
      </c>
      <c r="E19" s="236" t="e">
        <f t="shared" si="2"/>
        <v>#N/A</v>
      </c>
    </row>
    <row r="20" spans="1:5">
      <c r="A20">
        <v>2030</v>
      </c>
      <c r="C20" s="236" t="e">
        <f t="shared" si="0"/>
        <v>#N/A</v>
      </c>
      <c r="D20" s="236" t="e">
        <f t="shared" si="1"/>
        <v>#N/A</v>
      </c>
      <c r="E20" s="236" t="e">
        <f t="shared" si="2"/>
        <v>#N/A</v>
      </c>
    </row>
    <row r="21" spans="1:5">
      <c r="A21">
        <v>2031</v>
      </c>
      <c r="C21" s="236" t="e">
        <f t="shared" si="0"/>
        <v>#N/A</v>
      </c>
      <c r="D21" s="236" t="e">
        <f t="shared" si="1"/>
        <v>#N/A</v>
      </c>
      <c r="E21" s="236" t="e">
        <f t="shared" si="2"/>
        <v>#N/A</v>
      </c>
    </row>
    <row r="22" spans="1:5">
      <c r="A22">
        <v>2032</v>
      </c>
      <c r="C22" s="236" t="e">
        <f t="shared" si="0"/>
        <v>#N/A</v>
      </c>
      <c r="D22" s="236" t="e">
        <f t="shared" si="1"/>
        <v>#N/A</v>
      </c>
      <c r="E22" s="236" t="e">
        <f t="shared" si="2"/>
        <v>#N/A</v>
      </c>
    </row>
    <row r="23" spans="1:5">
      <c r="A23">
        <v>2033</v>
      </c>
      <c r="C23" s="236" t="e">
        <f t="shared" si="0"/>
        <v>#N/A</v>
      </c>
      <c r="D23" s="236" t="e">
        <f t="shared" si="1"/>
        <v>#N/A</v>
      </c>
      <c r="E23" s="236" t="e">
        <f t="shared" si="2"/>
        <v>#N/A</v>
      </c>
    </row>
    <row r="24" spans="1:5">
      <c r="A24">
        <v>2034</v>
      </c>
      <c r="C24" s="236" t="e">
        <f t="shared" si="0"/>
        <v>#N/A</v>
      </c>
      <c r="D24" s="236" t="e">
        <f t="shared" si="1"/>
        <v>#N/A</v>
      </c>
      <c r="E24" s="236" t="e">
        <f t="shared" si="2"/>
        <v>#N/A</v>
      </c>
    </row>
    <row r="25" spans="1:5">
      <c r="A25">
        <v>2035</v>
      </c>
      <c r="C25" s="236" t="e">
        <f t="shared" si="0"/>
        <v>#N/A</v>
      </c>
      <c r="D25" s="236" t="e">
        <f t="shared" si="1"/>
        <v>#N/A</v>
      </c>
      <c r="E25" s="236" t="e">
        <f t="shared" si="2"/>
        <v>#N/A</v>
      </c>
    </row>
    <row r="26" spans="1:5">
      <c r="A26">
        <v>2036</v>
      </c>
      <c r="C26" s="236" t="e">
        <f t="shared" si="0"/>
        <v>#N/A</v>
      </c>
      <c r="D26" s="236" t="e">
        <f t="shared" si="1"/>
        <v>#N/A</v>
      </c>
      <c r="E26" s="236" t="e">
        <f t="shared" si="2"/>
        <v>#N/A</v>
      </c>
    </row>
    <row r="27" spans="1:5">
      <c r="A27">
        <v>2037</v>
      </c>
      <c r="C27" s="236" t="e">
        <f t="shared" si="0"/>
        <v>#N/A</v>
      </c>
      <c r="D27" s="236" t="e">
        <f t="shared" si="1"/>
        <v>#N/A</v>
      </c>
      <c r="E27" s="236" t="e">
        <f t="shared" si="2"/>
        <v>#N/A</v>
      </c>
    </row>
    <row r="28" spans="1:5">
      <c r="A28">
        <v>2038</v>
      </c>
      <c r="C28" s="236" t="e">
        <f t="shared" si="0"/>
        <v>#N/A</v>
      </c>
      <c r="D28" s="236" t="e">
        <f t="shared" si="1"/>
        <v>#N/A</v>
      </c>
      <c r="E28" s="236" t="e">
        <f t="shared" si="2"/>
        <v>#N/A</v>
      </c>
    </row>
    <row r="29" spans="1:5">
      <c r="A29">
        <v>2039</v>
      </c>
      <c r="C29" s="236" t="e">
        <f t="shared" si="0"/>
        <v>#N/A</v>
      </c>
      <c r="D29" s="236" t="e">
        <f t="shared" si="1"/>
        <v>#N/A</v>
      </c>
      <c r="E29" s="236" t="e">
        <f t="shared" si="2"/>
        <v>#N/A</v>
      </c>
    </row>
    <row r="30" spans="1:5">
      <c r="A30">
        <v>2040</v>
      </c>
      <c r="C30" s="236" t="e">
        <f t="shared" si="0"/>
        <v>#N/A</v>
      </c>
      <c r="D30" s="236" t="e">
        <f t="shared" si="1"/>
        <v>#N/A</v>
      </c>
      <c r="E30" s="236" t="e">
        <f t="shared" si="2"/>
        <v>#N/A</v>
      </c>
    </row>
    <row r="31" spans="1:5">
      <c r="A31">
        <v>2041</v>
      </c>
      <c r="C31" s="236" t="e">
        <f t="shared" si="0"/>
        <v>#N/A</v>
      </c>
      <c r="D31" s="236" t="e">
        <f t="shared" si="1"/>
        <v>#N/A</v>
      </c>
      <c r="E31" s="236" t="e">
        <f t="shared" si="2"/>
        <v>#N/A</v>
      </c>
    </row>
    <row r="32" spans="1:5">
      <c r="A32">
        <v>2042</v>
      </c>
      <c r="C32" s="236" t="e">
        <f t="shared" si="0"/>
        <v>#N/A</v>
      </c>
      <c r="D32" s="236" t="e">
        <f t="shared" si="1"/>
        <v>#N/A</v>
      </c>
      <c r="E32" s="236" t="e">
        <f t="shared" si="2"/>
        <v>#N/A</v>
      </c>
    </row>
    <row r="33" spans="1:5">
      <c r="A33">
        <v>2043</v>
      </c>
      <c r="C33" s="236" t="e">
        <f t="shared" si="0"/>
        <v>#N/A</v>
      </c>
      <c r="D33" s="236" t="e">
        <f t="shared" si="1"/>
        <v>#N/A</v>
      </c>
      <c r="E33" s="236" t="e">
        <f t="shared" si="2"/>
        <v>#N/A</v>
      </c>
    </row>
    <row r="34" spans="1:5">
      <c r="A34">
        <v>2044</v>
      </c>
      <c r="C34" s="236" t="e">
        <f t="shared" si="0"/>
        <v>#N/A</v>
      </c>
      <c r="D34" s="236" t="e">
        <f t="shared" si="1"/>
        <v>#N/A</v>
      </c>
      <c r="E34" s="236" t="e">
        <f t="shared" si="2"/>
        <v>#N/A</v>
      </c>
    </row>
    <row r="35" spans="1:5">
      <c r="A35">
        <v>2045</v>
      </c>
      <c r="C35" s="236" t="e">
        <f t="shared" si="0"/>
        <v>#N/A</v>
      </c>
      <c r="D35" s="236" t="e">
        <f t="shared" si="1"/>
        <v>#N/A</v>
      </c>
      <c r="E35" s="236" t="e">
        <f t="shared" si="2"/>
        <v>#N/A</v>
      </c>
    </row>
    <row r="36" spans="1:5">
      <c r="A36">
        <v>2046</v>
      </c>
      <c r="C36" s="236" t="e">
        <f t="shared" si="0"/>
        <v>#N/A</v>
      </c>
      <c r="D36" s="236" t="e">
        <f t="shared" si="1"/>
        <v>#N/A</v>
      </c>
      <c r="E36" s="236" t="e">
        <f t="shared" si="2"/>
        <v>#N/A</v>
      </c>
    </row>
    <row r="37" spans="1:5">
      <c r="A37">
        <v>2047</v>
      </c>
      <c r="C37" s="236" t="e">
        <f t="shared" si="0"/>
        <v>#N/A</v>
      </c>
      <c r="D37" s="236" t="e">
        <f t="shared" si="1"/>
        <v>#N/A</v>
      </c>
      <c r="E37" s="236" t="e">
        <f t="shared" si="2"/>
        <v>#N/A</v>
      </c>
    </row>
    <row r="38" spans="1:5">
      <c r="A38">
        <v>2048</v>
      </c>
      <c r="C38" s="236" t="e">
        <f t="shared" si="0"/>
        <v>#N/A</v>
      </c>
      <c r="D38" s="236" t="e">
        <f t="shared" si="1"/>
        <v>#N/A</v>
      </c>
      <c r="E38" s="236" t="e">
        <f t="shared" si="2"/>
        <v>#N/A</v>
      </c>
    </row>
    <row r="39" spans="1:5">
      <c r="A39">
        <v>2049</v>
      </c>
      <c r="C39" s="236" t="e">
        <f t="shared" si="0"/>
        <v>#N/A</v>
      </c>
      <c r="D39" s="236" t="e">
        <f t="shared" si="1"/>
        <v>#N/A</v>
      </c>
      <c r="E39" s="236" t="e">
        <f t="shared" si="2"/>
        <v>#N/A</v>
      </c>
    </row>
    <row r="40" spans="1:5">
      <c r="A40">
        <v>2050</v>
      </c>
      <c r="C40" s="236" t="e">
        <f t="shared" si="0"/>
        <v>#N/A</v>
      </c>
      <c r="D40" s="236" t="e">
        <f t="shared" si="1"/>
        <v>#N/A</v>
      </c>
      <c r="E40" s="236" t="e">
        <f t="shared" si="2"/>
        <v>#N/A</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M44"/>
  <sheetViews>
    <sheetView showGridLines="0" topLeftCell="A6" zoomScaleNormal="100" workbookViewId="0">
      <selection activeCell="G27" sqref="G27"/>
    </sheetView>
  </sheetViews>
  <sheetFormatPr defaultColWidth="11.28515625" defaultRowHeight="12.75"/>
  <cols>
    <col min="1" max="1" width="1.140625" style="10" customWidth="1"/>
    <col min="2" max="2" width="59.28515625" style="10" customWidth="1"/>
    <col min="3" max="3" width="8.28515625" style="10" bestFit="1" customWidth="1"/>
    <col min="4" max="4" width="10.7109375" style="10" bestFit="1" customWidth="1"/>
    <col min="5" max="5" width="11.85546875" style="10" bestFit="1" customWidth="1"/>
    <col min="6" max="6" width="10.28515625" style="10" bestFit="1" customWidth="1"/>
    <col min="7" max="7" width="9.85546875" style="10" bestFit="1" customWidth="1"/>
    <col min="8" max="8" width="116" style="10" customWidth="1"/>
    <col min="9" max="9" width="2.85546875" style="10" customWidth="1"/>
    <col min="10" max="10" width="7.140625" style="10" customWidth="1"/>
    <col min="11" max="11" width="3.85546875" style="10" customWidth="1"/>
    <col min="12" max="12" width="13.28515625" style="10" bestFit="1" customWidth="1"/>
    <col min="13" max="13" width="18.7109375" style="10" customWidth="1"/>
    <col min="14" max="16384" width="11.28515625" style="10"/>
  </cols>
  <sheetData>
    <row r="1" spans="1:13" ht="6" customHeight="1" thickBot="1">
      <c r="A1"/>
      <c r="B1"/>
      <c r="C1"/>
      <c r="D1"/>
      <c r="E1"/>
      <c r="F1"/>
      <c r="G1"/>
      <c r="H1"/>
      <c r="I1"/>
      <c r="J1"/>
      <c r="K1"/>
      <c r="L1"/>
      <c r="M1"/>
    </row>
    <row r="2" spans="1:13" ht="20.25">
      <c r="A2"/>
      <c r="B2" s="1064" t="s">
        <v>400</v>
      </c>
      <c r="C2" s="1065"/>
      <c r="D2" s="1065"/>
      <c r="E2" s="1065"/>
      <c r="F2" s="1065"/>
      <c r="G2" s="1065"/>
      <c r="H2" s="1066"/>
      <c r="I2"/>
      <c r="J2" s="1085" t="s">
        <v>401</v>
      </c>
      <c r="K2" s="1086"/>
      <c r="L2" s="1086"/>
      <c r="M2" s="1087"/>
    </row>
    <row r="3" spans="1:13">
      <c r="A3"/>
      <c r="B3" s="728" t="s">
        <v>317</v>
      </c>
      <c r="C3" s="729" t="s">
        <v>402</v>
      </c>
      <c r="D3" s="730" t="s">
        <v>403</v>
      </c>
      <c r="E3" s="730" t="s">
        <v>404</v>
      </c>
      <c r="F3" s="730" t="s">
        <v>405</v>
      </c>
      <c r="G3" s="730" t="s">
        <v>406</v>
      </c>
      <c r="H3" s="731" t="s">
        <v>407</v>
      </c>
      <c r="I3"/>
      <c r="J3" s="1088" t="s">
        <v>408</v>
      </c>
      <c r="K3" s="1089"/>
      <c r="L3" s="732" t="s">
        <v>409</v>
      </c>
      <c r="M3" s="733" t="s">
        <v>410</v>
      </c>
    </row>
    <row r="4" spans="1:13" ht="12.75" customHeight="1">
      <c r="A4"/>
      <c r="B4" s="734" t="s">
        <v>411</v>
      </c>
      <c r="C4" s="735" t="s">
        <v>317</v>
      </c>
      <c r="D4" s="736" t="s">
        <v>317</v>
      </c>
      <c r="E4" s="736" t="s">
        <v>317</v>
      </c>
      <c r="F4" s="736" t="s">
        <v>317</v>
      </c>
      <c r="G4" s="736" t="s">
        <v>317</v>
      </c>
      <c r="H4" s="737" t="s">
        <v>317</v>
      </c>
      <c r="I4"/>
      <c r="J4" s="738" t="s">
        <v>412</v>
      </c>
      <c r="K4" s="739">
        <v>0</v>
      </c>
      <c r="L4" s="739" t="s">
        <v>413</v>
      </c>
      <c r="M4" s="1067" t="s">
        <v>414</v>
      </c>
    </row>
    <row r="5" spans="1:13">
      <c r="A5"/>
      <c r="B5" s="740" t="s">
        <v>415</v>
      </c>
      <c r="C5" s="741" t="s">
        <v>416</v>
      </c>
      <c r="D5" s="742" t="s">
        <v>417</v>
      </c>
      <c r="E5" s="742" t="s">
        <v>418</v>
      </c>
      <c r="F5" s="742" t="s">
        <v>417</v>
      </c>
      <c r="G5" s="767" t="s">
        <v>317</v>
      </c>
      <c r="H5" s="743" t="s">
        <v>419</v>
      </c>
      <c r="I5"/>
      <c r="J5" s="738" t="s">
        <v>420</v>
      </c>
      <c r="K5" s="739">
        <v>1</v>
      </c>
      <c r="L5" s="739" t="s">
        <v>421</v>
      </c>
      <c r="M5" s="1067"/>
    </row>
    <row r="6" spans="1:13" s="744" customFormat="1">
      <c r="A6"/>
      <c r="B6" s="740" t="s">
        <v>422</v>
      </c>
      <c r="C6" s="774" t="s">
        <v>416</v>
      </c>
      <c r="D6" s="742" t="s">
        <v>417</v>
      </c>
      <c r="E6" s="742" t="s">
        <v>418</v>
      </c>
      <c r="F6" s="742" t="s">
        <v>19</v>
      </c>
      <c r="G6" s="766" t="s">
        <v>317</v>
      </c>
      <c r="H6" s="743" t="s">
        <v>423</v>
      </c>
      <c r="I6"/>
      <c r="J6" s="738" t="s">
        <v>424</v>
      </c>
      <c r="K6" s="739">
        <v>2</v>
      </c>
      <c r="L6" s="739" t="s">
        <v>418</v>
      </c>
      <c r="M6" s="1067"/>
    </row>
    <row r="7" spans="1:13" ht="13.5" thickBot="1">
      <c r="A7"/>
      <c r="B7" s="740" t="s">
        <v>425</v>
      </c>
      <c r="C7" s="774" t="s">
        <v>416</v>
      </c>
      <c r="D7" s="742" t="s">
        <v>417</v>
      </c>
      <c r="E7" s="742" t="s">
        <v>426</v>
      </c>
      <c r="F7" s="742" t="s">
        <v>417</v>
      </c>
      <c r="G7" s="767" t="s">
        <v>317</v>
      </c>
      <c r="H7" s="743"/>
      <c r="I7"/>
      <c r="J7" s="745" t="s">
        <v>427</v>
      </c>
      <c r="K7" s="746">
        <v>3</v>
      </c>
      <c r="L7" s="746" t="s">
        <v>428</v>
      </c>
      <c r="M7" s="1068"/>
    </row>
    <row r="8" spans="1:13" ht="13.5" thickBot="1">
      <c r="A8"/>
      <c r="B8" s="740" t="s">
        <v>429</v>
      </c>
      <c r="C8" s="774" t="s">
        <v>416</v>
      </c>
      <c r="D8" s="742" t="s">
        <v>417</v>
      </c>
      <c r="E8" s="742" t="s">
        <v>430</v>
      </c>
      <c r="F8" s="742" t="s">
        <v>417</v>
      </c>
      <c r="G8" s="766" t="s">
        <v>317</v>
      </c>
      <c r="H8" s="743"/>
      <c r="I8"/>
      <c r="J8"/>
      <c r="K8"/>
      <c r="L8"/>
      <c r="M8"/>
    </row>
    <row r="9" spans="1:13">
      <c r="A9"/>
      <c r="B9" s="747" t="s">
        <v>431</v>
      </c>
      <c r="C9" s="774" t="s">
        <v>416</v>
      </c>
      <c r="D9" s="742" t="s">
        <v>19</v>
      </c>
      <c r="E9" s="742" t="s">
        <v>426</v>
      </c>
      <c r="F9" s="742" t="s">
        <v>19</v>
      </c>
      <c r="G9" s="775" t="s">
        <v>317</v>
      </c>
      <c r="H9" s="748" t="s">
        <v>432</v>
      </c>
      <c r="I9"/>
      <c r="J9" s="1090" t="s">
        <v>433</v>
      </c>
      <c r="K9" s="1091"/>
      <c r="L9" s="1092"/>
      <c r="M9"/>
    </row>
    <row r="10" spans="1:13" ht="12.75" customHeight="1">
      <c r="A10"/>
      <c r="B10" s="734" t="s">
        <v>434</v>
      </c>
      <c r="C10" s="749" t="s">
        <v>317</v>
      </c>
      <c r="D10" s="750" t="s">
        <v>317</v>
      </c>
      <c r="E10" s="750" t="s">
        <v>317</v>
      </c>
      <c r="F10" s="750" t="s">
        <v>317</v>
      </c>
      <c r="G10" s="751" t="s">
        <v>317</v>
      </c>
      <c r="H10" s="752"/>
      <c r="I10"/>
      <c r="J10" s="1093" t="s">
        <v>317</v>
      </c>
      <c r="K10" s="1094"/>
      <c r="L10" s="1095"/>
      <c r="M10"/>
    </row>
    <row r="11" spans="1:13">
      <c r="A11"/>
      <c r="B11" s="740" t="s">
        <v>435</v>
      </c>
      <c r="C11" s="741" t="s">
        <v>418</v>
      </c>
      <c r="D11" s="742" t="s">
        <v>417</v>
      </c>
      <c r="E11" s="769" t="s">
        <v>418</v>
      </c>
      <c r="F11" s="742" t="s">
        <v>19</v>
      </c>
      <c r="G11" s="764" t="s">
        <v>317</v>
      </c>
      <c r="H11" s="743" t="s">
        <v>436</v>
      </c>
      <c r="I11"/>
      <c r="J11" s="1096" t="s">
        <v>317</v>
      </c>
      <c r="K11" s="1097"/>
      <c r="L11" s="1098"/>
      <c r="M11"/>
    </row>
    <row r="12" spans="1:13" ht="13.5" thickBot="1">
      <c r="A12"/>
      <c r="B12" s="740" t="s">
        <v>437</v>
      </c>
      <c r="C12" s="741" t="s">
        <v>416</v>
      </c>
      <c r="D12" s="742" t="s">
        <v>19</v>
      </c>
      <c r="E12" s="742" t="s">
        <v>418</v>
      </c>
      <c r="F12" s="742" t="s">
        <v>19</v>
      </c>
      <c r="G12" s="753" t="s">
        <v>317</v>
      </c>
      <c r="H12" s="743" t="s">
        <v>438</v>
      </c>
      <c r="I12"/>
      <c r="J12" s="1099" t="s">
        <v>317</v>
      </c>
      <c r="K12" s="1100"/>
      <c r="L12" s="1101"/>
      <c r="M12"/>
    </row>
    <row r="13" spans="1:13">
      <c r="A13"/>
      <c r="B13" s="738" t="s">
        <v>439</v>
      </c>
      <c r="C13" s="741" t="s">
        <v>440</v>
      </c>
      <c r="D13" s="755"/>
      <c r="E13" s="742" t="s">
        <v>430</v>
      </c>
      <c r="F13" s="742" t="s">
        <v>417</v>
      </c>
      <c r="G13" s="754" t="s">
        <v>317</v>
      </c>
      <c r="H13" s="743" t="s">
        <v>441</v>
      </c>
      <c r="I13"/>
      <c r="J13"/>
      <c r="K13"/>
      <c r="L13"/>
      <c r="M13"/>
    </row>
    <row r="14" spans="1:13">
      <c r="A14"/>
      <c r="B14" s="738" t="s">
        <v>442</v>
      </c>
      <c r="C14" s="741" t="s">
        <v>416</v>
      </c>
      <c r="D14" s="742" t="s">
        <v>417</v>
      </c>
      <c r="E14" s="769" t="s">
        <v>418</v>
      </c>
      <c r="F14" s="742" t="s">
        <v>19</v>
      </c>
      <c r="G14" s="764" t="s">
        <v>317</v>
      </c>
      <c r="H14" s="743" t="s">
        <v>443</v>
      </c>
      <c r="I14"/>
      <c r="J14"/>
      <c r="K14"/>
      <c r="L14"/>
      <c r="M14"/>
    </row>
    <row r="15" spans="1:13">
      <c r="A15"/>
      <c r="B15" s="740" t="s">
        <v>444</v>
      </c>
      <c r="C15" s="741" t="s">
        <v>416</v>
      </c>
      <c r="D15" s="742" t="s">
        <v>417</v>
      </c>
      <c r="E15" s="769" t="s">
        <v>421</v>
      </c>
      <c r="F15" s="742" t="s">
        <v>417</v>
      </c>
      <c r="G15" s="753" t="s">
        <v>317</v>
      </c>
      <c r="H15" s="743"/>
      <c r="I15"/>
      <c r="J15"/>
      <c r="K15"/>
      <c r="L15"/>
      <c r="M15"/>
    </row>
    <row r="16" spans="1:13">
      <c r="A16"/>
      <c r="B16" s="740" t="s">
        <v>445</v>
      </c>
      <c r="C16" s="755"/>
      <c r="D16" s="755"/>
      <c r="E16" s="755"/>
      <c r="F16" s="755"/>
      <c r="G16" s="754" t="s">
        <v>317</v>
      </c>
      <c r="H16" s="743"/>
      <c r="I16"/>
      <c r="J16"/>
      <c r="K16"/>
      <c r="L16"/>
      <c r="M16"/>
    </row>
    <row r="17" spans="1:13">
      <c r="A17"/>
      <c r="B17" s="740" t="s">
        <v>446</v>
      </c>
      <c r="C17" s="755"/>
      <c r="D17" s="769" t="s">
        <v>19</v>
      </c>
      <c r="E17" s="769" t="s">
        <v>421</v>
      </c>
      <c r="F17" s="769" t="s">
        <v>417</v>
      </c>
      <c r="G17" s="753" t="s">
        <v>317</v>
      </c>
      <c r="H17" s="771" t="s">
        <v>447</v>
      </c>
      <c r="I17"/>
      <c r="J17"/>
      <c r="K17"/>
      <c r="L17"/>
      <c r="M17"/>
    </row>
    <row r="18" spans="1:13">
      <c r="A18"/>
      <c r="B18" s="740" t="s">
        <v>448</v>
      </c>
      <c r="C18" s="741" t="s">
        <v>449</v>
      </c>
      <c r="D18" s="742" t="s">
        <v>417</v>
      </c>
      <c r="E18" s="769" t="s">
        <v>421</v>
      </c>
      <c r="F18" s="742" t="s">
        <v>417</v>
      </c>
      <c r="G18" s="753" t="s">
        <v>317</v>
      </c>
      <c r="H18" s="743" t="s">
        <v>450</v>
      </c>
      <c r="I18"/>
      <c r="J18"/>
      <c r="K18"/>
      <c r="L18"/>
      <c r="M18"/>
    </row>
    <row r="19" spans="1:13">
      <c r="A19"/>
      <c r="B19" s="738" t="s">
        <v>451</v>
      </c>
      <c r="C19" s="776" t="s">
        <v>416</v>
      </c>
      <c r="D19" s="777" t="s">
        <v>19</v>
      </c>
      <c r="E19" s="777" t="s">
        <v>418</v>
      </c>
      <c r="F19" s="777" t="s">
        <v>19</v>
      </c>
      <c r="G19" s="753"/>
      <c r="H19" s="760"/>
      <c r="I19"/>
      <c r="J19"/>
      <c r="K19"/>
      <c r="L19"/>
      <c r="M19"/>
    </row>
    <row r="20" spans="1:13">
      <c r="A20"/>
      <c r="B20" s="740" t="s">
        <v>452</v>
      </c>
      <c r="C20" s="755" t="s">
        <v>239</v>
      </c>
      <c r="D20" s="755" t="s">
        <v>239</v>
      </c>
      <c r="E20" s="755" t="s">
        <v>239</v>
      </c>
      <c r="F20" s="755" t="s">
        <v>239</v>
      </c>
      <c r="G20" s="755" t="s">
        <v>239</v>
      </c>
      <c r="H20" s="743"/>
      <c r="I20"/>
      <c r="J20"/>
      <c r="K20"/>
      <c r="L20"/>
      <c r="M20"/>
    </row>
    <row r="21" spans="1:13">
      <c r="A21"/>
      <c r="B21" s="747" t="s">
        <v>453</v>
      </c>
      <c r="C21" s="756" t="s">
        <v>418</v>
      </c>
      <c r="D21" s="757" t="s">
        <v>417</v>
      </c>
      <c r="E21" s="757" t="s">
        <v>416</v>
      </c>
      <c r="F21" s="757" t="s">
        <v>19</v>
      </c>
      <c r="G21" s="768" t="s">
        <v>317</v>
      </c>
      <c r="H21" s="748" t="s">
        <v>454</v>
      </c>
      <c r="I21"/>
      <c r="J21"/>
      <c r="K21"/>
      <c r="L21"/>
      <c r="M21"/>
    </row>
    <row r="22" spans="1:13" ht="15">
      <c r="A22"/>
      <c r="B22" s="734" t="s">
        <v>455</v>
      </c>
      <c r="C22" s="758" t="s">
        <v>317</v>
      </c>
      <c r="D22" s="759" t="s">
        <v>317</v>
      </c>
      <c r="E22" s="751" t="s">
        <v>317</v>
      </c>
      <c r="F22" s="759" t="s">
        <v>317</v>
      </c>
      <c r="G22" s="751" t="s">
        <v>317</v>
      </c>
      <c r="H22" s="752"/>
      <c r="I22"/>
      <c r="J22"/>
      <c r="K22"/>
      <c r="L22"/>
      <c r="M22"/>
    </row>
    <row r="23" spans="1:13">
      <c r="A23"/>
      <c r="B23" s="740" t="s">
        <v>456</v>
      </c>
      <c r="C23" s="755"/>
      <c r="D23" s="751"/>
      <c r="E23" s="769" t="s">
        <v>421</v>
      </c>
      <c r="F23" s="769" t="s">
        <v>19</v>
      </c>
      <c r="G23" s="761" t="s">
        <v>317</v>
      </c>
      <c r="H23" s="760" t="s">
        <v>457</v>
      </c>
      <c r="I23"/>
      <c r="J23"/>
      <c r="K23"/>
      <c r="L23"/>
      <c r="M23"/>
    </row>
    <row r="24" spans="1:13">
      <c r="A24"/>
      <c r="B24" s="740" t="s">
        <v>458</v>
      </c>
      <c r="C24" s="770" t="s">
        <v>239</v>
      </c>
      <c r="D24" s="751"/>
      <c r="E24" s="769" t="s">
        <v>426</v>
      </c>
      <c r="F24" s="769" t="s">
        <v>19</v>
      </c>
      <c r="G24" s="772" t="s">
        <v>317</v>
      </c>
      <c r="H24" s="762" t="s">
        <v>459</v>
      </c>
      <c r="I24"/>
      <c r="J24"/>
      <c r="K24"/>
      <c r="L24"/>
      <c r="M24"/>
    </row>
    <row r="25" spans="1:13">
      <c r="A25"/>
      <c r="B25" s="740" t="s">
        <v>460</v>
      </c>
      <c r="C25" s="755"/>
      <c r="D25" s="751"/>
      <c r="E25" s="769" t="s">
        <v>426</v>
      </c>
      <c r="F25" s="769" t="s">
        <v>19</v>
      </c>
      <c r="G25" s="753" t="s">
        <v>317</v>
      </c>
      <c r="H25" s="743" t="s">
        <v>461</v>
      </c>
      <c r="I25"/>
      <c r="J25"/>
      <c r="K25"/>
      <c r="L25"/>
      <c r="M25"/>
    </row>
    <row r="26" spans="1:13">
      <c r="A26"/>
      <c r="B26" s="740" t="s">
        <v>462</v>
      </c>
      <c r="C26" s="755"/>
      <c r="D26" s="751"/>
      <c r="E26" s="769" t="s">
        <v>430</v>
      </c>
      <c r="F26" s="751"/>
      <c r="G26" s="754" t="s">
        <v>317</v>
      </c>
      <c r="H26" s="771" t="s">
        <v>463</v>
      </c>
      <c r="I26"/>
      <c r="J26"/>
      <c r="K26"/>
      <c r="L26"/>
      <c r="M26"/>
    </row>
    <row r="27" spans="1:13">
      <c r="A27"/>
      <c r="B27" s="740" t="s">
        <v>464</v>
      </c>
      <c r="C27" s="755"/>
      <c r="D27" s="751"/>
      <c r="E27" s="769" t="s">
        <v>426</v>
      </c>
      <c r="F27" s="769" t="s">
        <v>19</v>
      </c>
      <c r="G27" s="761" t="s">
        <v>317</v>
      </c>
      <c r="H27" s="771" t="s">
        <v>465</v>
      </c>
      <c r="I27"/>
      <c r="J27"/>
      <c r="K27"/>
      <c r="L27"/>
      <c r="M27"/>
    </row>
    <row r="28" spans="1:13">
      <c r="A28"/>
      <c r="B28" s="740" t="s">
        <v>466</v>
      </c>
      <c r="C28" s="755"/>
      <c r="D28" s="751"/>
      <c r="E28" s="769" t="s">
        <v>430</v>
      </c>
      <c r="F28" s="751"/>
      <c r="G28" s="773" t="s">
        <v>317</v>
      </c>
      <c r="H28" s="771" t="s">
        <v>467</v>
      </c>
      <c r="I28"/>
      <c r="J28"/>
      <c r="K28"/>
      <c r="L28"/>
      <c r="M28"/>
    </row>
    <row r="29" spans="1:13">
      <c r="A29"/>
      <c r="B29" s="740" t="s">
        <v>468</v>
      </c>
      <c r="C29" s="755"/>
      <c r="D29" s="751"/>
      <c r="E29" s="769" t="s">
        <v>418</v>
      </c>
      <c r="F29" s="742"/>
      <c r="G29" s="765" t="s">
        <v>317</v>
      </c>
      <c r="H29" s="771" t="s">
        <v>469</v>
      </c>
      <c r="I29"/>
      <c r="J29"/>
      <c r="K29"/>
      <c r="L29"/>
      <c r="M29"/>
    </row>
    <row r="30" spans="1:13">
      <c r="A30"/>
      <c r="B30" s="740" t="s">
        <v>470</v>
      </c>
      <c r="C30" s="755"/>
      <c r="D30" s="751"/>
      <c r="E30" s="769" t="s">
        <v>430</v>
      </c>
      <c r="F30" s="769" t="s">
        <v>19</v>
      </c>
      <c r="G30" s="753" t="s">
        <v>317</v>
      </c>
      <c r="H30" s="771" t="s">
        <v>471</v>
      </c>
      <c r="I30"/>
      <c r="J30"/>
      <c r="K30"/>
      <c r="L30"/>
      <c r="M30"/>
    </row>
    <row r="31" spans="1:13">
      <c r="A31"/>
      <c r="B31" s="738" t="s">
        <v>472</v>
      </c>
      <c r="C31" s="776" t="s">
        <v>416</v>
      </c>
      <c r="D31" s="777" t="s">
        <v>417</v>
      </c>
      <c r="E31" s="769" t="s">
        <v>430</v>
      </c>
      <c r="F31" s="769" t="s">
        <v>19</v>
      </c>
      <c r="G31" s="782" t="s">
        <v>317</v>
      </c>
      <c r="H31" s="760" t="s">
        <v>473</v>
      </c>
      <c r="I31"/>
      <c r="J31"/>
      <c r="K31"/>
      <c r="L31"/>
      <c r="M31"/>
    </row>
    <row r="32" spans="1:13" ht="13.5" thickBot="1">
      <c r="A32"/>
      <c r="B32" s="745" t="s">
        <v>474</v>
      </c>
      <c r="C32" s="778" t="s">
        <v>416</v>
      </c>
      <c r="D32" s="779" t="s">
        <v>417</v>
      </c>
      <c r="E32" s="779" t="s">
        <v>430</v>
      </c>
      <c r="F32" s="779" t="s">
        <v>19</v>
      </c>
      <c r="G32" s="781" t="s">
        <v>317</v>
      </c>
      <c r="H32" s="780" t="s">
        <v>475</v>
      </c>
      <c r="I32"/>
      <c r="J32"/>
      <c r="K32"/>
      <c r="L32"/>
      <c r="M32"/>
    </row>
    <row r="33" spans="1:13" ht="15.75" customHeight="1">
      <c r="A33"/>
      <c r="B33" s="763"/>
      <c r="C33"/>
      <c r="D33"/>
      <c r="E33"/>
      <c r="F33"/>
      <c r="G33"/>
      <c r="H33"/>
      <c r="I33"/>
      <c r="J33"/>
      <c r="K33"/>
      <c r="L33"/>
      <c r="M33"/>
    </row>
    <row r="34" spans="1:13">
      <c r="E34"/>
      <c r="F34"/>
      <c r="G34"/>
      <c r="H34"/>
      <c r="I34"/>
    </row>
    <row r="35" spans="1:13">
      <c r="E35"/>
      <c r="F35"/>
      <c r="G35"/>
      <c r="H35"/>
      <c r="I35"/>
    </row>
    <row r="36" spans="1:13">
      <c r="E36"/>
      <c r="F36"/>
      <c r="G36"/>
      <c r="H36"/>
      <c r="I36"/>
    </row>
    <row r="37" spans="1:13">
      <c r="E37"/>
      <c r="F37"/>
      <c r="G37"/>
      <c r="H37"/>
      <c r="I37"/>
    </row>
    <row r="38" spans="1:13">
      <c r="E38"/>
      <c r="F38"/>
      <c r="G38"/>
      <c r="H38"/>
      <c r="I38"/>
    </row>
    <row r="39" spans="1:13">
      <c r="E39"/>
      <c r="F39"/>
      <c r="G39"/>
      <c r="H39"/>
      <c r="I39"/>
    </row>
    <row r="40" spans="1:13">
      <c r="E40"/>
      <c r="F40"/>
      <c r="G40"/>
      <c r="H40"/>
      <c r="I40"/>
    </row>
    <row r="41" spans="1:13">
      <c r="E41"/>
      <c r="F41"/>
      <c r="G41"/>
      <c r="H41"/>
      <c r="I41"/>
    </row>
    <row r="42" spans="1:13">
      <c r="E42"/>
      <c r="F42"/>
      <c r="G42"/>
      <c r="H42"/>
      <c r="I42"/>
    </row>
    <row r="43" spans="1:13">
      <c r="E43"/>
      <c r="F43"/>
      <c r="G43"/>
      <c r="H43"/>
      <c r="I43"/>
    </row>
    <row r="44" spans="1:13">
      <c r="E44"/>
      <c r="F44"/>
      <c r="G44"/>
      <c r="H44"/>
      <c r="I44"/>
    </row>
  </sheetData>
  <mergeCells count="8">
    <mergeCell ref="J11:L11"/>
    <mergeCell ref="J12:L12"/>
    <mergeCell ref="B2:H2"/>
    <mergeCell ref="J2:M2"/>
    <mergeCell ref="J3:K3"/>
    <mergeCell ref="M4:M7"/>
    <mergeCell ref="J9:L9"/>
    <mergeCell ref="J10:L10"/>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C81"/>
  <sheetViews>
    <sheetView showGridLines="0" zoomScaleNormal="70" workbookViewId="0">
      <selection activeCell="C17" sqref="C17:H23"/>
    </sheetView>
  </sheetViews>
  <sheetFormatPr defaultColWidth="9.140625" defaultRowHeight="12.75" customHeight="1"/>
  <cols>
    <col min="1" max="1" width="9.140625" style="510"/>
    <col min="2" max="2" width="17.7109375" style="510" customWidth="1"/>
    <col min="3" max="4" width="12.7109375" style="510" customWidth="1"/>
    <col min="5" max="5" width="13.42578125" style="510" customWidth="1"/>
    <col min="6" max="6" width="12.85546875" style="510" customWidth="1"/>
    <col min="7" max="8" width="14.140625" style="510" customWidth="1"/>
    <col min="9" max="10" width="11.28515625" style="510" bestFit="1" customWidth="1"/>
    <col min="11" max="11" width="11.7109375" style="510" bestFit="1" customWidth="1"/>
    <col min="12" max="12" width="11.28515625" style="510" bestFit="1" customWidth="1"/>
    <col min="13" max="13" width="18.42578125" style="510" bestFit="1" customWidth="1"/>
    <col min="14" max="14" width="18.140625" style="510" bestFit="1" customWidth="1"/>
    <col min="15" max="28" width="12.28515625" style="510" bestFit="1" customWidth="1"/>
    <col min="29" max="16384" width="9.140625" style="510"/>
  </cols>
  <sheetData>
    <row r="2" spans="1:28" s="509" customFormat="1" ht="15" customHeight="1">
      <c r="A2" s="506"/>
      <c r="B2" s="507" t="s">
        <v>476</v>
      </c>
      <c r="C2" s="508"/>
      <c r="D2" s="506"/>
      <c r="E2" s="506"/>
      <c r="F2" s="506"/>
      <c r="G2" s="506"/>
      <c r="H2" s="506"/>
      <c r="I2" s="506"/>
      <c r="J2" s="506"/>
      <c r="K2" s="506"/>
      <c r="L2" s="506"/>
      <c r="M2" s="506"/>
      <c r="N2" s="506"/>
      <c r="O2" s="506"/>
      <c r="P2" s="506"/>
      <c r="Q2" s="506"/>
      <c r="R2" s="506"/>
      <c r="S2" s="506"/>
      <c r="T2" s="506"/>
      <c r="U2" s="506"/>
      <c r="V2" s="506"/>
      <c r="W2" s="506"/>
      <c r="X2" s="506"/>
      <c r="Y2" s="506"/>
      <c r="Z2" s="506"/>
      <c r="AA2" s="506"/>
      <c r="AB2" s="506"/>
    </row>
    <row r="3" spans="1:28" ht="12.75" customHeight="1">
      <c r="C3" s="511"/>
    </row>
    <row r="4" spans="1:28">
      <c r="B4" s="510" t="s">
        <v>477</v>
      </c>
      <c r="F4" s="512"/>
      <c r="G4" s="513"/>
      <c r="H4" s="513"/>
    </row>
    <row r="5" spans="1:28">
      <c r="B5" s="514"/>
      <c r="G5" s="515"/>
      <c r="H5" s="515"/>
    </row>
    <row r="6" spans="1:28">
      <c r="B6" s="510" t="s">
        <v>478</v>
      </c>
    </row>
    <row r="8" spans="1:28">
      <c r="B8" s="513"/>
      <c r="C8" s="537">
        <v>2023</v>
      </c>
      <c r="D8" s="537">
        <f>C8-1</f>
        <v>2022</v>
      </c>
      <c r="E8" s="537">
        <f t="shared" ref="E8:G8" si="0">D8-1</f>
        <v>2021</v>
      </c>
      <c r="F8" s="537">
        <f t="shared" si="0"/>
        <v>2020</v>
      </c>
      <c r="G8" s="537">
        <f t="shared" si="0"/>
        <v>2019</v>
      </c>
      <c r="H8" s="537">
        <f t="shared" ref="H8" si="1">G8-1</f>
        <v>2018</v>
      </c>
      <c r="J8" s="537" t="s">
        <v>479</v>
      </c>
      <c r="K8" s="537" t="s">
        <v>480</v>
      </c>
      <c r="M8" s="532" t="s">
        <v>481</v>
      </c>
      <c r="N8" s="532" t="s">
        <v>482</v>
      </c>
    </row>
    <row r="9" spans="1:28">
      <c r="B9" s="536" t="s">
        <v>483</v>
      </c>
      <c r="C9" s="237">
        <f>(Inputs!B6-Inputs!C6)/Inputs!C6</f>
        <v>0.26119189922125458</v>
      </c>
      <c r="D9" s="237">
        <f>(Inputs!C6-Inputs!D6)/Inputs!D6</f>
        <v>6.8566932646748208E-3</v>
      </c>
      <c r="E9" s="237">
        <f>(Inputs!D6-Inputs!E6)/Inputs!E6</f>
        <v>0.32037429966430353</v>
      </c>
      <c r="F9" s="237">
        <f>(Inputs!E6-Inputs!F6)/Inputs!F6</f>
        <v>7.3764144736500295E-2</v>
      </c>
      <c r="G9" s="237">
        <f>(Inputs!F6-Inputs!G6)/Inputs!G6</f>
        <v>-3.0427290134032076E-2</v>
      </c>
      <c r="H9" s="237">
        <f>(Inputs!G6-Inputs!H6)/Inputs!H6</f>
        <v>-1.9170688939964341E-2</v>
      </c>
      <c r="J9" s="518">
        <f>AVERAGE(C9:H9)</f>
        <v>0.1020981763021228</v>
      </c>
      <c r="K9" s="518">
        <f>AVERAGE(C9:E9)</f>
        <v>0.19614096405007764</v>
      </c>
      <c r="M9" s="533">
        <f>6%</f>
        <v>0.06</v>
      </c>
      <c r="N9" s="533">
        <f>AVERAGE(D50:O50)</f>
        <v>0.11532194932956912</v>
      </c>
    </row>
    <row r="10" spans="1:28" ht="12.75" customHeight="1">
      <c r="B10" s="536" t="s">
        <v>113</v>
      </c>
      <c r="C10" s="237">
        <f>Inputs!B8/Inputs!B6</f>
        <v>3.6453000958026269E-2</v>
      </c>
      <c r="D10" s="237">
        <f>Inputs!C8/Inputs!C6</f>
        <v>3.5008013095580978E-2</v>
      </c>
      <c r="E10" s="237">
        <f>Inputs!D8/Inputs!D6</f>
        <v>3.527297813051896E-2</v>
      </c>
      <c r="F10" s="237">
        <f>Inputs!E8/Inputs!E6</f>
        <v>5.0259613039118127E-2</v>
      </c>
      <c r="G10" s="237">
        <f>Inputs!F8/Inputs!F6</f>
        <v>4.5840015715507741E-2</v>
      </c>
      <c r="H10" s="237">
        <f>Inputs!G8/Inputs!G6</f>
        <v>5.5617252846921289E-2</v>
      </c>
      <c r="J10" s="518">
        <f>AVERAGE(C10:G10)</f>
        <v>4.0566724187750418E-2</v>
      </c>
      <c r="K10" s="518">
        <f>AVERAGE(C10:E10)</f>
        <v>3.5577997394708738E-2</v>
      </c>
      <c r="M10" s="533"/>
      <c r="N10" s="533">
        <f>J10</f>
        <v>4.0566724187750418E-2</v>
      </c>
    </row>
    <row r="13" spans="1:28" s="509" customFormat="1" ht="15">
      <c r="A13" s="506"/>
      <c r="B13" s="508" t="s">
        <v>484</v>
      </c>
      <c r="C13" s="508"/>
      <c r="D13" s="506"/>
      <c r="E13" s="506"/>
      <c r="F13" s="506"/>
      <c r="G13" s="506"/>
      <c r="H13" s="506"/>
      <c r="I13" s="506"/>
      <c r="J13" s="506"/>
      <c r="K13" s="506"/>
      <c r="L13" s="506"/>
      <c r="M13" s="506"/>
      <c r="N13" s="506"/>
      <c r="O13" s="506"/>
      <c r="P13" s="506"/>
      <c r="Q13" s="506"/>
      <c r="R13" s="506"/>
      <c r="S13" s="506"/>
      <c r="T13" s="506"/>
      <c r="U13" s="506"/>
      <c r="V13" s="506"/>
      <c r="W13" s="506"/>
      <c r="X13" s="506"/>
      <c r="Y13" s="506"/>
      <c r="Z13" s="506"/>
      <c r="AA13" s="506"/>
      <c r="AB13" s="506"/>
    </row>
    <row r="14" spans="1:28" ht="15">
      <c r="A14" s="534"/>
      <c r="B14" s="535"/>
      <c r="C14" s="535"/>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row>
    <row r="15" spans="1:28" ht="15">
      <c r="C15" s="1069" t="s">
        <v>485</v>
      </c>
      <c r="D15" s="1069"/>
      <c r="E15" s="1069"/>
      <c r="F15" s="1069"/>
      <c r="G15" s="1069"/>
      <c r="H15" s="1069"/>
    </row>
    <row r="16" spans="1:28" ht="15">
      <c r="B16" s="516"/>
      <c r="C16" s="531">
        <f>C8</f>
        <v>2023</v>
      </c>
      <c r="D16" s="531">
        <f>D8</f>
        <v>2022</v>
      </c>
      <c r="E16" s="531">
        <f>E8</f>
        <v>2021</v>
      </c>
      <c r="F16" s="531">
        <f>F8</f>
        <v>2020</v>
      </c>
      <c r="G16" s="531">
        <f>G8</f>
        <v>2019</v>
      </c>
      <c r="H16" s="531">
        <f t="shared" ref="H16:K16" si="2">H8</f>
        <v>2018</v>
      </c>
      <c r="I16" s="531"/>
      <c r="J16" s="531" t="str">
        <f t="shared" si="2"/>
        <v xml:space="preserve">6Y Average </v>
      </c>
      <c r="K16" s="531" t="str">
        <f t="shared" si="2"/>
        <v xml:space="preserve">3Y Average </v>
      </c>
      <c r="M16" s="532" t="s">
        <v>481</v>
      </c>
      <c r="N16" s="532" t="s">
        <v>482</v>
      </c>
      <c r="P16" s="562" t="s">
        <v>486</v>
      </c>
    </row>
    <row r="17" spans="2:29" ht="15">
      <c r="B17" s="536" t="s">
        <v>356</v>
      </c>
      <c r="C17" s="517">
        <f>'Fin. Data'!B$17/'Fin. Data'!B$42</f>
        <v>0.18976040677429568</v>
      </c>
      <c r="D17" s="517">
        <f>'Fin. Data'!C$17/'Fin. Data'!C$42</f>
        <v>0.16574221887805424</v>
      </c>
      <c r="E17" s="517">
        <f>'Fin. Data'!D$17/'Fin. Data'!D$42</f>
        <v>0.15642542172198295</v>
      </c>
      <c r="F17" s="517">
        <f>'Fin. Data'!E$17/'Fin. Data'!E$42</f>
        <v>0.13742543152983028</v>
      </c>
      <c r="G17" s="517">
        <f>'Fin. Data'!F$17/'Fin. Data'!F$42</f>
        <v>0.13061272250397418</v>
      </c>
      <c r="H17" s="517">
        <f>'Fin. Data'!G$17/'Fin. Data'!G$42</f>
        <v>0.10484415430528726</v>
      </c>
      <c r="J17" s="518">
        <f>AVERAGE(C17:H17)</f>
        <v>0.14746839261890407</v>
      </c>
      <c r="K17" s="518">
        <f>AVERAGE(C17:E17)</f>
        <v>0.17064268245811096</v>
      </c>
      <c r="M17" s="533">
        <f>J17</f>
        <v>0.14746839261890407</v>
      </c>
      <c r="N17" s="533">
        <f>J17</f>
        <v>0.14746839261890407</v>
      </c>
      <c r="P17" s="561" t="s">
        <v>487</v>
      </c>
      <c r="AC17" s="519"/>
    </row>
    <row r="18" spans="2:29" ht="15">
      <c r="B18" s="536" t="s">
        <v>358</v>
      </c>
      <c r="C18" s="517">
        <f>'Fin. Data'!B$17/'Fin. Data'!B$42</f>
        <v>0.18976040677429568</v>
      </c>
      <c r="D18" s="517">
        <f>'Fin. Data'!C$17/'Fin. Data'!C$42</f>
        <v>0.16574221887805424</v>
      </c>
      <c r="E18" s="517">
        <f>'Fin. Data'!D$17/'Fin. Data'!D$42</f>
        <v>0.15642542172198295</v>
      </c>
      <c r="F18" s="517">
        <f>'Fin. Data'!E$17/'Fin. Data'!E$42</f>
        <v>0.13742543152983028</v>
      </c>
      <c r="G18" s="517">
        <f>'Fin. Data'!F$17/'Fin. Data'!F$42</f>
        <v>0.13061272250397418</v>
      </c>
      <c r="H18" s="517">
        <f>'Fin. Data'!G$17/'Fin. Data'!G$42</f>
        <v>0.10484415430528726</v>
      </c>
      <c r="J18" s="518">
        <f t="shared" ref="J18:J31" si="3">AVERAGE(C18:H18)</f>
        <v>0.14746839261890407</v>
      </c>
      <c r="K18" s="518">
        <f t="shared" ref="K18:K31" si="4">AVERAGE(C18:E18)</f>
        <v>0.17064268245811096</v>
      </c>
      <c r="M18" s="533"/>
      <c r="N18" s="533"/>
      <c r="P18" s="561" t="s">
        <v>359</v>
      </c>
    </row>
    <row r="19" spans="2:29" ht="15">
      <c r="B19" s="536" t="s">
        <v>360</v>
      </c>
      <c r="C19" s="517"/>
      <c r="D19" s="517"/>
      <c r="E19" s="517"/>
      <c r="F19" s="517"/>
      <c r="G19" s="517"/>
      <c r="H19" s="517"/>
      <c r="J19" s="518" t="e">
        <f t="shared" si="3"/>
        <v>#DIV/0!</v>
      </c>
      <c r="K19" s="518" t="e">
        <f t="shared" si="4"/>
        <v>#DIV/0!</v>
      </c>
      <c r="M19" s="533"/>
      <c r="N19" s="533"/>
      <c r="P19" s="561" t="s">
        <v>361</v>
      </c>
    </row>
    <row r="20" spans="2:29" ht="12.75" customHeight="1">
      <c r="B20" s="536" t="s">
        <v>362</v>
      </c>
      <c r="C20" s="517">
        <f>'Fin. Data'!B21/('Fin. Data'!B21+'Fin. Data'!B23)</f>
        <v>-0.12880200630184555</v>
      </c>
      <c r="D20" s="517">
        <f>'Fin. Data'!C21/('Fin. Data'!C21+'Fin. Data'!C23)</f>
        <v>-7.1794406337927733E-2</v>
      </c>
      <c r="E20" s="517">
        <f>'Fin. Data'!D21/('Fin. Data'!D21+'Fin. Data'!D23)</f>
        <v>-0.12683866644329034</v>
      </c>
      <c r="F20" s="517">
        <f>'Fin. Data'!E21/('Fin. Data'!E21+'Fin. Data'!E23)</f>
        <v>-0.19227605220446006</v>
      </c>
      <c r="G20" s="517">
        <f>'Fin. Data'!F21/('Fin. Data'!F21+'Fin. Data'!F23)</f>
        <v>-0.14509434442718547</v>
      </c>
      <c r="H20" s="517">
        <f>'Fin. Data'!G21/('Fin. Data'!G21+'Fin. Data'!G23)</f>
        <v>-0.30905754292465876</v>
      </c>
      <c r="J20" s="518">
        <f t="shared" si="3"/>
        <v>-0.16231050310656134</v>
      </c>
      <c r="K20" s="518">
        <f t="shared" si="4"/>
        <v>-0.10914502636102121</v>
      </c>
      <c r="M20" s="533">
        <f>7.7%</f>
        <v>7.6999999999999999E-2</v>
      </c>
      <c r="N20" s="533">
        <v>0.1</v>
      </c>
      <c r="P20" s="561" t="s">
        <v>363</v>
      </c>
    </row>
    <row r="21" spans="2:29" ht="15">
      <c r="B21" s="536" t="s">
        <v>364</v>
      </c>
      <c r="C21" s="520"/>
      <c r="D21" s="520"/>
      <c r="E21" s="520"/>
      <c r="F21" s="520"/>
      <c r="G21" s="520"/>
      <c r="H21" s="520"/>
      <c r="J21" s="518" t="e">
        <f t="shared" si="3"/>
        <v>#DIV/0!</v>
      </c>
      <c r="K21" s="518" t="e">
        <f t="shared" si="4"/>
        <v>#DIV/0!</v>
      </c>
      <c r="M21" s="533">
        <f>3.5%</f>
        <v>3.5000000000000003E-2</v>
      </c>
      <c r="N21" s="533">
        <v>3.6999999999999998E-2</v>
      </c>
      <c r="P21" s="561" t="s">
        <v>365</v>
      </c>
    </row>
    <row r="22" spans="2:29" ht="15">
      <c r="B22" s="536" t="s">
        <v>366</v>
      </c>
      <c r="C22" s="678">
        <v>0.05</v>
      </c>
      <c r="D22" s="678">
        <f>'Fin. Data'!C14/'Fin. Data'!C39</f>
        <v>0.11150274671648866</v>
      </c>
      <c r="E22" s="678">
        <f>'Fin. Data'!D14/'Fin. Data'!D39</f>
        <v>6.3726273845456399E-2</v>
      </c>
      <c r="F22" s="678">
        <f>'Fin. Data'!E14/'Fin. Data'!E39</f>
        <v>3.5953081419783747E-2</v>
      </c>
      <c r="G22" s="678">
        <f>'Fin. Data'!F14/'Fin. Data'!F39</f>
        <v>3.1988950788368664E-2</v>
      </c>
      <c r="H22" s="678">
        <f>'Fin. Data'!G14/'Fin. Data'!G39</f>
        <v>8.7170109986081171E-2</v>
      </c>
      <c r="J22" s="518">
        <f t="shared" si="3"/>
        <v>6.3390193792696434E-2</v>
      </c>
      <c r="K22" s="518">
        <f t="shared" si="4"/>
        <v>7.507634018731503E-2</v>
      </c>
      <c r="M22" s="679">
        <v>0.15</v>
      </c>
      <c r="N22" s="679">
        <v>0.1</v>
      </c>
      <c r="P22" s="561" t="s">
        <v>367</v>
      </c>
    </row>
    <row r="23" spans="2:29" ht="15">
      <c r="B23" s="536" t="s">
        <v>368</v>
      </c>
      <c r="C23" s="664">
        <f>Inputs!B33/Inputs!C33-1</f>
        <v>2.7870702715893536E-2</v>
      </c>
      <c r="D23" s="664">
        <f>Inputs!C33/Inputs!D33-1</f>
        <v>0.11698614656418349</v>
      </c>
      <c r="E23" s="664">
        <f>Inputs!D33/Inputs!E33-1</f>
        <v>1.692336122612792E-2</v>
      </c>
      <c r="F23" s="664">
        <f>Inputs!E33/Inputs!F33-1</f>
        <v>-1.1590041867991618E-2</v>
      </c>
      <c r="G23" s="664">
        <f>Inputs!F33/Inputs!G33-1</f>
        <v>-3.445662747216105E-2</v>
      </c>
      <c r="H23" s="664">
        <f>Inputs!G33/Inputs!H33-1</f>
        <v>1.778717651711248E-2</v>
      </c>
      <c r="J23" s="518">
        <f t="shared" si="3"/>
        <v>2.2253452947194125E-2</v>
      </c>
      <c r="K23" s="518">
        <f t="shared" si="4"/>
        <v>5.3926736835401647E-2</v>
      </c>
      <c r="M23" s="533"/>
      <c r="N23" s="533"/>
      <c r="P23" s="561" t="s">
        <v>369</v>
      </c>
    </row>
    <row r="24" spans="2:29" ht="15">
      <c r="B24" s="536" t="s">
        <v>370</v>
      </c>
      <c r="C24" s="680">
        <f>Inputs!B27-Inputs!B42</f>
        <v>7748.6999999999971</v>
      </c>
      <c r="D24" s="680">
        <f>Inputs!C27-Inputs!C42</f>
        <v>11878.699999999997</v>
      </c>
      <c r="E24" s="680">
        <f>Inputs!D27-Inputs!D42</f>
        <v>12768.600000000006</v>
      </c>
      <c r="F24" s="680">
        <f>Inputs!E27-Inputs!E42</f>
        <v>18233.300000000003</v>
      </c>
      <c r="G24" s="680">
        <f>Inputs!F27-Inputs!F42</f>
        <v>13902.399999999994</v>
      </c>
      <c r="H24" s="680">
        <f>Inputs!G27-Inputs!G42</f>
        <v>11746.900000000001</v>
      </c>
      <c r="J24" s="681">
        <f t="shared" si="3"/>
        <v>12713.1</v>
      </c>
      <c r="K24" s="681">
        <f t="shared" si="4"/>
        <v>10798.666666666666</v>
      </c>
      <c r="M24" s="533"/>
      <c r="N24" s="533"/>
      <c r="P24" s="561" t="s">
        <v>371</v>
      </c>
    </row>
    <row r="25" spans="2:29" ht="15">
      <c r="B25" s="536" t="s">
        <v>372</v>
      </c>
      <c r="C25" s="517"/>
      <c r="D25" s="517"/>
      <c r="E25" s="517"/>
      <c r="F25" s="517"/>
      <c r="G25" s="517"/>
      <c r="H25" s="517"/>
      <c r="J25" s="518" t="e">
        <f t="shared" si="3"/>
        <v>#DIV/0!</v>
      </c>
      <c r="K25" s="518" t="e">
        <f t="shared" si="4"/>
        <v>#DIV/0!</v>
      </c>
      <c r="M25" s="533" t="s">
        <v>373</v>
      </c>
      <c r="N25" s="533" t="s">
        <v>373</v>
      </c>
      <c r="P25" s="561" t="s">
        <v>374</v>
      </c>
    </row>
    <row r="26" spans="2:29" ht="12.75" customHeight="1">
      <c r="B26" s="536" t="s">
        <v>488</v>
      </c>
      <c r="C26" s="517">
        <f>Inputs!B65/Inputs!B6</f>
        <v>-9.3694968063208386E-2</v>
      </c>
      <c r="D26" s="517">
        <f>Inputs!C65/Inputs!C6</f>
        <v>-0.11547474669025529</v>
      </c>
      <c r="E26" s="517">
        <f>Inputs!D65/Inputs!D6</f>
        <v>-9.1441130694176948E-2</v>
      </c>
      <c r="F26" s="517">
        <f>Inputs!E65/Inputs!E6</f>
        <v>-7.5308108987141312E-2</v>
      </c>
      <c r="G26" s="517">
        <f>Inputs!F65/Inputs!F6</f>
        <v>-7.0523340958957792E-2</v>
      </c>
      <c r="H26" s="517">
        <f>Inputs!G65/Inputs!G6</f>
        <v>-6.2951728307971383E-2</v>
      </c>
      <c r="J26" s="518">
        <f t="shared" si="3"/>
        <v>-8.4899003950285171E-2</v>
      </c>
      <c r="K26" s="518">
        <f t="shared" si="4"/>
        <v>-0.10020361514921354</v>
      </c>
      <c r="M26" s="533">
        <f>C26</f>
        <v>-9.3694968063208386E-2</v>
      </c>
      <c r="N26" s="533">
        <f>J26</f>
        <v>-8.4899003950285171E-2</v>
      </c>
      <c r="P26" s="561" t="s">
        <v>361</v>
      </c>
    </row>
    <row r="27" spans="2:29" ht="15">
      <c r="B27" s="536" t="s">
        <v>376</v>
      </c>
      <c r="C27" s="517">
        <f>Inputs!B66/Inputs!B6</f>
        <v>0</v>
      </c>
      <c r="D27" s="517">
        <f>Inputs!C66/Inputs!C6</f>
        <v>0</v>
      </c>
      <c r="E27" s="517">
        <f>Inputs!D66/Inputs!D6</f>
        <v>0</v>
      </c>
      <c r="F27" s="517">
        <f>Inputs!E66/Inputs!E6</f>
        <v>0</v>
      </c>
      <c r="G27" s="517">
        <f>Inputs!F66/Inputs!F6</f>
        <v>-5.0080708278808908E-2</v>
      </c>
      <c r="H27" s="517">
        <f>Inputs!G66/Inputs!G6</f>
        <v>6.9636198730222711E-4</v>
      </c>
      <c r="J27" s="518">
        <f t="shared" si="3"/>
        <v>-8.2307243819177804E-3</v>
      </c>
      <c r="K27" s="518">
        <f t="shared" si="4"/>
        <v>0</v>
      </c>
      <c r="M27" s="533">
        <f>K27</f>
        <v>0</v>
      </c>
      <c r="N27" s="533">
        <f>J27*0.1</f>
        <v>-8.2307243819177811E-4</v>
      </c>
      <c r="P27" s="561" t="s">
        <v>361</v>
      </c>
    </row>
    <row r="28" spans="2:29" ht="15">
      <c r="B28" s="536" t="s">
        <v>123</v>
      </c>
      <c r="C28" s="517">
        <f>Inputs!B73/Inputs!B6</f>
        <v>-3.7041297120206608E-3</v>
      </c>
      <c r="D28" s="517">
        <f>Inputs!C73/Inputs!C6</f>
        <v>-4.6716183864652155E-3</v>
      </c>
      <c r="E28" s="517">
        <f>Inputs!D73/Inputs!D6</f>
        <v>-3.9134282029871403E-2</v>
      </c>
      <c r="F28" s="517">
        <f>Inputs!E73/Inputs!E6</f>
        <v>-2.2203593927261886E-2</v>
      </c>
      <c r="G28" s="517">
        <f>Inputs!F73/Inputs!F6</f>
        <v>-2.7511493004416351E-2</v>
      </c>
      <c r="H28" s="517">
        <f>Inputs!G73/Inputs!G6</f>
        <v>-1.5636400282172728E-2</v>
      </c>
      <c r="J28" s="518">
        <f t="shared" si="3"/>
        <v>-1.8810252890368039E-2</v>
      </c>
      <c r="K28" s="518">
        <f t="shared" si="4"/>
        <v>-1.5836676709452425E-2</v>
      </c>
      <c r="M28" s="533">
        <f>-D28</f>
        <v>4.6716183864652155E-3</v>
      </c>
      <c r="N28" s="533">
        <f>-C28</f>
        <v>3.7041297120206608E-3</v>
      </c>
      <c r="P28" s="561" t="s">
        <v>377</v>
      </c>
    </row>
    <row r="29" spans="2:29" ht="15">
      <c r="B29" s="536" t="s">
        <v>378</v>
      </c>
      <c r="C29" s="517">
        <f>Inputs!B74/Inputs!B60</f>
        <v>-9.7071892446166111E-2</v>
      </c>
      <c r="D29" s="517">
        <f>Inputs!C74/Inputs!C60</f>
        <v>-4.3225260101621102E-2</v>
      </c>
      <c r="E29" s="517">
        <f>Inputs!D74/Inputs!D60</f>
        <v>-0.12002497732712863</v>
      </c>
      <c r="F29" s="517">
        <f>Inputs!E74/Inputs!E60</f>
        <v>-4.0186480186480189E-2</v>
      </c>
      <c r="G29" s="517">
        <f>Inputs!F74/Inputs!F60</f>
        <v>-4.4475082834841782E-3</v>
      </c>
      <c r="H29" s="517">
        <f>Inputs!G74/Inputs!G60</f>
        <v>0</v>
      </c>
      <c r="J29" s="518">
        <f t="shared" si="3"/>
        <v>-5.0826019724146708E-2</v>
      </c>
      <c r="K29" s="518">
        <f t="shared" si="4"/>
        <v>-8.6774043291638625E-2</v>
      </c>
      <c r="M29" s="533">
        <f>-K29</f>
        <v>8.6774043291638625E-2</v>
      </c>
      <c r="N29" s="533">
        <f>-J29</f>
        <v>5.0826019724146708E-2</v>
      </c>
      <c r="P29" s="561" t="s">
        <v>377</v>
      </c>
    </row>
    <row r="30" spans="2:29" ht="15">
      <c r="B30" s="536" t="s">
        <v>379</v>
      </c>
      <c r="C30" s="517">
        <v>0</v>
      </c>
      <c r="D30" s="517">
        <v>0</v>
      </c>
      <c r="E30" s="517">
        <v>0</v>
      </c>
      <c r="F30" s="517">
        <v>0</v>
      </c>
      <c r="G30" s="517">
        <v>0</v>
      </c>
      <c r="H30" s="517">
        <v>0</v>
      </c>
      <c r="J30" s="518">
        <f t="shared" si="3"/>
        <v>0</v>
      </c>
      <c r="K30" s="518">
        <f t="shared" si="4"/>
        <v>0</v>
      </c>
      <c r="M30" s="533"/>
      <c r="N30" s="533"/>
      <c r="P30" s="561" t="s">
        <v>361</v>
      </c>
    </row>
    <row r="31" spans="2:29" ht="15">
      <c r="B31" s="536" t="s">
        <v>290</v>
      </c>
      <c r="C31" s="565">
        <f>'Fin. Data'!B58/'Fin. Data'!B19</f>
        <v>4.141039297126885</v>
      </c>
      <c r="D31" s="565">
        <f>'Fin. Data'!C58/'Fin. Data'!C19</f>
        <v>5.371975254087495</v>
      </c>
      <c r="E31" s="565">
        <f>'Fin. Data'!D58/'Fin. Data'!D19</f>
        <v>4.678573850699995</v>
      </c>
      <c r="F31" s="565">
        <f>'Fin. Data'!E58/'Fin. Data'!E19</f>
        <v>3.8934844648096805</v>
      </c>
      <c r="G31" s="565">
        <f>'Fin. Data'!F58/'Fin. Data'!F19</f>
        <v>1.95778551315877</v>
      </c>
      <c r="H31" s="565">
        <f>'Fin. Data'!G58/'Fin. Data'!G19</f>
        <v>2.0464545066211022</v>
      </c>
      <c r="J31" s="518">
        <f t="shared" si="3"/>
        <v>3.6815521477506543</v>
      </c>
      <c r="K31" s="518">
        <f t="shared" si="4"/>
        <v>4.7305294673047911</v>
      </c>
      <c r="M31" s="677">
        <f>3.98</f>
        <v>3.98</v>
      </c>
      <c r="N31" s="668">
        <f>3.98</f>
        <v>3.98</v>
      </c>
      <c r="P31" s="561" t="s">
        <v>380</v>
      </c>
    </row>
    <row r="34" spans="2:15" s="509" customFormat="1" ht="15">
      <c r="B34" s="521" t="s">
        <v>489</v>
      </c>
    </row>
    <row r="37" spans="2:15" ht="12.75" customHeight="1">
      <c r="B37" s="49" t="s">
        <v>111</v>
      </c>
      <c r="C37" s="294">
        <v>2023</v>
      </c>
      <c r="D37" s="294">
        <f>C37-1</f>
        <v>2022</v>
      </c>
      <c r="E37" s="294">
        <f t="shared" ref="E37:N37" si="5">D37-1</f>
        <v>2021</v>
      </c>
      <c r="F37" s="294">
        <f t="shared" si="5"/>
        <v>2020</v>
      </c>
      <c r="G37" s="294">
        <f t="shared" si="5"/>
        <v>2019</v>
      </c>
      <c r="H37" s="294">
        <f t="shared" si="5"/>
        <v>2018</v>
      </c>
      <c r="I37" s="294">
        <f t="shared" si="5"/>
        <v>2017</v>
      </c>
      <c r="J37" s="294">
        <f t="shared" si="5"/>
        <v>2016</v>
      </c>
      <c r="K37" s="294">
        <f t="shared" si="5"/>
        <v>2015</v>
      </c>
      <c r="L37" s="294">
        <f t="shared" si="5"/>
        <v>2014</v>
      </c>
      <c r="M37" s="294">
        <f t="shared" si="5"/>
        <v>2013</v>
      </c>
      <c r="N37" s="294">
        <f t="shared" si="5"/>
        <v>2012</v>
      </c>
    </row>
    <row r="38" spans="2:15" ht="12.75" customHeight="1">
      <c r="B38" s="25" t="s">
        <v>112</v>
      </c>
      <c r="C38" s="219">
        <v>173212.07675797</v>
      </c>
      <c r="D38" s="219">
        <v>137339.98518776</v>
      </c>
      <c r="E38" s="219">
        <v>136404.70000000001</v>
      </c>
      <c r="F38" s="219">
        <v>103307.6</v>
      </c>
      <c r="G38" s="219">
        <v>96210.7</v>
      </c>
      <c r="H38" s="219">
        <v>99230</v>
      </c>
      <c r="I38" s="295">
        <v>101169.48880000001</v>
      </c>
      <c r="J38" s="219">
        <v>98615.702400000009</v>
      </c>
      <c r="K38" s="219">
        <v>76033.142500000002</v>
      </c>
      <c r="L38" s="219">
        <v>62599.104200000002</v>
      </c>
      <c r="M38" s="219">
        <v>56784.314299999998</v>
      </c>
      <c r="N38" s="219">
        <v>43159.9666</v>
      </c>
    </row>
    <row r="39" spans="2:15" ht="12.75" customHeight="1">
      <c r="B39" s="92" t="s">
        <v>49</v>
      </c>
      <c r="C39" s="219">
        <v>7673</v>
      </c>
      <c r="D39" s="219">
        <v>6520.1</v>
      </c>
      <c r="E39" s="219">
        <v>5509.1</v>
      </c>
      <c r="F39" s="219">
        <v>4759.3999999999996</v>
      </c>
      <c r="G39" s="219">
        <v>4576.5</v>
      </c>
      <c r="H39" s="219">
        <v>3804.7</v>
      </c>
      <c r="I39" s="219">
        <v>3188.5</v>
      </c>
      <c r="J39" s="219">
        <v>2551.9</v>
      </c>
      <c r="K39" s="219">
        <v>1980.9</v>
      </c>
      <c r="L39" s="219">
        <v>1683.8</v>
      </c>
      <c r="M39" s="219">
        <v>1164.5</v>
      </c>
      <c r="N39" s="219">
        <v>949.2</v>
      </c>
    </row>
    <row r="40" spans="2:15" ht="12.75" customHeight="1">
      <c r="C40" s="662">
        <f>Inputs!B27-Inputs!B42</f>
        <v>7748.6999999999971</v>
      </c>
      <c r="D40" s="662">
        <f>Inputs!C27-Inputs!C42</f>
        <v>11878.699999999997</v>
      </c>
      <c r="E40" s="662">
        <f>Inputs!D27-Inputs!D42</f>
        <v>12768.600000000006</v>
      </c>
      <c r="F40" s="662">
        <f>Inputs!E27-Inputs!E42</f>
        <v>18233.300000000003</v>
      </c>
      <c r="G40" s="662">
        <f>Inputs!F27-Inputs!F42</f>
        <v>13902.399999999994</v>
      </c>
      <c r="H40" s="662">
        <f>Inputs!G27-Inputs!G42</f>
        <v>11746.900000000001</v>
      </c>
      <c r="I40" s="662">
        <f>Inputs!H27-Inputs!H42</f>
        <v>10412.100000000006</v>
      </c>
      <c r="J40" s="662">
        <f>Inputs!I27-Inputs!I42</f>
        <v>10675.800000000003</v>
      </c>
      <c r="K40" s="662">
        <f>Inputs!J27-Inputs!J42</f>
        <v>8603.5999999999985</v>
      </c>
      <c r="L40" s="662">
        <f>Inputs!K27-Inputs!K42</f>
        <v>9168.9999999999964</v>
      </c>
      <c r="M40" s="662">
        <f>Inputs!L27-Inputs!L42</f>
        <v>8186.7000000000007</v>
      </c>
      <c r="N40" s="662">
        <f>Inputs!M27-Inputs!M42</f>
        <v>6528.5</v>
      </c>
    </row>
    <row r="47" spans="2:15" ht="12.75" customHeight="1">
      <c r="B47" s="510" t="s">
        <v>490</v>
      </c>
      <c r="C47" s="681">
        <f>N40</f>
        <v>6528.5</v>
      </c>
      <c r="D47" s="662">
        <f>M40</f>
        <v>8186.7000000000007</v>
      </c>
      <c r="E47" s="662">
        <f>L40</f>
        <v>9168.9999999999964</v>
      </c>
      <c r="F47" s="662">
        <f>K40</f>
        <v>8603.5999999999985</v>
      </c>
      <c r="G47" s="662">
        <f>J40</f>
        <v>10675.800000000003</v>
      </c>
      <c r="H47" s="662">
        <f>I40</f>
        <v>10412.100000000006</v>
      </c>
      <c r="I47" s="662">
        <f>H40</f>
        <v>11746.900000000001</v>
      </c>
      <c r="J47" s="662">
        <f>G40</f>
        <v>13902.399999999994</v>
      </c>
      <c r="K47" s="662">
        <f>F40</f>
        <v>18233.300000000003</v>
      </c>
      <c r="L47" s="662">
        <f>E40</f>
        <v>12768.600000000006</v>
      </c>
      <c r="M47" s="662">
        <f>D40</f>
        <v>11878.699999999997</v>
      </c>
    </row>
    <row r="48" spans="2:15" ht="12.75" customHeight="1">
      <c r="B48" s="510" t="s">
        <v>111</v>
      </c>
      <c r="C48" s="510">
        <f>N37</f>
        <v>2012</v>
      </c>
      <c r="D48" s="510">
        <v>2013</v>
      </c>
      <c r="E48" s="510">
        <f t="shared" ref="E48:N48" si="6">D$48+1</f>
        <v>2014</v>
      </c>
      <c r="F48" s="510">
        <f t="shared" si="6"/>
        <v>2015</v>
      </c>
      <c r="G48" s="510">
        <f t="shared" si="6"/>
        <v>2016</v>
      </c>
      <c r="H48" s="510">
        <f t="shared" si="6"/>
        <v>2017</v>
      </c>
      <c r="I48" s="510">
        <f t="shared" si="6"/>
        <v>2018</v>
      </c>
      <c r="J48" s="510">
        <f t="shared" si="6"/>
        <v>2019</v>
      </c>
      <c r="K48" s="510">
        <f t="shared" si="6"/>
        <v>2020</v>
      </c>
      <c r="L48" s="510">
        <f t="shared" si="6"/>
        <v>2021</v>
      </c>
      <c r="M48" s="510">
        <f t="shared" si="6"/>
        <v>2022</v>
      </c>
      <c r="N48" s="510">
        <f t="shared" si="6"/>
        <v>2023</v>
      </c>
      <c r="O48" s="510">
        <v>2024</v>
      </c>
    </row>
    <row r="49" spans="2:16" ht="12.75" customHeight="1">
      <c r="B49" s="510" t="s">
        <v>112</v>
      </c>
      <c r="C49" s="662">
        <f>N38</f>
        <v>43159.9666</v>
      </c>
      <c r="D49" s="662">
        <f>M38</f>
        <v>56784.314299999998</v>
      </c>
      <c r="E49" s="662">
        <f>L38</f>
        <v>62599.104200000002</v>
      </c>
      <c r="F49" s="662">
        <f>K38</f>
        <v>76033.142500000002</v>
      </c>
      <c r="G49" s="662">
        <f>J38</f>
        <v>98615.702400000009</v>
      </c>
      <c r="H49" s="662">
        <f>I38</f>
        <v>101169.48880000001</v>
      </c>
      <c r="I49" s="662">
        <f>H38</f>
        <v>99230</v>
      </c>
      <c r="J49" s="662">
        <f>G38</f>
        <v>96210.7</v>
      </c>
      <c r="K49" s="662">
        <f>F38</f>
        <v>103307.6</v>
      </c>
      <c r="L49" s="662">
        <f>E38</f>
        <v>136404.70000000001</v>
      </c>
      <c r="M49" s="662">
        <f>D38</f>
        <v>137339.98518776</v>
      </c>
      <c r="N49" s="662">
        <f>C38</f>
        <v>173212.07675797</v>
      </c>
      <c r="O49" s="510">
        <v>202777</v>
      </c>
    </row>
    <row r="50" spans="2:16" ht="12.75" customHeight="1">
      <c r="D50" s="684">
        <f>(D$49-C$49)/D$49</f>
        <v>0.23993153510704626</v>
      </c>
      <c r="E50" s="684">
        <f t="shared" ref="E50:O50" si="7">(E$49-D$49)/E$49</f>
        <v>9.2889346809534742E-2</v>
      </c>
      <c r="F50" s="684">
        <f t="shared" si="7"/>
        <v>0.1766866113681938</v>
      </c>
      <c r="G50" s="684">
        <f t="shared" si="7"/>
        <v>0.22899557930847333</v>
      </c>
      <c r="H50" s="684">
        <f t="shared" si="7"/>
        <v>2.5242653988778452E-2</v>
      </c>
      <c r="I50" s="684">
        <f t="shared" si="7"/>
        <v>-1.9545387483623968E-2</v>
      </c>
      <c r="J50" s="684">
        <f t="shared" si="7"/>
        <v>-3.1382164353860882E-2</v>
      </c>
      <c r="K50" s="684">
        <f t="shared" si="7"/>
        <v>6.8696785134878827E-2</v>
      </c>
      <c r="L50" s="684">
        <f t="shared" si="7"/>
        <v>0.24263899997580732</v>
      </c>
      <c r="M50" s="684">
        <f t="shared" si="7"/>
        <v>6.8099991891024609E-3</v>
      </c>
      <c r="N50" s="684">
        <f t="shared" si="7"/>
        <v>0.20709925220938397</v>
      </c>
      <c r="O50" s="684">
        <f t="shared" si="7"/>
        <v>0.145800180701115</v>
      </c>
    </row>
    <row r="51" spans="2:16" ht="12.75" customHeight="1">
      <c r="B51" s="510" t="s">
        <v>491</v>
      </c>
      <c r="C51" s="510">
        <v>-32</v>
      </c>
      <c r="D51" s="510">
        <v>1954.4</v>
      </c>
      <c r="E51" s="510">
        <v>-1131.5</v>
      </c>
      <c r="F51" s="510">
        <v>4281.8999999999996</v>
      </c>
      <c r="G51" s="510">
        <v>450.4</v>
      </c>
      <c r="H51" s="510">
        <v>-6913.1</v>
      </c>
      <c r="I51" s="510">
        <v>12750.5</v>
      </c>
      <c r="J51" s="510">
        <v>6953</v>
      </c>
      <c r="K51" s="510" t="s">
        <v>492</v>
      </c>
      <c r="L51" s="510">
        <v>22236.6</v>
      </c>
      <c r="M51" s="510">
        <v>-4094.8</v>
      </c>
      <c r="N51" s="510">
        <v>-687.5</v>
      </c>
      <c r="O51" s="510">
        <v>17467</v>
      </c>
    </row>
    <row r="52" spans="2:16" ht="12.75" customHeight="1">
      <c r="B52" s="510" t="s">
        <v>493</v>
      </c>
      <c r="D52" s="510">
        <f t="shared" ref="D52:O52" si="8">(D49-C49)/C49</f>
        <v>0.31567095095944764</v>
      </c>
      <c r="E52" s="510">
        <f t="shared" si="8"/>
        <v>0.10240134043495888</v>
      </c>
      <c r="F52" s="510">
        <f t="shared" si="8"/>
        <v>0.21460432176599742</v>
      </c>
      <c r="G52" s="510">
        <f t="shared" si="8"/>
        <v>0.29700942454140977</v>
      </c>
      <c r="H52" s="510">
        <f t="shared" si="8"/>
        <v>2.5896346503130489E-2</v>
      </c>
      <c r="I52" s="510">
        <f t="shared" si="8"/>
        <v>-1.9170688939964341E-2</v>
      </c>
      <c r="J52" s="510">
        <f t="shared" si="8"/>
        <v>-3.0427290134032076E-2</v>
      </c>
      <c r="K52" s="510">
        <f t="shared" si="8"/>
        <v>7.3764144736500295E-2</v>
      </c>
      <c r="L52" s="510">
        <f t="shared" si="8"/>
        <v>0.32037429966430353</v>
      </c>
      <c r="M52" s="510">
        <f t="shared" si="8"/>
        <v>6.8566932646748208E-3</v>
      </c>
      <c r="N52" s="510">
        <f t="shared" si="8"/>
        <v>0.26119189922125458</v>
      </c>
      <c r="O52" s="510">
        <f t="shared" si="8"/>
        <v>0.17068626966086892</v>
      </c>
      <c r="P52" s="518">
        <f>AVERAGE(D52:O52)</f>
        <v>0.14490480930654581</v>
      </c>
    </row>
    <row r="55" spans="2:16" ht="12.75" customHeight="1">
      <c r="G55" s="510" t="s">
        <v>494</v>
      </c>
      <c r="I55" s="510" t="s">
        <v>495</v>
      </c>
    </row>
    <row r="65" spans="1:15">
      <c r="A65" s="522"/>
    </row>
    <row r="66" spans="1:15">
      <c r="A66" s="522"/>
    </row>
    <row r="67" spans="1:15">
      <c r="A67" s="522"/>
    </row>
    <row r="76" spans="1:15" ht="12.75" customHeight="1">
      <c r="C76" s="510">
        <v>2012</v>
      </c>
      <c r="D76" s="510">
        <v>2013</v>
      </c>
      <c r="E76" s="510">
        <f t="shared" ref="E76" si="9">D$48+1</f>
        <v>2014</v>
      </c>
      <c r="F76" s="510">
        <f t="shared" ref="F76" si="10">E$48+1</f>
        <v>2015</v>
      </c>
      <c r="G76" s="510">
        <f t="shared" ref="G76" si="11">F$48+1</f>
        <v>2016</v>
      </c>
      <c r="H76" s="510">
        <f t="shared" ref="H76" si="12">G$48+1</f>
        <v>2017</v>
      </c>
      <c r="I76" s="510">
        <f t="shared" ref="I76" si="13">H$48+1</f>
        <v>2018</v>
      </c>
      <c r="J76" s="510">
        <f t="shared" ref="J76" si="14">I$48+1</f>
        <v>2019</v>
      </c>
      <c r="K76" s="510">
        <f t="shared" ref="K76" si="15">J$48+1</f>
        <v>2020</v>
      </c>
      <c r="L76" s="510">
        <f t="shared" ref="L76" si="16">K$48+1</f>
        <v>2021</v>
      </c>
      <c r="M76" s="510">
        <f t="shared" ref="M76" si="17">L$48+1</f>
        <v>2022</v>
      </c>
      <c r="N76" s="510">
        <f t="shared" ref="N76" si="18">M$48+1</f>
        <v>2023</v>
      </c>
      <c r="O76" s="510">
        <v>2024</v>
      </c>
    </row>
    <row r="77" spans="1:15" ht="12.75" customHeight="1">
      <c r="C77" s="60">
        <v>57926.1</v>
      </c>
      <c r="D77" s="60">
        <v>60783.9</v>
      </c>
      <c r="E77" s="60">
        <v>48289.9</v>
      </c>
      <c r="F77" s="60">
        <v>38746.400000000009</v>
      </c>
      <c r="G77" s="60">
        <v>17660.400000000001</v>
      </c>
      <c r="H77" s="60">
        <v>19163</v>
      </c>
      <c r="I77" s="60">
        <v>17391</v>
      </c>
      <c r="J77" s="60">
        <v>4464.8</v>
      </c>
      <c r="K77" s="60">
        <v>5913.8</v>
      </c>
      <c r="L77" s="60">
        <v>4213.8</v>
      </c>
      <c r="M77" s="60">
        <v>4791</v>
      </c>
      <c r="N77" s="60">
        <v>4393.3999999999996</v>
      </c>
    </row>
    <row r="78" spans="1:15" ht="12.75" customHeight="1">
      <c r="B78" s="510" t="s">
        <v>111</v>
      </c>
      <c r="C78" s="510">
        <v>2012</v>
      </c>
      <c r="D78" s="510">
        <v>2013</v>
      </c>
      <c r="E78" s="510">
        <f t="shared" ref="E78" si="19">D$48+1</f>
        <v>2014</v>
      </c>
      <c r="F78" s="510">
        <f t="shared" ref="F78" si="20">E$48+1</f>
        <v>2015</v>
      </c>
      <c r="G78" s="510">
        <f t="shared" ref="G78" si="21">F$48+1</f>
        <v>2016</v>
      </c>
      <c r="H78" s="510">
        <f t="shared" ref="H78" si="22">G$48+1</f>
        <v>2017</v>
      </c>
      <c r="I78" s="510">
        <f t="shared" ref="I78" si="23">H$48+1</f>
        <v>2018</v>
      </c>
      <c r="J78" s="510">
        <f t="shared" ref="J78" si="24">I$48+1</f>
        <v>2019</v>
      </c>
      <c r="K78" s="510">
        <f t="shared" ref="K78" si="25">J$48+1</f>
        <v>2020</v>
      </c>
      <c r="L78" s="510">
        <f t="shared" ref="L78" si="26">K$48+1</f>
        <v>2021</v>
      </c>
      <c r="M78" s="510">
        <f t="shared" ref="M78" si="27">L$48+1</f>
        <v>2022</v>
      </c>
      <c r="N78" s="510">
        <f t="shared" ref="N78" si="28">M$48+1</f>
        <v>2023</v>
      </c>
      <c r="O78" s="510">
        <v>2024</v>
      </c>
    </row>
    <row r="79" spans="1:15" ht="12.75" customHeight="1">
      <c r="B79" s="510" t="s">
        <v>396</v>
      </c>
      <c r="C79" s="662">
        <f>N77</f>
        <v>4393.3999999999996</v>
      </c>
      <c r="D79" s="662">
        <f>M77</f>
        <v>4791</v>
      </c>
      <c r="E79" s="662">
        <f>L77</f>
        <v>4213.8</v>
      </c>
      <c r="F79" s="662">
        <f>K77</f>
        <v>5913.8</v>
      </c>
      <c r="G79" s="662">
        <f>J77</f>
        <v>4464.8</v>
      </c>
      <c r="H79" s="662">
        <f>I77</f>
        <v>17391</v>
      </c>
      <c r="I79" s="662">
        <f>H77</f>
        <v>19163</v>
      </c>
      <c r="J79" s="662">
        <f>G77</f>
        <v>17660.400000000001</v>
      </c>
      <c r="K79" s="662">
        <f>F77</f>
        <v>38746.400000000009</v>
      </c>
      <c r="L79" s="662">
        <f>E77</f>
        <v>48289.9</v>
      </c>
      <c r="M79" s="662">
        <f>D77</f>
        <v>60783.9</v>
      </c>
      <c r="N79" s="662">
        <f>C77</f>
        <v>57926.1</v>
      </c>
    </row>
    <row r="81" spans="2:2" ht="12.75" customHeight="1">
      <c r="B81" s="510" t="s">
        <v>496</v>
      </c>
    </row>
  </sheetData>
  <mergeCells count="1">
    <mergeCell ref="C15:H15"/>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IA99"/>
  <sheetViews>
    <sheetView zoomScale="87" zoomScaleNormal="55" workbookViewId="0">
      <selection activeCell="A9" sqref="A9"/>
    </sheetView>
  </sheetViews>
  <sheetFormatPr defaultColWidth="11.42578125" defaultRowHeight="12.75"/>
  <cols>
    <col min="1" max="1" width="36.140625" style="10" customWidth="1"/>
    <col min="2" max="10" width="12.42578125" style="43" customWidth="1"/>
    <col min="11" max="12" width="12.42578125" style="50" customWidth="1"/>
    <col min="13" max="13" width="12.140625" style="50" customWidth="1"/>
    <col min="14" max="19" width="11.42578125" style="42"/>
    <col min="20" max="20" width="19" style="42" bestFit="1" customWidth="1"/>
    <col min="21" max="16384" width="11.42578125" style="42"/>
  </cols>
  <sheetData>
    <row r="1" spans="1:25" ht="15.75">
      <c r="A1" s="1071" t="e" vm="1">
        <f>Inputs!D3</f>
        <v>#VALUE!</v>
      </c>
      <c r="B1" s="1071"/>
      <c r="C1" s="1071"/>
      <c r="D1" s="1071"/>
      <c r="E1" s="1071"/>
      <c r="F1" s="1071"/>
      <c r="G1" s="1071"/>
      <c r="H1" s="660"/>
      <c r="I1" s="660"/>
      <c r="J1" s="660"/>
      <c r="K1" s="660"/>
      <c r="L1" s="660"/>
      <c r="M1" s="660"/>
    </row>
    <row r="2" spans="1:25" ht="12.75" customHeight="1">
      <c r="A2" s="1070" t="str">
        <f>Inputs!C2</f>
        <v>Figures in Millions of USD</v>
      </c>
      <c r="B2" s="1070"/>
      <c r="C2" s="1070"/>
      <c r="D2" s="1070"/>
      <c r="E2" s="1070"/>
      <c r="F2" s="1070"/>
      <c r="G2" s="1070"/>
      <c r="K2" s="43"/>
      <c r="L2" s="43"/>
      <c r="M2" s="43"/>
    </row>
    <row r="3" spans="1:25" ht="20.25">
      <c r="A3" s="1072" t="s">
        <v>497</v>
      </c>
      <c r="B3" s="1072"/>
      <c r="C3" s="1072"/>
      <c r="D3" s="1072"/>
      <c r="E3" s="1072"/>
      <c r="F3" s="1072"/>
      <c r="G3" s="1072"/>
      <c r="H3" s="659"/>
      <c r="I3" s="659"/>
      <c r="J3" s="659"/>
      <c r="K3" s="659"/>
      <c r="L3" s="659"/>
      <c r="M3" s="659"/>
    </row>
    <row r="4" spans="1:25">
      <c r="A4" s="101"/>
      <c r="B4" s="53">
        <f>OP!J15</f>
        <v>2023</v>
      </c>
      <c r="C4" s="44">
        <f>B4-1</f>
        <v>2022</v>
      </c>
      <c r="D4" s="44">
        <f t="shared" ref="D4:M4" si="0">C4-1</f>
        <v>2021</v>
      </c>
      <c r="E4" s="44">
        <f t="shared" si="0"/>
        <v>2020</v>
      </c>
      <c r="F4" s="44">
        <f t="shared" si="0"/>
        <v>2019</v>
      </c>
      <c r="G4" s="44">
        <f t="shared" si="0"/>
        <v>2018</v>
      </c>
      <c r="H4" s="44">
        <f t="shared" si="0"/>
        <v>2017</v>
      </c>
      <c r="I4" s="44">
        <f t="shared" si="0"/>
        <v>2016</v>
      </c>
      <c r="J4" s="44">
        <f>I4-1</f>
        <v>2015</v>
      </c>
      <c r="K4" s="44">
        <f t="shared" si="0"/>
        <v>2014</v>
      </c>
      <c r="L4" s="44">
        <f t="shared" si="0"/>
        <v>2013</v>
      </c>
      <c r="M4" s="44">
        <f t="shared" si="0"/>
        <v>2012</v>
      </c>
      <c r="N4" s="42" t="s">
        <v>498</v>
      </c>
      <c r="O4" s="42" t="s">
        <v>499</v>
      </c>
      <c r="P4" s="42" t="s">
        <v>500</v>
      </c>
      <c r="Q4" s="42" t="s">
        <v>501</v>
      </c>
      <c r="R4" s="42" t="s">
        <v>502</v>
      </c>
      <c r="S4" s="42" t="s">
        <v>503</v>
      </c>
      <c r="T4" s="42" t="s">
        <v>504</v>
      </c>
    </row>
    <row r="5" spans="1:25">
      <c r="A5" s="102" t="s">
        <v>112</v>
      </c>
      <c r="B5" s="54">
        <f>_xlfn.XLOOKUP($A5,Inputs!$A:$A,Inputs!B:B,,0)</f>
        <v>173212.07675797</v>
      </c>
      <c r="C5" s="54">
        <f>_xlfn.XLOOKUP($A5,Inputs!$A:$A,Inputs!C:C,,0)</f>
        <v>137339.98518776</v>
      </c>
      <c r="D5" s="54">
        <f>_xlfn.XLOOKUP($A5,Inputs!$A:$A,Inputs!D:D,,0)</f>
        <v>136404.70000000001</v>
      </c>
      <c r="E5" s="54">
        <f>_xlfn.XLOOKUP($A5,Inputs!$A:$A,Inputs!E:E,,0)</f>
        <v>103307.6</v>
      </c>
      <c r="F5" s="54">
        <f>_xlfn.XLOOKUP($A5,Inputs!$A:$A,Inputs!F:F,,0)</f>
        <v>96210.7</v>
      </c>
      <c r="G5" s="54">
        <f>_xlfn.XLOOKUP($A5,Inputs!$A:$A,Inputs!G:G,,0)</f>
        <v>99230</v>
      </c>
      <c r="H5" s="54">
        <f>_xlfn.XLOOKUP($A5,Inputs!$A:$A,Inputs!H:H,,0)</f>
        <v>101169.48880000001</v>
      </c>
      <c r="I5" s="54">
        <f>_xlfn.XLOOKUP($A5,Inputs!$A:$A,Inputs!I:I,,0)</f>
        <v>98615.702400000009</v>
      </c>
      <c r="J5" s="54">
        <f>_xlfn.XLOOKUP($A5,Inputs!$A:$A,Inputs!J:J,,0)</f>
        <v>76033.142500000002</v>
      </c>
      <c r="K5" s="54">
        <f>_xlfn.XLOOKUP($A5,Inputs!$A:$A,Inputs!K:K,,0)</f>
        <v>62599.104200000002</v>
      </c>
      <c r="L5" s="54">
        <f>_xlfn.XLOOKUP($A5,Inputs!$A:$A,Inputs!L:L,,0)</f>
        <v>56784.314299999998</v>
      </c>
      <c r="M5" s="55">
        <f>_xlfn.XLOOKUP($A5,Inputs!$A:$A,Inputs!M:M,,0)</f>
        <v>43159.9666</v>
      </c>
      <c r="N5" s="52">
        <f t="shared" ref="N5:N13" si="1">AVERAGE(B5:M5)</f>
        <v>98672.231728810832</v>
      </c>
      <c r="O5" s="52">
        <f>AVERAGE(B5:D5)</f>
        <v>148985.58731524335</v>
      </c>
      <c r="P5" s="52">
        <f>AVERAGE(B5:F5)</f>
        <v>129295.012389146</v>
      </c>
      <c r="Q5" s="52">
        <f>AVERAGE(B5:H5)</f>
        <v>120982.07867796144</v>
      </c>
      <c r="R5" s="52">
        <f>AVERAGE(B5:K5)</f>
        <v>108412.24998457302</v>
      </c>
      <c r="S5" s="671"/>
    </row>
    <row r="6" spans="1:25">
      <c r="A6" s="103" t="s">
        <v>505</v>
      </c>
      <c r="B6" s="56">
        <f t="shared" ref="B6:L6" si="2">IFERROR(B5/C5-1,"-")</f>
        <v>0.26119189922125452</v>
      </c>
      <c r="C6" s="56">
        <f t="shared" si="2"/>
        <v>6.8566932646747514E-3</v>
      </c>
      <c r="D6" s="56">
        <f t="shared" si="2"/>
        <v>0.32037429966430353</v>
      </c>
      <c r="E6" s="56">
        <f t="shared" si="2"/>
        <v>7.3764144736500281E-2</v>
      </c>
      <c r="F6" s="56">
        <f t="shared" si="2"/>
        <v>-3.0427290134032114E-2</v>
      </c>
      <c r="G6" s="56">
        <f t="shared" si="2"/>
        <v>-1.917068893996432E-2</v>
      </c>
      <c r="H6" s="56">
        <f t="shared" si="2"/>
        <v>2.5896346503130552E-2</v>
      </c>
      <c r="I6" s="56">
        <f t="shared" si="2"/>
        <v>0.29700942454140988</v>
      </c>
      <c r="J6" s="56">
        <f t="shared" si="2"/>
        <v>0.21460432176599742</v>
      </c>
      <c r="K6" s="56">
        <f t="shared" si="2"/>
        <v>0.10240134043495885</v>
      </c>
      <c r="L6" s="56">
        <f t="shared" si="2"/>
        <v>0.31567095095944775</v>
      </c>
      <c r="M6" s="57" t="str">
        <f>IFERROR(M5/#REF!-1,"-")</f>
        <v>-</v>
      </c>
      <c r="N6" s="229">
        <f t="shared" si="1"/>
        <v>0.14256104018342555</v>
      </c>
      <c r="O6" s="229">
        <f t="shared" ref="O6:O36" si="3">AVERAGE(B6:D6)</f>
        <v>0.19614096405007761</v>
      </c>
      <c r="P6" s="229">
        <f t="shared" ref="P6:P36" si="4">AVERAGE(B6:F6)</f>
        <v>0.1263519493505402</v>
      </c>
      <c r="Q6" s="229">
        <f t="shared" ref="Q6:Q36" si="5">AVERAGE(B6:H6)</f>
        <v>9.1212200616552455E-2</v>
      </c>
      <c r="R6" s="229">
        <f t="shared" ref="R6:R36" si="6">AVERAGE(B6:K6)</f>
        <v>0.12525004910582332</v>
      </c>
      <c r="S6" s="671"/>
    </row>
    <row r="7" spans="1:25">
      <c r="A7" s="102" t="s">
        <v>506</v>
      </c>
      <c r="B7" s="54">
        <f>_xlfn.XLOOKUP($A7,Inputs!$A:$A,Inputs!B:B,,0)</f>
        <v>32438.9</v>
      </c>
      <c r="C7" s="54">
        <f>_xlfn.XLOOKUP($A7,Inputs!$A:$A,Inputs!C:C,,0)</f>
        <v>26600.7</v>
      </c>
      <c r="D7" s="54">
        <f>_xlfn.XLOOKUP($A7,Inputs!$A:$A,Inputs!D:D,,0)</f>
        <v>22037.200000000001</v>
      </c>
      <c r="E7" s="54">
        <f>_xlfn.XLOOKUP($A7,Inputs!$A:$A,Inputs!E:E,,0)</f>
        <v>17776.599999999999</v>
      </c>
      <c r="F7" s="54">
        <f>_xlfn.XLOOKUP($A7,Inputs!$A:$A,Inputs!F:F,,0)</f>
        <v>16187.6</v>
      </c>
      <c r="G7" s="54">
        <f>_xlfn.XLOOKUP($A7,Inputs!$A:$A,Inputs!G:G,,0)</f>
        <v>17366.099999999999</v>
      </c>
      <c r="H7" s="54">
        <f>_xlfn.XLOOKUP($A7,Inputs!$A:$A,Inputs!H:H,,0)</f>
        <v>19122.887416669997</v>
      </c>
      <c r="I7" s="54">
        <f>_xlfn.XLOOKUP($A7,Inputs!$A:$A,Inputs!I:I,,0)</f>
        <v>24238.35365415</v>
      </c>
      <c r="J7" s="54">
        <f>_xlfn.XLOOKUP($A7,Inputs!$A:$A,Inputs!J:J,,0)</f>
        <v>19162.21728347</v>
      </c>
      <c r="K7" s="54">
        <f>_xlfn.XLOOKUP($A7,Inputs!$A:$A,Inputs!K:K,,0)</f>
        <v>17339.011536279999</v>
      </c>
      <c r="L7" s="54">
        <f>_xlfn.XLOOKUP($A7,Inputs!$A:$A,Inputs!L:L,,0)</f>
        <v>16246.319682179999</v>
      </c>
      <c r="M7" s="55">
        <f>_xlfn.XLOOKUP($A7,Inputs!$A:$A,Inputs!M:M,,0)</f>
        <v>10003.700000000001</v>
      </c>
      <c r="N7" s="52">
        <f t="shared" si="1"/>
        <v>19876.632464395836</v>
      </c>
      <c r="O7" s="52">
        <f t="shared" si="3"/>
        <v>27025.600000000002</v>
      </c>
      <c r="P7" s="52">
        <f t="shared" si="4"/>
        <v>23008.2</v>
      </c>
      <c r="Q7" s="52">
        <f t="shared" si="5"/>
        <v>21647.141059524289</v>
      </c>
      <c r="R7" s="52">
        <f t="shared" si="6"/>
        <v>21226.956989057002</v>
      </c>
      <c r="S7" s="671"/>
    </row>
    <row r="8" spans="1:25">
      <c r="A8" s="103" t="s">
        <v>507</v>
      </c>
      <c r="B8" s="56">
        <f>IFERROR(B7/B$5,"-")</f>
        <v>0.18727851202504212</v>
      </c>
      <c r="C8" s="56">
        <f t="shared" ref="C8:M8" si="7">IFERROR(C7/C$5,"-")</f>
        <v>0.19368503617962168</v>
      </c>
      <c r="D8" s="56">
        <f t="shared" si="7"/>
        <v>0.16155748298995562</v>
      </c>
      <c r="E8" s="56">
        <f t="shared" si="7"/>
        <v>0.17207446499579893</v>
      </c>
      <c r="F8" s="56">
        <f t="shared" si="7"/>
        <v>0.16825155621983834</v>
      </c>
      <c r="G8" s="56">
        <f t="shared" si="7"/>
        <v>0.17500856595787562</v>
      </c>
      <c r="H8" s="56">
        <f t="shared" si="7"/>
        <v>0.18901832601401852</v>
      </c>
      <c r="I8" s="56">
        <f t="shared" si="7"/>
        <v>0.24578594548599997</v>
      </c>
      <c r="J8" s="56">
        <f t="shared" si="7"/>
        <v>0.25202453368897648</v>
      </c>
      <c r="K8" s="56">
        <f t="shared" si="7"/>
        <v>0.27698497858504495</v>
      </c>
      <c r="L8" s="56">
        <f t="shared" si="7"/>
        <v>0.28610576498904733</v>
      </c>
      <c r="M8" s="57">
        <f t="shared" si="7"/>
        <v>0.23178192172187642</v>
      </c>
      <c r="N8" s="229">
        <f t="shared" si="1"/>
        <v>0.21162975740442469</v>
      </c>
      <c r="O8" s="229">
        <f t="shared" si="3"/>
        <v>0.18084034373153982</v>
      </c>
      <c r="P8" s="229">
        <f t="shared" si="4"/>
        <v>0.17656941048205135</v>
      </c>
      <c r="Q8" s="229">
        <f t="shared" si="5"/>
        <v>0.17812484919745011</v>
      </c>
      <c r="R8" s="229">
        <f t="shared" si="6"/>
        <v>0.20216694021421727</v>
      </c>
      <c r="S8" s="673"/>
      <c r="T8" s="675">
        <f>(B8-L8)/L8</f>
        <v>-0.34542209580358685</v>
      </c>
    </row>
    <row r="9" spans="1:25">
      <c r="A9" s="102" t="s">
        <v>508</v>
      </c>
      <c r="B9" s="54">
        <f t="shared" ref="B9:M9" si="8">B5-B11</f>
        <v>166897.97675797</v>
      </c>
      <c r="C9" s="54">
        <f t="shared" si="8"/>
        <v>132531.98518776</v>
      </c>
      <c r="D9" s="54">
        <f t="shared" si="8"/>
        <v>131593.30000000002</v>
      </c>
      <c r="E9" s="54">
        <f t="shared" si="8"/>
        <v>98115.400000000009</v>
      </c>
      <c r="F9" s="54">
        <f t="shared" si="8"/>
        <v>91800.4</v>
      </c>
      <c r="G9" s="54">
        <f t="shared" si="8"/>
        <v>93711.1</v>
      </c>
      <c r="H9" s="54">
        <f t="shared" si="8"/>
        <v>95300.988800000006</v>
      </c>
      <c r="I9" s="54">
        <f t="shared" si="8"/>
        <v>86389.202400000009</v>
      </c>
      <c r="J9" s="54">
        <f t="shared" si="8"/>
        <v>66711.442500000005</v>
      </c>
      <c r="K9" s="54">
        <f t="shared" si="8"/>
        <v>53516.604200000002</v>
      </c>
      <c r="L9" s="54">
        <f t="shared" si="8"/>
        <v>47259.314299999998</v>
      </c>
      <c r="M9" s="55">
        <f t="shared" si="8"/>
        <v>36621.166599999997</v>
      </c>
      <c r="N9" s="52">
        <f t="shared" si="1"/>
        <v>91704.073395477535</v>
      </c>
      <c r="O9" s="52">
        <f t="shared" si="3"/>
        <v>143674.42064857669</v>
      </c>
      <c r="P9" s="52">
        <f t="shared" si="4"/>
        <v>124187.81238914603</v>
      </c>
      <c r="Q9" s="52">
        <f t="shared" si="5"/>
        <v>115707.30724939003</v>
      </c>
      <c r="R9" s="52">
        <f t="shared" si="6"/>
        <v>101656.83998457303</v>
      </c>
      <c r="S9" s="671"/>
    </row>
    <row r="10" spans="1:25">
      <c r="A10" s="103" t="s">
        <v>507</v>
      </c>
      <c r="B10" s="56">
        <f>IFERROR(B9/B$5,"-")</f>
        <v>0.96354699904197372</v>
      </c>
      <c r="C10" s="56">
        <f t="shared" ref="C10:M10" si="9">IFERROR(C9/C$5,"-")</f>
        <v>0.96499198690441901</v>
      </c>
      <c r="D10" s="56">
        <f t="shared" si="9"/>
        <v>0.96472702186948112</v>
      </c>
      <c r="E10" s="56">
        <f t="shared" si="9"/>
        <v>0.94974038696088192</v>
      </c>
      <c r="F10" s="56">
        <f t="shared" si="9"/>
        <v>0.95415998428449222</v>
      </c>
      <c r="G10" s="56">
        <f t="shared" si="9"/>
        <v>0.94438274715307879</v>
      </c>
      <c r="H10" s="56">
        <f t="shared" si="9"/>
        <v>0.94199338091347562</v>
      </c>
      <c r="I10" s="56">
        <f t="shared" si="9"/>
        <v>0.87601873025851917</v>
      </c>
      <c r="J10" s="56">
        <f t="shared" si="9"/>
        <v>0.87739951692776608</v>
      </c>
      <c r="K10" s="56">
        <f t="shared" si="9"/>
        <v>0.85491006435200712</v>
      </c>
      <c r="L10" s="56">
        <f t="shared" si="9"/>
        <v>0.83226001550924777</v>
      </c>
      <c r="M10" s="57">
        <f t="shared" si="9"/>
        <v>0.84849849258224397</v>
      </c>
      <c r="N10" s="229">
        <f t="shared" si="1"/>
        <v>0.91438577722979897</v>
      </c>
      <c r="O10" s="229">
        <f t="shared" si="3"/>
        <v>0.96442200260529132</v>
      </c>
      <c r="P10" s="229">
        <f t="shared" si="4"/>
        <v>0.95943327581224958</v>
      </c>
      <c r="Q10" s="229">
        <f t="shared" si="5"/>
        <v>0.95479178673254328</v>
      </c>
      <c r="R10" s="229">
        <f t="shared" si="6"/>
        <v>0.92918708186660959</v>
      </c>
      <c r="S10" s="671"/>
    </row>
    <row r="11" spans="1:25">
      <c r="A11" s="102" t="s">
        <v>278</v>
      </c>
      <c r="B11" s="54">
        <f>_xlfn.XLOOKUP($A11,Inputs!$A:$A,Inputs!B:B,,0)</f>
        <v>6314.1</v>
      </c>
      <c r="C11" s="54">
        <f>_xlfn.XLOOKUP($A11,Inputs!$A:$A,Inputs!C:C,,0)</f>
        <v>4808</v>
      </c>
      <c r="D11" s="54">
        <f>_xlfn.XLOOKUP($A11,Inputs!$A:$A,Inputs!D:D,,0)</f>
        <v>4811.3999999999996</v>
      </c>
      <c r="E11" s="54">
        <f>_xlfn.XLOOKUP($A11,Inputs!$A:$A,Inputs!E:E,,0)</f>
        <v>5192.2</v>
      </c>
      <c r="F11" s="54">
        <f>_xlfn.XLOOKUP($A11,Inputs!$A:$A,Inputs!F:F,,0)</f>
        <v>4410.3</v>
      </c>
      <c r="G11" s="54">
        <f>_xlfn.XLOOKUP($A11,Inputs!$A:$A,Inputs!G:G,,0)</f>
        <v>5518.9</v>
      </c>
      <c r="H11" s="54">
        <f>_xlfn.XLOOKUP($A11,Inputs!$A:$A,Inputs!H:H,,0)</f>
        <v>5868.5</v>
      </c>
      <c r="I11" s="54">
        <f>_xlfn.XLOOKUP($A11,Inputs!$A:$A,Inputs!I:I,,0)</f>
        <v>12226.5</v>
      </c>
      <c r="J11" s="54">
        <f>_xlfn.XLOOKUP($A11,Inputs!$A:$A,Inputs!J:J,,0)</f>
        <v>9321.7000000000007</v>
      </c>
      <c r="K11" s="54">
        <f>_xlfn.XLOOKUP($A11,Inputs!$A:$A,Inputs!K:K,,0)</f>
        <v>9082.5</v>
      </c>
      <c r="L11" s="54">
        <f>_xlfn.XLOOKUP($A11,Inputs!$A:$A,Inputs!L:L,,0)</f>
        <v>9525</v>
      </c>
      <c r="M11" s="55">
        <f>_xlfn.XLOOKUP($A11,Inputs!$A:$A,Inputs!M:M,,0)</f>
        <v>6538.8</v>
      </c>
      <c r="N11" s="52">
        <f t="shared" si="1"/>
        <v>6968.1583333333338</v>
      </c>
      <c r="O11" s="52">
        <f t="shared" si="3"/>
        <v>5311.166666666667</v>
      </c>
      <c r="P11" s="52">
        <f t="shared" si="4"/>
        <v>5107.2</v>
      </c>
      <c r="Q11" s="52">
        <f t="shared" si="5"/>
        <v>5274.7714285714292</v>
      </c>
      <c r="R11" s="52">
        <f t="shared" si="6"/>
        <v>6755.4100000000008</v>
      </c>
      <c r="S11" s="673"/>
      <c r="T11" s="676">
        <f>(B11-I11)/I11</f>
        <v>-0.48357256778309404</v>
      </c>
    </row>
    <row r="12" spans="1:25">
      <c r="A12" s="103" t="s">
        <v>113</v>
      </c>
      <c r="B12" s="56">
        <f t="shared" ref="B12:M12" si="10">IFERROR(B11/B$5,"-")</f>
        <v>3.6453000958026269E-2</v>
      </c>
      <c r="C12" s="56">
        <f t="shared" si="10"/>
        <v>3.5008013095580978E-2</v>
      </c>
      <c r="D12" s="56">
        <f t="shared" si="10"/>
        <v>3.527297813051896E-2</v>
      </c>
      <c r="E12" s="56">
        <f t="shared" si="10"/>
        <v>5.0259613039118127E-2</v>
      </c>
      <c r="F12" s="56">
        <f t="shared" si="10"/>
        <v>4.5840015715507741E-2</v>
      </c>
      <c r="G12" s="56">
        <f t="shared" si="10"/>
        <v>5.5617252846921289E-2</v>
      </c>
      <c r="H12" s="56">
        <f t="shared" si="10"/>
        <v>5.8006619086524429E-2</v>
      </c>
      <c r="I12" s="56">
        <f t="shared" si="10"/>
        <v>0.12398126974148084</v>
      </c>
      <c r="J12" s="56">
        <f t="shared" si="10"/>
        <v>0.12260048307223394</v>
      </c>
      <c r="K12" s="56">
        <f t="shared" si="10"/>
        <v>0.14508993564799286</v>
      </c>
      <c r="L12" s="56">
        <f t="shared" si="10"/>
        <v>0.16773998449075223</v>
      </c>
      <c r="M12" s="57">
        <f t="shared" si="10"/>
        <v>0.15150150741775598</v>
      </c>
      <c r="N12" s="229">
        <f t="shared" si="1"/>
        <v>8.5614222770201143E-2</v>
      </c>
      <c r="O12" s="229">
        <f t="shared" si="3"/>
        <v>3.5577997394708738E-2</v>
      </c>
      <c r="P12" s="229">
        <f t="shared" si="4"/>
        <v>4.0566724187750418E-2</v>
      </c>
      <c r="Q12" s="229">
        <f t="shared" si="5"/>
        <v>4.5208213267456832E-2</v>
      </c>
      <c r="R12" s="229">
        <f t="shared" si="6"/>
        <v>7.0812918133390551E-2</v>
      </c>
      <c r="S12" s="672"/>
      <c r="T12" s="675">
        <f>(B12-L12)/L12</f>
        <v>-0.78268150513608759</v>
      </c>
    </row>
    <row r="13" spans="1:25">
      <c r="A13" s="102" t="s">
        <v>509</v>
      </c>
      <c r="B13" s="56">
        <f t="shared" ref="B13" si="11">IFERROR(B12/C12-1,"-")</f>
        <v>4.1275917559219888E-2</v>
      </c>
      <c r="C13" s="56">
        <f t="shared" ref="C13" si="12">IFERROR(C12/D12-1,"-")</f>
        <v>-7.5118418965799405E-3</v>
      </c>
      <c r="D13" s="56">
        <f t="shared" ref="D13" si="13">IFERROR(D12/E12-1,"-")</f>
        <v>-0.29818444676314459</v>
      </c>
      <c r="E13" s="56">
        <f t="shared" ref="E13" si="14">IFERROR(E12/F12-1,"-")</f>
        <v>9.6413521126154977E-2</v>
      </c>
      <c r="F13" s="56">
        <f t="shared" ref="F13" si="15">IFERROR(F12/G12-1,"-")</f>
        <v>-0.17579503896612847</v>
      </c>
      <c r="G13" s="56">
        <f t="shared" ref="G13" si="16">IFERROR(G12/H12-1,"-")</f>
        <v>-4.1191268810876425E-2</v>
      </c>
      <c r="H13" s="56">
        <f t="shared" ref="H13" si="17">IFERROR(H12/I12-1,"-")</f>
        <v>-0.53213401340801925</v>
      </c>
      <c r="I13" s="56">
        <f t="shared" ref="I13" si="18">IFERROR(I12/J12-1,"-")</f>
        <v>1.126248963010501E-2</v>
      </c>
      <c r="J13" s="56">
        <f t="shared" ref="J13" si="19">IFERROR(J12/K12-1,"-")</f>
        <v>-0.15500353263868882</v>
      </c>
      <c r="K13" s="56">
        <f t="shared" ref="K13" si="20">IFERROR(K12/L12-1,"-")</f>
        <v>-0.13503070786326499</v>
      </c>
      <c r="L13" s="56">
        <f t="shared" ref="L13" si="21">IFERROR(L12/M12-1,"-")</f>
        <v>0.10718360067678834</v>
      </c>
      <c r="M13" s="57" t="str">
        <f>IFERROR(M12/#REF!-1,"-")</f>
        <v>-</v>
      </c>
      <c r="N13" s="229">
        <f t="shared" si="1"/>
        <v>-9.8974120123130394E-2</v>
      </c>
      <c r="O13" s="229">
        <f t="shared" si="3"/>
        <v>-8.8140123700168216E-2</v>
      </c>
      <c r="P13" s="229">
        <f t="shared" si="4"/>
        <v>-6.8760377788095628E-2</v>
      </c>
      <c r="Q13" s="229">
        <f t="shared" si="5"/>
        <v>-0.13101816730848198</v>
      </c>
      <c r="R13" s="229">
        <f t="shared" si="6"/>
        <v>-0.11958989220312226</v>
      </c>
      <c r="S13" s="673"/>
    </row>
    <row r="14" spans="1:25">
      <c r="A14" s="104" t="s">
        <v>279</v>
      </c>
      <c r="B14" s="54">
        <f>_xlfn.XLOOKUP($A14,Inputs!$A:$A,Inputs!B:B,,0)</f>
        <v>1509.9</v>
      </c>
      <c r="C14" s="54">
        <f>_xlfn.XLOOKUP($A14,Inputs!$A:$A,Inputs!C:C,,0)</f>
        <v>3998.6</v>
      </c>
      <c r="D14" s="54">
        <f>_xlfn.XLOOKUP($A14,Inputs!$A:$A,Inputs!D:D,,0)</f>
        <v>2670.8</v>
      </c>
      <c r="E14" s="54">
        <f>_xlfn.XLOOKUP($A14,Inputs!$A:$A,Inputs!E:E,,0)</f>
        <v>1035.0999999999999</v>
      </c>
      <c r="F14" s="54">
        <f>_xlfn.XLOOKUP($A14,Inputs!$A:$A,Inputs!F:F,,0)</f>
        <v>690.2</v>
      </c>
      <c r="G14" s="54">
        <f>_xlfn.XLOOKUP($A14,Inputs!$A:$A,Inputs!G:G,,0)</f>
        <v>958.2</v>
      </c>
      <c r="H14" s="54">
        <f>_xlfn.XLOOKUP($A14,Inputs!$A:$A,Inputs!H:H,,0)</f>
        <v>364.4</v>
      </c>
      <c r="I14" s="54">
        <f>_xlfn.XLOOKUP($A14,Inputs!$A:$A,Inputs!I:I,,0)</f>
        <v>256.60000000000002</v>
      </c>
      <c r="J14" s="54">
        <f>_xlfn.XLOOKUP($A14,Inputs!$A:$A,Inputs!J:J,,0)</f>
        <v>366.9</v>
      </c>
      <c r="K14" s="54">
        <f>_xlfn.XLOOKUP($A14,Inputs!$A:$A,Inputs!K:K,,0)</f>
        <v>557.6</v>
      </c>
      <c r="L14" s="54">
        <f>_xlfn.XLOOKUP($A14,Inputs!$A:$A,Inputs!L:L,,0)</f>
        <v>394.7</v>
      </c>
      <c r="M14" s="55">
        <f>_xlfn.XLOOKUP($A14,Inputs!$A:$A,Inputs!M:M,,0)</f>
        <v>302.3</v>
      </c>
      <c r="N14" s="52">
        <f>AVERAGE(B14:M14)</f>
        <v>1092.1083333333333</v>
      </c>
      <c r="O14" s="52">
        <f t="shared" si="3"/>
        <v>2726.4333333333334</v>
      </c>
      <c r="P14" s="52">
        <f t="shared" si="4"/>
        <v>1980.92</v>
      </c>
      <c r="Q14" s="52">
        <f t="shared" si="5"/>
        <v>1603.8857142857144</v>
      </c>
      <c r="R14" s="52">
        <f t="shared" si="6"/>
        <v>1240.8300000000002</v>
      </c>
      <c r="S14" s="671"/>
    </row>
    <row r="15" spans="1:25">
      <c r="A15" s="102" t="s">
        <v>510</v>
      </c>
      <c r="B15" s="54">
        <f>_xlfn.XLOOKUP($A15,Inputs!$A:$A,Inputs!B:B,,0)</f>
        <v>-1.2</v>
      </c>
      <c r="C15" s="54">
        <f>_xlfn.XLOOKUP($A15,Inputs!$A:$A,Inputs!C:C,,0)</f>
        <v>13.1</v>
      </c>
      <c r="D15" s="54">
        <f>_xlfn.XLOOKUP($A15,Inputs!$A:$A,Inputs!D:D,,0)</f>
        <v>-1</v>
      </c>
      <c r="E15" s="54">
        <f>_xlfn.XLOOKUP($A15,Inputs!$A:$A,Inputs!E:E,,0)</f>
        <v>0</v>
      </c>
      <c r="F15" s="54">
        <f>_xlfn.XLOOKUP($A15,Inputs!$A:$A,Inputs!F:F,,0)</f>
        <v>-33.799999999999997</v>
      </c>
      <c r="G15" s="54">
        <f>_xlfn.XLOOKUP($A15,Inputs!$A:$A,Inputs!G:G,,0)</f>
        <v>-40.4</v>
      </c>
      <c r="H15" s="54">
        <f>_xlfn.XLOOKUP($A15,Inputs!$A:$A,Inputs!H:H,,0)</f>
        <v>-16.3</v>
      </c>
      <c r="I15" s="54">
        <f>_xlfn.XLOOKUP($A15,Inputs!$A:$A,Inputs!I:I,,0)</f>
        <v>-2.8</v>
      </c>
      <c r="J15" s="54">
        <f>_xlfn.XLOOKUP($A15,Inputs!$A:$A,Inputs!J:J,,0)</f>
        <v>-1.1000000000000001</v>
      </c>
      <c r="K15" s="54">
        <f>_xlfn.XLOOKUP($A15,Inputs!$A:$A,Inputs!K:K,,0)</f>
        <v>-0.3</v>
      </c>
      <c r="L15" s="54">
        <f>_xlfn.XLOOKUP($A15,Inputs!$A:$A,Inputs!L:L,,0)</f>
        <v>-8.5</v>
      </c>
      <c r="M15" s="55">
        <f>_xlfn.XLOOKUP($A15,Inputs!$A:$A,Inputs!M:M,,0)</f>
        <v>-29.7</v>
      </c>
      <c r="N15" s="52">
        <f t="shared" ref="N15:N36" si="22">AVERAGE(B15:M15)</f>
        <v>-10.166666666666666</v>
      </c>
      <c r="O15" s="52">
        <f t="shared" si="3"/>
        <v>3.6333333333333333</v>
      </c>
      <c r="P15" s="52">
        <f t="shared" si="4"/>
        <v>-4.58</v>
      </c>
      <c r="Q15" s="52">
        <f t="shared" si="5"/>
        <v>-11.37142857142857</v>
      </c>
      <c r="R15" s="52">
        <f t="shared" si="6"/>
        <v>-8.379999999999999</v>
      </c>
      <c r="S15" s="671"/>
    </row>
    <row r="16" spans="1:25">
      <c r="A16" s="104" t="s">
        <v>53</v>
      </c>
      <c r="B16" s="54">
        <f>B11-B15</f>
        <v>6315.3</v>
      </c>
      <c r="C16" s="54">
        <f t="shared" ref="C16:M16" si="23">C11-C15</f>
        <v>4794.8999999999996</v>
      </c>
      <c r="D16" s="54">
        <f t="shared" si="23"/>
        <v>4812.3999999999996</v>
      </c>
      <c r="E16" s="54">
        <f t="shared" si="23"/>
        <v>5192.2</v>
      </c>
      <c r="F16" s="54">
        <f t="shared" si="23"/>
        <v>4444.1000000000004</v>
      </c>
      <c r="G16" s="54">
        <f t="shared" si="23"/>
        <v>5559.2999999999993</v>
      </c>
      <c r="H16" s="54">
        <f t="shared" si="23"/>
        <v>5884.8</v>
      </c>
      <c r="I16" s="54">
        <f t="shared" si="23"/>
        <v>12229.3</v>
      </c>
      <c r="J16" s="54">
        <f t="shared" si="23"/>
        <v>9322.8000000000011</v>
      </c>
      <c r="K16" s="54">
        <f t="shared" si="23"/>
        <v>9082.7999999999993</v>
      </c>
      <c r="L16" s="54">
        <f t="shared" si="23"/>
        <v>9533.5</v>
      </c>
      <c r="M16" s="55">
        <f t="shared" si="23"/>
        <v>6568.5</v>
      </c>
      <c r="N16" s="52">
        <f t="shared" si="22"/>
        <v>6978.3250000000007</v>
      </c>
      <c r="O16" s="52">
        <f t="shared" si="3"/>
        <v>5307.5333333333338</v>
      </c>
      <c r="P16" s="52">
        <f t="shared" si="4"/>
        <v>5111.7800000000007</v>
      </c>
      <c r="Q16" s="52">
        <f t="shared" si="5"/>
        <v>5286.1428571428569</v>
      </c>
      <c r="R16" s="52">
        <f t="shared" si="6"/>
        <v>6763.7900000000009</v>
      </c>
      <c r="S16" s="674"/>
      <c r="T16" s="676">
        <f>(B16-I16)/I16</f>
        <v>-0.4835926831462144</v>
      </c>
      <c r="U16" s="52"/>
      <c r="V16" s="52"/>
      <c r="W16" s="52"/>
      <c r="X16" s="52"/>
      <c r="Y16" s="52"/>
    </row>
    <row r="17" spans="1:20">
      <c r="A17" s="102" t="s">
        <v>49</v>
      </c>
      <c r="B17" s="54">
        <f>_xlfn.XLOOKUP($A17,Inputs!$A:$A,Inputs!B:B,,0)</f>
        <v>7673</v>
      </c>
      <c r="C17" s="54">
        <f>_xlfn.XLOOKUP($A17,Inputs!$A:$A,Inputs!C:C,,0)</f>
        <v>6520.1</v>
      </c>
      <c r="D17" s="54">
        <f>_xlfn.XLOOKUP($A17,Inputs!$A:$A,Inputs!D:D,,0)</f>
        <v>5509.1</v>
      </c>
      <c r="E17" s="54">
        <f>_xlfn.XLOOKUP($A17,Inputs!$A:$A,Inputs!E:E,,0)</f>
        <v>4759.3999999999996</v>
      </c>
      <c r="F17" s="54">
        <f>_xlfn.XLOOKUP($A17,Inputs!$A:$A,Inputs!F:F,,0)</f>
        <v>4576.5</v>
      </c>
      <c r="G17" s="54">
        <f>_xlfn.XLOOKUP($A17,Inputs!$A:$A,Inputs!G:G,,0)</f>
        <v>3804.7</v>
      </c>
      <c r="H17" s="54">
        <f>_xlfn.XLOOKUP($A17,Inputs!$A:$A,Inputs!H:H,,0)</f>
        <v>3188.5</v>
      </c>
      <c r="I17" s="54">
        <f>_xlfn.XLOOKUP($A17,Inputs!$A:$A,Inputs!I:I,,0)</f>
        <v>2551.9</v>
      </c>
      <c r="J17" s="54">
        <f>_xlfn.XLOOKUP($A17,Inputs!$A:$A,Inputs!J:J,,0)</f>
        <v>1980.9</v>
      </c>
      <c r="K17" s="54">
        <f>_xlfn.XLOOKUP($A17,Inputs!$A:$A,Inputs!K:K,,0)</f>
        <v>1683.8</v>
      </c>
      <c r="L17" s="54">
        <f>_xlfn.XLOOKUP($A17,Inputs!$A:$A,Inputs!L:L,,0)</f>
        <v>1164.5</v>
      </c>
      <c r="M17" s="55">
        <f>_xlfn.XLOOKUP($A17,Inputs!$A:$A,Inputs!M:M,,0)</f>
        <v>949.2</v>
      </c>
      <c r="N17" s="52">
        <f t="shared" si="22"/>
        <v>3696.7999999999997</v>
      </c>
      <c r="O17" s="52">
        <f t="shared" si="3"/>
        <v>6567.4000000000005</v>
      </c>
      <c r="P17" s="52">
        <f t="shared" si="4"/>
        <v>5807.62</v>
      </c>
      <c r="Q17" s="52">
        <f t="shared" si="5"/>
        <v>5147.3285714285712</v>
      </c>
      <c r="R17" s="52">
        <f t="shared" si="6"/>
        <v>4224.79</v>
      </c>
      <c r="S17" s="671"/>
    </row>
    <row r="18" spans="1:20">
      <c r="A18" s="104" t="s">
        <v>511</v>
      </c>
      <c r="B18" s="54">
        <f>_xlfn.XLOOKUP($A18,Inputs!$A:$A,Inputs!B:B,,0)</f>
        <v>-7653.5999999999985</v>
      </c>
      <c r="C18" s="54">
        <f>_xlfn.XLOOKUP($A18,Inputs!$A:$A,Inputs!C:C,,0)</f>
        <v>5159.5999999999913</v>
      </c>
      <c r="D18" s="54">
        <f>_xlfn.XLOOKUP($A18,Inputs!$A:$A,Inputs!D:D,,0)</f>
        <v>-18584.899999999998</v>
      </c>
      <c r="E18" s="54">
        <f>_xlfn.XLOOKUP($A18,Inputs!$A:$A,Inputs!E:E,,0)</f>
        <v>-2883.1999999999898</v>
      </c>
      <c r="F18" s="54">
        <f>_xlfn.XLOOKUP($A18,Inputs!$A:$A,Inputs!F:F,,0)</f>
        <v>-8428.4000000000087</v>
      </c>
      <c r="G18" s="54">
        <f>_xlfn.XLOOKUP($A18,Inputs!$A:$A,Inputs!G:G,,0)</f>
        <v>-5447.4000000000033</v>
      </c>
      <c r="H18" s="54">
        <f>_xlfn.XLOOKUP($A18,Inputs!$A:$A,Inputs!H:H,,0)</f>
        <v>-1281.9999999999973</v>
      </c>
      <c r="I18" s="54">
        <f>_xlfn.XLOOKUP($A18,Inputs!$A:$A,Inputs!I:I,,0)</f>
        <v>2388.8000000000038</v>
      </c>
      <c r="J18" s="54">
        <f>_xlfn.XLOOKUP($A18,Inputs!$A:$A,Inputs!J:J,,0)</f>
        <v>-992.29999999999745</v>
      </c>
      <c r="K18" s="54">
        <f>_xlfn.XLOOKUP($A18,Inputs!$A:$A,Inputs!K:K,,0)</f>
        <v>3423.399999999996</v>
      </c>
      <c r="L18" s="54">
        <f>_xlfn.XLOOKUP($A18,Inputs!$A:$A,Inputs!L:L,,0)</f>
        <v>1731.1000000000004</v>
      </c>
      <c r="M18" s="55">
        <f>_xlfn.XLOOKUP($A18,Inputs!$A:$A,Inputs!M:M,,0)</f>
        <v>933</v>
      </c>
      <c r="N18" s="52">
        <f t="shared" si="22"/>
        <v>-2636.3250000000007</v>
      </c>
      <c r="O18" s="52">
        <f t="shared" si="3"/>
        <v>-7026.300000000002</v>
      </c>
      <c r="P18" s="52">
        <f t="shared" si="4"/>
        <v>-6478.1</v>
      </c>
      <c r="Q18" s="52">
        <f t="shared" si="5"/>
        <v>-5588.5571428571438</v>
      </c>
      <c r="R18" s="52">
        <f t="shared" si="6"/>
        <v>-3430.0000000000009</v>
      </c>
      <c r="S18" s="671"/>
    </row>
    <row r="19" spans="1:20">
      <c r="A19" s="102" t="s">
        <v>45</v>
      </c>
      <c r="B19" s="54">
        <f>B11-B15+B17</f>
        <v>13988.3</v>
      </c>
      <c r="C19" s="54">
        <f t="shared" ref="C19:M19" si="24">C11-C15+C17</f>
        <v>11315</v>
      </c>
      <c r="D19" s="54">
        <f t="shared" si="24"/>
        <v>10321.5</v>
      </c>
      <c r="E19" s="54">
        <f t="shared" si="24"/>
        <v>9951.5999999999985</v>
      </c>
      <c r="F19" s="54">
        <f t="shared" si="24"/>
        <v>9020.6</v>
      </c>
      <c r="G19" s="54">
        <f t="shared" si="24"/>
        <v>9364</v>
      </c>
      <c r="H19" s="54">
        <f t="shared" si="24"/>
        <v>9073.2999999999993</v>
      </c>
      <c r="I19" s="54">
        <f t="shared" si="24"/>
        <v>14781.199999999999</v>
      </c>
      <c r="J19" s="54">
        <f t="shared" si="24"/>
        <v>11303.7</v>
      </c>
      <c r="K19" s="54">
        <f t="shared" si="24"/>
        <v>10766.599999999999</v>
      </c>
      <c r="L19" s="54">
        <f t="shared" si="24"/>
        <v>10698</v>
      </c>
      <c r="M19" s="55">
        <f t="shared" si="24"/>
        <v>7517.7</v>
      </c>
      <c r="N19" s="52">
        <f t="shared" si="22"/>
        <v>10675.124999999998</v>
      </c>
      <c r="O19" s="52">
        <f t="shared" si="3"/>
        <v>11874.933333333334</v>
      </c>
      <c r="P19" s="52">
        <f t="shared" si="4"/>
        <v>10919.4</v>
      </c>
      <c r="Q19" s="52">
        <f t="shared" si="5"/>
        <v>10433.471428571429</v>
      </c>
      <c r="R19" s="52">
        <f t="shared" si="6"/>
        <v>10988.579999999998</v>
      </c>
      <c r="S19" s="671"/>
    </row>
    <row r="20" spans="1:20">
      <c r="A20" s="103" t="s">
        <v>512</v>
      </c>
      <c r="B20" s="56">
        <f t="shared" ref="B20" si="25">IFERROR(B19/B$5,"-")</f>
        <v>8.0758225764742217E-2</v>
      </c>
      <c r="C20" s="56">
        <f t="shared" ref="C20" si="26">IFERROR(C19/C$5,"-")</f>
        <v>8.2386786226393255E-2</v>
      </c>
      <c r="D20" s="56">
        <f t="shared" ref="D20" si="27">IFERROR(D19/D$5,"-")</f>
        <v>7.566821377855748E-2</v>
      </c>
      <c r="E20" s="56">
        <f t="shared" ref="E20" si="28">IFERROR(E19/E$5,"-")</f>
        <v>9.6329795678149505E-2</v>
      </c>
      <c r="F20" s="56">
        <f t="shared" ref="F20" si="29">IFERROR(F19/F$5,"-")</f>
        <v>9.3758802295378793E-2</v>
      </c>
      <c r="G20" s="56">
        <f t="shared" ref="G20" si="30">IFERROR(G19/G$5,"-")</f>
        <v>9.4366622997077501E-2</v>
      </c>
      <c r="H20" s="56">
        <f t="shared" ref="H20" si="31">IFERROR(H19/H$5,"-")</f>
        <v>8.9684153865172034E-2</v>
      </c>
      <c r="I20" s="56">
        <f t="shared" ref="I20" si="32">IFERROR(I19/I$5,"-")</f>
        <v>0.14988688048932863</v>
      </c>
      <c r="J20" s="56">
        <f t="shared" ref="J20" si="33">IFERROR(J19/J$5,"-")</f>
        <v>0.14866806274645297</v>
      </c>
      <c r="K20" s="56">
        <f t="shared" ref="K20" si="34">IFERROR(K19/K$5,"-")</f>
        <v>0.17199287653704154</v>
      </c>
      <c r="L20" s="56">
        <f t="shared" ref="L20" si="35">IFERROR(L19/L$5,"-")</f>
        <v>0.18839709754142439</v>
      </c>
      <c r="M20" s="57">
        <f t="shared" ref="M20" si="36">IFERROR(M19/M$5,"-")</f>
        <v>0.17418224786114639</v>
      </c>
      <c r="N20" s="229">
        <f t="shared" si="22"/>
        <v>0.12050664714840538</v>
      </c>
      <c r="O20" s="229">
        <f t="shared" si="3"/>
        <v>7.9604408589897646E-2</v>
      </c>
      <c r="P20" s="229">
        <f t="shared" si="4"/>
        <v>8.5780364748644256E-2</v>
      </c>
      <c r="Q20" s="229">
        <f t="shared" si="5"/>
        <v>8.7564657229352985E-2</v>
      </c>
      <c r="R20" s="229">
        <f t="shared" si="6"/>
        <v>0.10835004203782939</v>
      </c>
      <c r="S20" s="672"/>
      <c r="T20" s="675">
        <f>(B20-L20)/L20</f>
        <v>-0.57134039314493545</v>
      </c>
    </row>
    <row r="21" spans="1:20">
      <c r="A21" s="102" t="s">
        <v>280</v>
      </c>
      <c r="B21" s="54">
        <f>_xlfn.XLOOKUP($A21,Inputs!$A:$A,Inputs!B:B,,0)</f>
        <v>-801.2</v>
      </c>
      <c r="C21" s="54">
        <f>_xlfn.XLOOKUP($A21,Inputs!$A:$A,Inputs!C:C,,0)</f>
        <v>-553.70000000000005</v>
      </c>
      <c r="D21" s="54">
        <f>_xlfn.XLOOKUP($A21,Inputs!$A:$A,Inputs!D:D,,0)</f>
        <v>-757.1</v>
      </c>
      <c r="E21" s="54">
        <f>_xlfn.XLOOKUP($A21,Inputs!$A:$A,Inputs!E:E,,0)</f>
        <v>-864.8</v>
      </c>
      <c r="F21" s="54">
        <f>_xlfn.XLOOKUP($A21,Inputs!$A:$A,Inputs!F:F,,0)</f>
        <v>-569.79999999999995</v>
      </c>
      <c r="G21" s="54">
        <f>_xlfn.XLOOKUP($A21,Inputs!$A:$A,Inputs!G:G,,0)</f>
        <v>-1229.4000000000001</v>
      </c>
      <c r="H21" s="54">
        <f>_xlfn.XLOOKUP($A21,Inputs!$A:$A,Inputs!H:H,,0)</f>
        <v>-1189.5999999999999</v>
      </c>
      <c r="I21" s="54">
        <f>_xlfn.XLOOKUP($A21,Inputs!$A:$A,Inputs!I:I,,0)</f>
        <v>-1929.1</v>
      </c>
      <c r="J21" s="54">
        <f>_xlfn.XLOOKUP($A21,Inputs!$A:$A,Inputs!J:J,,0)</f>
        <v>-1628.2</v>
      </c>
      <c r="K21" s="54">
        <f>_xlfn.XLOOKUP($A21,Inputs!$A:$A,Inputs!K:K,,0)</f>
        <v>-1598.9</v>
      </c>
      <c r="L21" s="54">
        <f>_xlfn.XLOOKUP($A21,Inputs!$A:$A,Inputs!L:L,,0)</f>
        <v>-1687.6</v>
      </c>
      <c r="M21" s="55">
        <f>_xlfn.XLOOKUP($A21,Inputs!$A:$A,Inputs!M:M,,0)</f>
        <v>-1119</v>
      </c>
      <c r="N21" s="52">
        <f t="shared" si="22"/>
        <v>-1160.7</v>
      </c>
      <c r="O21" s="52">
        <f t="shared" si="3"/>
        <v>-704</v>
      </c>
      <c r="P21" s="52">
        <f t="shared" si="4"/>
        <v>-709.32</v>
      </c>
      <c r="Q21" s="52">
        <f t="shared" si="5"/>
        <v>-852.22857142857151</v>
      </c>
      <c r="R21" s="52">
        <f t="shared" si="6"/>
        <v>-1112.18</v>
      </c>
      <c r="S21" s="671"/>
    </row>
    <row r="22" spans="1:20">
      <c r="A22" s="103" t="s">
        <v>513</v>
      </c>
      <c r="B22" s="56">
        <f t="shared" ref="B22" si="37">IFERROR(B21/B$5,"-")</f>
        <v>-4.6255435244248024E-3</v>
      </c>
      <c r="C22" s="56">
        <f t="shared" ref="C22" si="38">IFERROR(C21/C$5,"-")</f>
        <v>-4.0316008425589E-3</v>
      </c>
      <c r="D22" s="56">
        <f t="shared" ref="D22" si="39">IFERROR(D21/D$5,"-")</f>
        <v>-5.5503952576414156E-3</v>
      </c>
      <c r="E22" s="56">
        <f t="shared" ref="E22" si="40">IFERROR(E21/E$5,"-")</f>
        <v>-8.3711169362176638E-3</v>
      </c>
      <c r="F22" s="56">
        <f t="shared" ref="F22" si="41">IFERROR(F21/F$5,"-")</f>
        <v>-5.9224181925710967E-3</v>
      </c>
      <c r="G22" s="56">
        <f t="shared" ref="G22" si="42">IFERROR(G21/G$5,"-")</f>
        <v>-1.2389398367429206E-2</v>
      </c>
      <c r="H22" s="56">
        <f t="shared" ref="H22" si="43">IFERROR(H21/H$5,"-")</f>
        <v>-1.175848582522441E-2</v>
      </c>
      <c r="I22" s="56">
        <f t="shared" ref="I22" si="44">IFERROR(I21/I$5,"-")</f>
        <v>-1.9561793437066263E-2</v>
      </c>
      <c r="J22" s="56">
        <f t="shared" ref="J22" si="45">IFERROR(J21/J$5,"-")</f>
        <v>-2.1414345724300426E-2</v>
      </c>
      <c r="K22" s="56">
        <f t="shared" ref="K22" si="46">IFERROR(K21/K$5,"-")</f>
        <v>-2.5541899048453158E-2</v>
      </c>
      <c r="L22" s="56">
        <f t="shared" ref="L22" si="47">IFERROR(L21/L$5,"-")</f>
        <v>-2.9719474837437632E-2</v>
      </c>
      <c r="M22" s="57">
        <f t="shared" ref="M22" si="48">IFERROR(M21/M$5,"-")</f>
        <v>-2.5926804123152403E-2</v>
      </c>
      <c r="N22" s="229">
        <f t="shared" si="22"/>
        <v>-1.4567773009706448E-2</v>
      </c>
      <c r="O22" s="229">
        <f t="shared" si="3"/>
        <v>-4.7358465415417057E-3</v>
      </c>
      <c r="P22" s="229">
        <f t="shared" si="4"/>
        <v>-5.7002149506827759E-3</v>
      </c>
      <c r="Q22" s="229">
        <f t="shared" si="5"/>
        <v>-7.521279849438213E-3</v>
      </c>
      <c r="R22" s="229">
        <f t="shared" si="6"/>
        <v>-1.1916699715588733E-2</v>
      </c>
      <c r="S22" s="671"/>
    </row>
    <row r="23" spans="1:20">
      <c r="A23" s="102" t="s">
        <v>57</v>
      </c>
      <c r="B23" s="54">
        <f>_xlfn.XLOOKUP($A23,Inputs!$A:$A,Inputs!B:B,,0)</f>
        <v>7021.6</v>
      </c>
      <c r="C23" s="54">
        <f>_xlfn.XLOOKUP($A23,Inputs!$A:$A,Inputs!C:C,,0)</f>
        <v>8266</v>
      </c>
      <c r="D23" s="54">
        <f>_xlfn.XLOOKUP($A23,Inputs!$A:$A,Inputs!D:D,,0)</f>
        <v>6726.1</v>
      </c>
      <c r="E23" s="54">
        <f>_xlfn.XLOOKUP($A23,Inputs!$A:$A,Inputs!E:E,,0)</f>
        <v>5362.5</v>
      </c>
      <c r="F23" s="54">
        <f>_xlfn.XLOOKUP($A23,Inputs!$A:$A,Inputs!F:F,,0)</f>
        <v>4496.8999999999996</v>
      </c>
      <c r="G23" s="54">
        <f>_xlfn.XLOOKUP($A23,Inputs!$A:$A,Inputs!G:G,,0)</f>
        <v>5207.3</v>
      </c>
      <c r="H23" s="54">
        <f>_xlfn.XLOOKUP($A23,Inputs!$A:$A,Inputs!H:H,,0)</f>
        <v>5027</v>
      </c>
      <c r="I23" s="54">
        <f>_xlfn.XLOOKUP($A23,Inputs!$A:$A,Inputs!I:I,,0)</f>
        <v>10551.2</v>
      </c>
      <c r="J23" s="54">
        <f>_xlfn.XLOOKUP($A23,Inputs!$A:$A,Inputs!J:J,,0)</f>
        <v>8059.3</v>
      </c>
      <c r="K23" s="54">
        <f>_xlfn.XLOOKUP($A23,Inputs!$A:$A,Inputs!K:K,,0)</f>
        <v>8041.5</v>
      </c>
      <c r="L23" s="54">
        <f>_xlfn.XLOOKUP($A23,Inputs!$A:$A,Inputs!L:L,,0)</f>
        <v>8223.6</v>
      </c>
      <c r="M23" s="55">
        <f>_xlfn.XLOOKUP($A23,Inputs!$A:$A,Inputs!M:M,,0)</f>
        <v>5692.4</v>
      </c>
      <c r="N23" s="52">
        <f t="shared" si="22"/>
        <v>6889.6166666666677</v>
      </c>
      <c r="O23" s="52">
        <f t="shared" si="3"/>
        <v>7337.9000000000005</v>
      </c>
      <c r="P23" s="52">
        <f t="shared" si="4"/>
        <v>6374.62</v>
      </c>
      <c r="Q23" s="52">
        <f t="shared" si="5"/>
        <v>6015.3428571428576</v>
      </c>
      <c r="R23" s="52">
        <f t="shared" si="6"/>
        <v>6875.9400000000005</v>
      </c>
      <c r="S23" s="671"/>
    </row>
    <row r="24" spans="1:20">
      <c r="A24" s="103" t="s">
        <v>241</v>
      </c>
      <c r="B24" s="56">
        <f t="shared" ref="B24" si="49">IFERROR(B23/B$5,"-")</f>
        <v>4.0537589130181219E-2</v>
      </c>
      <c r="C24" s="56">
        <f t="shared" ref="C24" si="50">IFERROR(C23/C$5,"-")</f>
        <v>6.0186405209665637E-2</v>
      </c>
      <c r="D24" s="56">
        <f t="shared" ref="D24" si="51">IFERROR(D23/D$5,"-")</f>
        <v>4.9309884483452547E-2</v>
      </c>
      <c r="E24" s="56">
        <f t="shared" ref="E24" si="52">IFERROR(E23/E$5,"-")</f>
        <v>5.1908088078708628E-2</v>
      </c>
      <c r="F24" s="56">
        <f t="shared" ref="F24" si="53">IFERROR(F23/F$5,"-")</f>
        <v>4.6740123499777048E-2</v>
      </c>
      <c r="G24" s="56">
        <f t="shared" ref="G24" si="54">IFERROR(G23/G$5,"-")</f>
        <v>5.2477073465685781E-2</v>
      </c>
      <c r="H24" s="56">
        <f t="shared" ref="H24" si="55">IFERROR(H23/H$5,"-")</f>
        <v>4.968889395040612E-2</v>
      </c>
      <c r="I24" s="56">
        <f t="shared" ref="I24" si="56">IFERROR(I23/I$5,"-")</f>
        <v>0.10699310295639085</v>
      </c>
      <c r="J24" s="56">
        <f t="shared" ref="J24" si="57">IFERROR(J23/J$5,"-")</f>
        <v>0.10599719720909866</v>
      </c>
      <c r="K24" s="56">
        <f t="shared" ref="K24" si="58">IFERROR(K23/K$5,"-")</f>
        <v>0.12846030470832201</v>
      </c>
      <c r="L24" s="56">
        <f t="shared" ref="L24" si="59">IFERROR(L23/L$5,"-")</f>
        <v>0.14482168361765355</v>
      </c>
      <c r="M24" s="57">
        <f t="shared" ref="M24" si="60">IFERROR(M23/M$5,"-")</f>
        <v>0.13189074154658867</v>
      </c>
      <c r="N24" s="229">
        <f t="shared" si="22"/>
        <v>8.075092398799423E-2</v>
      </c>
      <c r="O24" s="229">
        <f t="shared" si="3"/>
        <v>5.0011292941099801E-2</v>
      </c>
      <c r="P24" s="229">
        <f t="shared" si="4"/>
        <v>4.9736418080357017E-2</v>
      </c>
      <c r="Q24" s="229">
        <f t="shared" si="5"/>
        <v>5.0121151116839568E-2</v>
      </c>
      <c r="R24" s="229">
        <f t="shared" si="6"/>
        <v>6.9229866269168855E-2</v>
      </c>
      <c r="S24" s="672"/>
      <c r="T24" s="675">
        <f>(B24-L24)/L24</f>
        <v>-0.72008619070328406</v>
      </c>
    </row>
    <row r="25" spans="1:20">
      <c r="A25" s="102" t="s">
        <v>505</v>
      </c>
      <c r="B25" s="56">
        <f t="shared" ref="B25" si="61">IFERROR(B24/C24-1,"-")</f>
        <v>-0.32646601854747281</v>
      </c>
      <c r="C25" s="56">
        <f t="shared" ref="C25" si="62">IFERROR(C24/D24-1,"-")</f>
        <v>0.22057485715390479</v>
      </c>
      <c r="D25" s="56">
        <f t="shared" ref="D25" si="63">IFERROR(D24/E24-1,"-")</f>
        <v>-5.0053925918373321E-2</v>
      </c>
      <c r="E25" s="56">
        <f t="shared" ref="E25" si="64">IFERROR(E24/F24-1,"-")</f>
        <v>0.11056805570820183</v>
      </c>
      <c r="F25" s="56">
        <f t="shared" ref="F25" si="65">IFERROR(F24/G24-1,"-")</f>
        <v>-0.10932297834139071</v>
      </c>
      <c r="G25" s="56">
        <f t="shared" ref="G25" si="66">IFERROR(G24/H24-1,"-")</f>
        <v>5.6112730503973474E-2</v>
      </c>
      <c r="H25" s="56">
        <f t="shared" ref="H25" si="67">IFERROR(H24/I24-1,"-")</f>
        <v>-0.53558787830783139</v>
      </c>
      <c r="I25" s="56">
        <f t="shared" ref="I25" si="68">IFERROR(I24/J24-1,"-")</f>
        <v>9.3955856712661934E-3</v>
      </c>
      <c r="J25" s="56">
        <f t="shared" ref="J25" si="69">IFERROR(J24/K24-1,"-")</f>
        <v>-0.17486419287442445</v>
      </c>
      <c r="K25" s="56">
        <f t="shared" ref="K25" si="70">IFERROR(K24/L24-1,"-")</f>
        <v>-0.11297603025060476</v>
      </c>
      <c r="L25" s="56">
        <f t="shared" ref="L25" si="71">IFERROR(L24/M24-1,"-")</f>
        <v>9.8042833935369167E-2</v>
      </c>
      <c r="M25" s="57" t="str">
        <f>IFERROR(M24/#REF!-1,"-")</f>
        <v>-</v>
      </c>
      <c r="N25" s="229">
        <f t="shared" si="22"/>
        <v>-7.405245102430745E-2</v>
      </c>
      <c r="O25" s="229">
        <f t="shared" si="3"/>
        <v>-5.1981695770647117E-2</v>
      </c>
      <c r="P25" s="229">
        <f t="shared" si="4"/>
        <v>-3.0940001989026043E-2</v>
      </c>
      <c r="Q25" s="229">
        <f t="shared" si="5"/>
        <v>-9.0596451106998308E-2</v>
      </c>
      <c r="R25" s="229">
        <f t="shared" si="6"/>
        <v>-9.1261979520275122E-2</v>
      </c>
      <c r="S25" s="671"/>
    </row>
    <row r="26" spans="1:20">
      <c r="A26" s="103" t="s">
        <v>514</v>
      </c>
      <c r="B26" s="58">
        <f>B39-C39</f>
        <v>3523.5999999999985</v>
      </c>
      <c r="C26" s="58">
        <f t="shared" ref="C26:M26" si="72">C39-D39</f>
        <v>-6049.5</v>
      </c>
      <c r="D26" s="58">
        <f t="shared" si="72"/>
        <v>13120.2</v>
      </c>
      <c r="E26" s="58">
        <f t="shared" si="72"/>
        <v>7214.0999999999985</v>
      </c>
      <c r="F26" s="58">
        <f t="shared" si="72"/>
        <v>10583.900000000001</v>
      </c>
      <c r="G26" s="58">
        <f t="shared" si="72"/>
        <v>6782.1999999999989</v>
      </c>
      <c r="H26" s="58">
        <f t="shared" si="72"/>
        <v>1018.3000000000002</v>
      </c>
      <c r="I26" s="58">
        <f t="shared" si="72"/>
        <v>-316.59999999999991</v>
      </c>
      <c r="J26" s="58">
        <f t="shared" si="72"/>
        <v>426.90000000000009</v>
      </c>
      <c r="K26" s="58">
        <f t="shared" si="72"/>
        <v>-2441.1000000000004</v>
      </c>
      <c r="L26" s="58">
        <f t="shared" si="72"/>
        <v>-72.899999999999636</v>
      </c>
      <c r="M26" s="55">
        <f t="shared" si="72"/>
        <v>-11373.233333333334</v>
      </c>
      <c r="N26" s="52">
        <f t="shared" si="22"/>
        <v>1867.9888888888893</v>
      </c>
      <c r="O26" s="52">
        <f t="shared" si="3"/>
        <v>3531.4333333333329</v>
      </c>
      <c r="P26" s="52">
        <f t="shared" si="4"/>
        <v>5678.46</v>
      </c>
      <c r="Q26" s="52">
        <f t="shared" si="5"/>
        <v>5170.4000000000005</v>
      </c>
      <c r="R26" s="52">
        <f t="shared" si="6"/>
        <v>3386.2000000000007</v>
      </c>
      <c r="S26" s="673"/>
    </row>
    <row r="27" spans="1:20">
      <c r="A27" s="102" t="s">
        <v>123</v>
      </c>
      <c r="B27" s="54">
        <f>_xlfn.XLOOKUP($A27,Inputs!$A:$A,Inputs!B:B,,0)</f>
        <v>-641.6</v>
      </c>
      <c r="C27" s="54">
        <f>_xlfn.XLOOKUP($A27,Inputs!$A:$A,Inputs!C:C,,0)</f>
        <v>-641.6</v>
      </c>
      <c r="D27" s="54">
        <f>_xlfn.XLOOKUP($A27,Inputs!$A:$A,Inputs!D:D,,0)</f>
        <v>-5338.1</v>
      </c>
      <c r="E27" s="54">
        <f>_xlfn.XLOOKUP($A27,Inputs!$A:$A,Inputs!E:E,,0)</f>
        <v>-2293.8000000000002</v>
      </c>
      <c r="F27" s="54">
        <f>_xlfn.XLOOKUP($A27,Inputs!$A:$A,Inputs!F:F,,0)</f>
        <v>-2646.9</v>
      </c>
      <c r="G27" s="54">
        <f>_xlfn.XLOOKUP($A27,Inputs!$A:$A,Inputs!G:G,,0)</f>
        <v>-1551.6</v>
      </c>
      <c r="H27" s="54">
        <f>_xlfn.XLOOKUP($A27,Inputs!$A:$A,Inputs!H:H,,0)</f>
        <v>-3194.5</v>
      </c>
      <c r="I27" s="54">
        <f>_xlfn.XLOOKUP($A27,Inputs!$A:$A,Inputs!I:I,,0)</f>
        <v>0</v>
      </c>
      <c r="J27" s="54">
        <f>_xlfn.XLOOKUP($A27,Inputs!$A:$A,Inputs!J:J,,0)</f>
        <v>-3194.7</v>
      </c>
      <c r="K27" s="54">
        <f>_xlfn.XLOOKUP($A27,Inputs!$A:$A,Inputs!K:K,,0)</f>
        <v>-2494.6</v>
      </c>
      <c r="L27" s="54">
        <f>_xlfn.XLOOKUP($A27,Inputs!$A:$A,Inputs!L:L,,0)</f>
        <v>-1734.2</v>
      </c>
      <c r="M27" s="55">
        <f>_xlfn.XLOOKUP($A27,Inputs!$A:$A,Inputs!M:M,,0)</f>
        <v>-972.3</v>
      </c>
      <c r="N27" s="52">
        <f t="shared" si="22"/>
        <v>-2058.6583333333333</v>
      </c>
      <c r="O27" s="52">
        <f t="shared" si="3"/>
        <v>-2207.1</v>
      </c>
      <c r="P27" s="52">
        <f t="shared" si="4"/>
        <v>-2312.4</v>
      </c>
      <c r="Q27" s="52">
        <f t="shared" si="5"/>
        <v>-2329.7285714285713</v>
      </c>
      <c r="R27" s="52">
        <f t="shared" si="6"/>
        <v>-2199.7399999999998</v>
      </c>
      <c r="S27" s="671"/>
    </row>
    <row r="28" spans="1:20">
      <c r="A28" s="104" t="s">
        <v>515</v>
      </c>
      <c r="B28" s="54">
        <f>_xlfn.XLOOKUP($A28,Inputs!$A:$A,Inputs!B:B,,0)</f>
        <v>-681.6</v>
      </c>
      <c r="C28" s="54">
        <f>_xlfn.XLOOKUP($A28,Inputs!$A:$A,Inputs!C:C,,0)</f>
        <v>-357.3</v>
      </c>
      <c r="D28" s="54">
        <f>_xlfn.XLOOKUP($A28,Inputs!$A:$A,Inputs!D:D,,0)</f>
        <v>-807.3</v>
      </c>
      <c r="E28" s="54">
        <f>_xlfn.XLOOKUP($A28,Inputs!$A:$A,Inputs!E:E,,0)</f>
        <v>-215.5</v>
      </c>
      <c r="F28" s="54">
        <f>_xlfn.XLOOKUP($A28,Inputs!$A:$A,Inputs!F:F,,0)</f>
        <v>-20</v>
      </c>
      <c r="G28" s="54">
        <f>_xlfn.XLOOKUP($A28,Inputs!$A:$A,Inputs!G:G,,0)</f>
        <v>0</v>
      </c>
      <c r="H28" s="54">
        <f>_xlfn.XLOOKUP($A28,Inputs!$A:$A,Inputs!H:H,,0)</f>
        <v>65</v>
      </c>
      <c r="I28" s="54">
        <f>_xlfn.XLOOKUP($A28,Inputs!$A:$A,Inputs!I:I,,0)</f>
        <v>0</v>
      </c>
      <c r="J28" s="54">
        <f>_xlfn.XLOOKUP($A28,Inputs!$A:$A,Inputs!J:J,,0)</f>
        <v>0</v>
      </c>
      <c r="K28" s="54">
        <f>_xlfn.XLOOKUP($A28,Inputs!$A:$A,Inputs!K:K,,0)</f>
        <v>55</v>
      </c>
      <c r="L28" s="54">
        <f>_xlfn.XLOOKUP($A28,Inputs!$A:$A,Inputs!L:L,,0)</f>
        <v>0</v>
      </c>
      <c r="M28" s="55">
        <f>_xlfn.XLOOKUP($A28,Inputs!$A:$A,Inputs!M:M,,0)</f>
        <v>0</v>
      </c>
      <c r="N28" s="52">
        <f t="shared" si="22"/>
        <v>-163.47499999999999</v>
      </c>
      <c r="O28" s="52">
        <f t="shared" si="3"/>
        <v>-615.4</v>
      </c>
      <c r="P28" s="52">
        <f t="shared" si="4"/>
        <v>-416.34</v>
      </c>
      <c r="Q28" s="52">
        <f t="shared" si="5"/>
        <v>-288.09999999999997</v>
      </c>
      <c r="R28" s="52">
        <f t="shared" si="6"/>
        <v>-196.17</v>
      </c>
      <c r="S28" s="671"/>
    </row>
    <row r="29" spans="1:20">
      <c r="A29" s="102" t="s">
        <v>115</v>
      </c>
      <c r="B29" s="58">
        <f>SUM(B26:B28)</f>
        <v>2200.3999999999987</v>
      </c>
      <c r="C29" s="58">
        <f t="shared" ref="C29:M29" si="73">SUM(C26:C28)</f>
        <v>-7048.4000000000005</v>
      </c>
      <c r="D29" s="58">
        <f t="shared" si="73"/>
        <v>6974.8</v>
      </c>
      <c r="E29" s="58">
        <f t="shared" si="73"/>
        <v>4704.7999999999984</v>
      </c>
      <c r="F29" s="58">
        <f t="shared" si="73"/>
        <v>7917.0000000000018</v>
      </c>
      <c r="G29" s="58">
        <f t="shared" si="73"/>
        <v>5230.5999999999985</v>
      </c>
      <c r="H29" s="58">
        <f t="shared" si="73"/>
        <v>-2111.1999999999998</v>
      </c>
      <c r="I29" s="58">
        <f t="shared" si="73"/>
        <v>-316.59999999999991</v>
      </c>
      <c r="J29" s="58">
        <f t="shared" si="73"/>
        <v>-2767.7999999999997</v>
      </c>
      <c r="K29" s="58">
        <f t="shared" si="73"/>
        <v>-4880.7000000000007</v>
      </c>
      <c r="L29" s="58">
        <f t="shared" si="73"/>
        <v>-1807.0999999999997</v>
      </c>
      <c r="M29" s="55">
        <f t="shared" si="73"/>
        <v>-12345.533333333333</v>
      </c>
      <c r="N29" s="52">
        <f t="shared" si="22"/>
        <v>-354.14444444444456</v>
      </c>
      <c r="O29" s="52">
        <f t="shared" si="3"/>
        <v>708.93333333333283</v>
      </c>
      <c r="P29" s="52">
        <f t="shared" si="4"/>
        <v>2949.72</v>
      </c>
      <c r="Q29" s="52">
        <f t="shared" si="5"/>
        <v>2552.571428571428</v>
      </c>
      <c r="R29" s="52">
        <f t="shared" si="6"/>
        <v>990.28999999999974</v>
      </c>
      <c r="S29" s="671"/>
    </row>
    <row r="30" spans="1:20">
      <c r="A30" s="104" t="s">
        <v>516</v>
      </c>
      <c r="B30" s="58">
        <f>+B29-(B58-C29)</f>
        <v>-62774.1</v>
      </c>
      <c r="C30" s="58">
        <f t="shared" ref="C30:M30" si="74">+C29-(C58-D29)</f>
        <v>-60857.5</v>
      </c>
      <c r="D30" s="58">
        <f t="shared" si="74"/>
        <v>-36610.300000000003</v>
      </c>
      <c r="E30" s="58">
        <f t="shared" si="74"/>
        <v>-26124.600000000009</v>
      </c>
      <c r="F30" s="58">
        <f t="shared" si="74"/>
        <v>-4512.8000000000011</v>
      </c>
      <c r="G30" s="58">
        <f t="shared" si="74"/>
        <v>-16043.600000000002</v>
      </c>
      <c r="H30" s="58">
        <f t="shared" si="74"/>
        <v>-19818.8</v>
      </c>
      <c r="I30" s="58">
        <f t="shared" si="74"/>
        <v>-7549.2000000000007</v>
      </c>
      <c r="J30" s="58">
        <f t="shared" si="74"/>
        <v>-13562.3</v>
      </c>
      <c r="K30" s="58">
        <f t="shared" si="74"/>
        <v>-10901.6</v>
      </c>
      <c r="L30" s="58">
        <f t="shared" si="74"/>
        <v>-18943.633333333331</v>
      </c>
      <c r="M30" s="55">
        <f t="shared" si="74"/>
        <v>-17093.077777777777</v>
      </c>
      <c r="N30" s="52">
        <f t="shared" si="22"/>
        <v>-24565.959259259263</v>
      </c>
      <c r="O30" s="52">
        <f t="shared" si="3"/>
        <v>-53413.966666666674</v>
      </c>
      <c r="P30" s="52">
        <f t="shared" si="4"/>
        <v>-38175.86</v>
      </c>
      <c r="Q30" s="52">
        <f t="shared" si="5"/>
        <v>-32391.67142857143</v>
      </c>
      <c r="R30" s="52">
        <f t="shared" si="6"/>
        <v>-25875.480000000003</v>
      </c>
      <c r="S30" s="671"/>
    </row>
    <row r="31" spans="1:20">
      <c r="A31" s="102" t="s">
        <v>517</v>
      </c>
      <c r="B31" s="58">
        <f>+B30+B33</f>
        <v>-62774.1</v>
      </c>
      <c r="C31" s="58">
        <f t="shared" ref="C31:L31" si="75">+C30+C33</f>
        <v>-60857.5</v>
      </c>
      <c r="D31" s="58">
        <f t="shared" si="75"/>
        <v>-36610.300000000003</v>
      </c>
      <c r="E31" s="58">
        <f t="shared" si="75"/>
        <v>-26124.600000000009</v>
      </c>
      <c r="F31" s="58">
        <f t="shared" si="75"/>
        <v>-9331.1000000000022</v>
      </c>
      <c r="G31" s="58">
        <f t="shared" si="75"/>
        <v>-15974.500000000002</v>
      </c>
      <c r="H31" s="58">
        <f t="shared" si="75"/>
        <v>-19818.8</v>
      </c>
      <c r="I31" s="58">
        <f t="shared" si="75"/>
        <v>-7561.3000000000011</v>
      </c>
      <c r="J31" s="58">
        <f t="shared" si="75"/>
        <v>-13562.3</v>
      </c>
      <c r="K31" s="58">
        <f t="shared" si="75"/>
        <v>-10901.6</v>
      </c>
      <c r="L31" s="58">
        <f t="shared" si="75"/>
        <v>-18943.633333333331</v>
      </c>
      <c r="M31" s="55">
        <f t="shared" ref="M31" si="76">+M30+M33</f>
        <v>-17093.077777777777</v>
      </c>
      <c r="N31" s="52">
        <f t="shared" si="22"/>
        <v>-24962.734259259258</v>
      </c>
      <c r="O31" s="52">
        <f t="shared" si="3"/>
        <v>-53413.966666666674</v>
      </c>
      <c r="P31" s="52">
        <f t="shared" si="4"/>
        <v>-39139.520000000004</v>
      </c>
      <c r="Q31" s="52">
        <f t="shared" si="5"/>
        <v>-33070.128571428577</v>
      </c>
      <c r="R31" s="52">
        <f t="shared" si="6"/>
        <v>-26351.609999999997</v>
      </c>
      <c r="S31" s="671"/>
    </row>
    <row r="32" spans="1:20">
      <c r="A32" s="104" t="s">
        <v>120</v>
      </c>
      <c r="B32" s="54">
        <f>_xlfn.XLOOKUP($A32,Inputs!$A:$A,Inputs!B:B,,0)</f>
        <v>-16229.1</v>
      </c>
      <c r="C32" s="54">
        <f>_xlfn.XLOOKUP($A32,Inputs!$A:$A,Inputs!C:C,,0)</f>
        <v>-15859.3</v>
      </c>
      <c r="D32" s="54">
        <f>_xlfn.XLOOKUP($A32,Inputs!$A:$A,Inputs!D:D,,0)</f>
        <v>-12473</v>
      </c>
      <c r="E32" s="54">
        <f>_xlfn.XLOOKUP($A32,Inputs!$A:$A,Inputs!E:E,,0)</f>
        <v>-7779.9</v>
      </c>
      <c r="F32" s="54">
        <f>_xlfn.XLOOKUP($A32,Inputs!$A:$A,Inputs!F:F,,0)</f>
        <v>-6785.1</v>
      </c>
      <c r="G32" s="54">
        <f>_xlfn.XLOOKUP($A32,Inputs!$A:$A,Inputs!G:G,,0)</f>
        <v>-6246.7</v>
      </c>
      <c r="H32" s="54">
        <f>_xlfn.XLOOKUP($A32,Inputs!$A:$A,Inputs!H:H,,0)</f>
        <v>-5757.3</v>
      </c>
      <c r="I32" s="54">
        <f>_xlfn.XLOOKUP($A32,Inputs!$A:$A,Inputs!I:I,,0)</f>
        <v>-6678.6</v>
      </c>
      <c r="J32" s="54">
        <f>_xlfn.XLOOKUP($A32,Inputs!$A:$A,Inputs!J:J,,0)</f>
        <v>-5838.4</v>
      </c>
      <c r="K32" s="54">
        <f>_xlfn.XLOOKUP($A32,Inputs!$A:$A,Inputs!K:K,,0)</f>
        <v>-7222.9</v>
      </c>
      <c r="L32" s="54">
        <f>_xlfn.XLOOKUP($A32,Inputs!$A:$A,Inputs!L:L,,0)</f>
        <v>-7057.5</v>
      </c>
      <c r="M32" s="55">
        <f>_xlfn.XLOOKUP($A32,Inputs!$A:$A,Inputs!M:M,,0)</f>
        <v>-4265.5</v>
      </c>
      <c r="N32" s="52">
        <f t="shared" si="22"/>
        <v>-8516.1083333333318</v>
      </c>
      <c r="O32" s="52">
        <f t="shared" si="3"/>
        <v>-14853.800000000001</v>
      </c>
      <c r="P32" s="52">
        <f t="shared" si="4"/>
        <v>-11825.28</v>
      </c>
      <c r="Q32" s="52">
        <f t="shared" si="5"/>
        <v>-10161.485714285713</v>
      </c>
      <c r="R32" s="52">
        <f t="shared" si="6"/>
        <v>-9087.0299999999988</v>
      </c>
      <c r="S32" s="671"/>
    </row>
    <row r="33" spans="1:20">
      <c r="A33" s="102" t="s">
        <v>121</v>
      </c>
      <c r="B33" s="54">
        <f>_xlfn.XLOOKUP($A33,Inputs!$A:$A,Inputs!B:B,,0)</f>
        <v>0</v>
      </c>
      <c r="C33" s="54">
        <f>_xlfn.XLOOKUP($A33,Inputs!$A:$A,Inputs!C:C,,0)</f>
        <v>0</v>
      </c>
      <c r="D33" s="54">
        <f>_xlfn.XLOOKUP($A33,Inputs!$A:$A,Inputs!D:D,,0)</f>
        <v>0</v>
      </c>
      <c r="E33" s="54">
        <f>_xlfn.XLOOKUP($A33,Inputs!$A:$A,Inputs!E:E,,0)</f>
        <v>0</v>
      </c>
      <c r="F33" s="54">
        <f>_xlfn.XLOOKUP($A33,Inputs!$A:$A,Inputs!F:F,,0)</f>
        <v>-4818.3</v>
      </c>
      <c r="G33" s="54">
        <f>_xlfn.XLOOKUP($A33,Inputs!$A:$A,Inputs!G:G,,0)</f>
        <v>69.099999999999994</v>
      </c>
      <c r="H33" s="54">
        <f>_xlfn.XLOOKUP($A33,Inputs!$A:$A,Inputs!H:H,,0)</f>
        <v>0</v>
      </c>
      <c r="I33" s="54">
        <f>_xlfn.XLOOKUP($A33,Inputs!$A:$A,Inputs!I:I,,0)</f>
        <v>-12.1</v>
      </c>
      <c r="J33" s="54">
        <f>_xlfn.XLOOKUP($A33,Inputs!$A:$A,Inputs!J:J,,0)</f>
        <v>0</v>
      </c>
      <c r="K33" s="54">
        <f>_xlfn.XLOOKUP($A33,Inputs!$A:$A,Inputs!K:K,,0)</f>
        <v>0</v>
      </c>
      <c r="L33" s="54">
        <f>_xlfn.XLOOKUP($A33,Inputs!$A:$A,Inputs!L:L,,0)</f>
        <v>0</v>
      </c>
      <c r="M33" s="55">
        <f>_xlfn.XLOOKUP($A33,Inputs!$A:$A,Inputs!M:M,,0)</f>
        <v>0</v>
      </c>
      <c r="N33" s="52">
        <f t="shared" si="22"/>
        <v>-396.77500000000003</v>
      </c>
      <c r="O33" s="52">
        <f t="shared" si="3"/>
        <v>0</v>
      </c>
      <c r="P33" s="52">
        <f t="shared" si="4"/>
        <v>-963.66000000000008</v>
      </c>
      <c r="Q33" s="52">
        <f t="shared" si="5"/>
        <v>-678.4571428571428</v>
      </c>
      <c r="R33" s="52">
        <f t="shared" si="6"/>
        <v>-476.13</v>
      </c>
      <c r="S33" s="673"/>
    </row>
    <row r="34" spans="1:20">
      <c r="A34" s="103" t="s">
        <v>116</v>
      </c>
      <c r="B34" s="58">
        <f t="shared" ref="B34:M34" si="77">+B32+B33</f>
        <v>-16229.1</v>
      </c>
      <c r="C34" s="58">
        <f t="shared" si="77"/>
        <v>-15859.3</v>
      </c>
      <c r="D34" s="58">
        <f t="shared" si="77"/>
        <v>-12473</v>
      </c>
      <c r="E34" s="58">
        <f t="shared" si="77"/>
        <v>-7779.9</v>
      </c>
      <c r="F34" s="58">
        <f t="shared" si="77"/>
        <v>-11603.400000000001</v>
      </c>
      <c r="G34" s="58">
        <f t="shared" si="77"/>
        <v>-6177.5999999999995</v>
      </c>
      <c r="H34" s="58">
        <f t="shared" si="77"/>
        <v>-5757.3</v>
      </c>
      <c r="I34" s="58">
        <f t="shared" si="77"/>
        <v>-6690.7000000000007</v>
      </c>
      <c r="J34" s="58">
        <f t="shared" si="77"/>
        <v>-5838.4</v>
      </c>
      <c r="K34" s="58">
        <f t="shared" si="77"/>
        <v>-7222.9</v>
      </c>
      <c r="L34" s="58">
        <f t="shared" si="77"/>
        <v>-7057.5</v>
      </c>
      <c r="M34" s="59">
        <f t="shared" si="77"/>
        <v>-4265.5</v>
      </c>
      <c r="N34" s="52">
        <f t="shared" si="22"/>
        <v>-8912.8833333333332</v>
      </c>
      <c r="O34" s="52">
        <f t="shared" si="3"/>
        <v>-14853.800000000001</v>
      </c>
      <c r="P34" s="52">
        <f t="shared" si="4"/>
        <v>-12788.94</v>
      </c>
      <c r="Q34" s="52">
        <f t="shared" si="5"/>
        <v>-10839.942857142858</v>
      </c>
      <c r="R34" s="52">
        <f t="shared" si="6"/>
        <v>-9563.16</v>
      </c>
      <c r="S34" s="671"/>
    </row>
    <row r="35" spans="1:20">
      <c r="A35" s="102" t="s">
        <v>114</v>
      </c>
      <c r="B35" s="58">
        <f t="shared" ref="B35:M35" si="78">+B27+B28</f>
        <v>-1323.2</v>
      </c>
      <c r="C35" s="58">
        <f t="shared" si="78"/>
        <v>-998.90000000000009</v>
      </c>
      <c r="D35" s="58">
        <f t="shared" si="78"/>
        <v>-6145.4000000000005</v>
      </c>
      <c r="E35" s="58">
        <f t="shared" si="78"/>
        <v>-2509.3000000000002</v>
      </c>
      <c r="F35" s="58">
        <f t="shared" si="78"/>
        <v>-2666.9</v>
      </c>
      <c r="G35" s="58">
        <f t="shared" si="78"/>
        <v>-1551.6</v>
      </c>
      <c r="H35" s="58">
        <f t="shared" si="78"/>
        <v>-3129.5</v>
      </c>
      <c r="I35" s="58">
        <f t="shared" si="78"/>
        <v>0</v>
      </c>
      <c r="J35" s="58">
        <f t="shared" si="78"/>
        <v>-3194.7</v>
      </c>
      <c r="K35" s="58">
        <f t="shared" si="78"/>
        <v>-2439.6</v>
      </c>
      <c r="L35" s="58">
        <f t="shared" si="78"/>
        <v>-1734.2</v>
      </c>
      <c r="M35" s="59">
        <f t="shared" si="78"/>
        <v>-972.3</v>
      </c>
      <c r="N35" s="52">
        <f t="shared" si="22"/>
        <v>-2222.1333333333332</v>
      </c>
      <c r="O35" s="52">
        <f t="shared" si="3"/>
        <v>-2822.5</v>
      </c>
      <c r="P35" s="52">
        <f t="shared" si="4"/>
        <v>-2728.74</v>
      </c>
      <c r="Q35" s="52">
        <f t="shared" si="5"/>
        <v>-2617.8285714285712</v>
      </c>
      <c r="R35" s="52">
        <f t="shared" si="6"/>
        <v>-2395.91</v>
      </c>
      <c r="S35" s="671"/>
    </row>
    <row r="36" spans="1:20">
      <c r="A36" s="104" t="s">
        <v>518</v>
      </c>
      <c r="B36" s="56">
        <f>IFERROR(B35/B23,"-")</f>
        <v>-0.18844707758915347</v>
      </c>
      <c r="C36" s="56">
        <f t="shared" ref="C36:M36" si="79">IFERROR(C35/C23,"-")</f>
        <v>-0.12084442293733366</v>
      </c>
      <c r="D36" s="56">
        <f t="shared" si="79"/>
        <v>-0.91366467938329798</v>
      </c>
      <c r="E36" s="56">
        <f t="shared" si="79"/>
        <v>-0.46793473193473195</v>
      </c>
      <c r="F36" s="56">
        <f t="shared" si="79"/>
        <v>-0.59305299206119777</v>
      </c>
      <c r="G36" s="56">
        <f t="shared" si="79"/>
        <v>-0.29796631651719696</v>
      </c>
      <c r="H36" s="56">
        <f t="shared" si="79"/>
        <v>-0.62253829321663023</v>
      </c>
      <c r="I36" s="56">
        <f t="shared" si="79"/>
        <v>0</v>
      </c>
      <c r="J36" s="56">
        <f t="shared" si="79"/>
        <v>-0.39639919099673665</v>
      </c>
      <c r="K36" s="56">
        <f t="shared" si="79"/>
        <v>-0.30337623577690725</v>
      </c>
      <c r="L36" s="56">
        <f t="shared" si="79"/>
        <v>-0.21088087942020525</v>
      </c>
      <c r="M36" s="57">
        <f t="shared" si="79"/>
        <v>-0.1708066896212494</v>
      </c>
      <c r="N36" s="229">
        <f t="shared" si="22"/>
        <v>-0.35715929245455347</v>
      </c>
      <c r="O36" s="229">
        <f t="shared" si="3"/>
        <v>-0.40765205996992843</v>
      </c>
      <c r="P36" s="229">
        <f t="shared" si="4"/>
        <v>-0.45678878078114299</v>
      </c>
      <c r="Q36" s="229">
        <f t="shared" si="5"/>
        <v>-0.45777835909136316</v>
      </c>
      <c r="R36" s="229">
        <f t="shared" si="6"/>
        <v>-0.39042239404131862</v>
      </c>
      <c r="S36" s="671"/>
    </row>
    <row r="37" spans="1:20">
      <c r="A37" s="7"/>
      <c r="B37" s="46"/>
      <c r="C37" s="46"/>
      <c r="D37" s="46"/>
      <c r="E37" s="46"/>
      <c r="F37" s="46"/>
      <c r="G37" s="46"/>
      <c r="H37" s="46"/>
      <c r="I37" s="46"/>
      <c r="J37" s="46"/>
      <c r="K37" s="46"/>
      <c r="L37" s="46"/>
      <c r="M37" s="46"/>
    </row>
    <row r="38" spans="1:20" ht="20.25">
      <c r="A38" s="1072" t="s">
        <v>519</v>
      </c>
      <c r="B38" s="1072"/>
      <c r="C38" s="1072"/>
      <c r="D38" s="1072"/>
      <c r="E38" s="1072"/>
      <c r="F38" s="1072"/>
      <c r="G38" s="1072"/>
      <c r="H38" s="1072"/>
      <c r="I38" s="1072"/>
      <c r="J38" s="1072"/>
      <c r="K38" s="1072"/>
      <c r="L38" s="1072"/>
      <c r="M38" s="1072"/>
    </row>
    <row r="39" spans="1:20">
      <c r="A39" s="105" t="s">
        <v>283</v>
      </c>
      <c r="B39" s="54">
        <f>_xlfn.XLOOKUP($A39,Inputs!$A:$A,Inputs!B:B,,0)</f>
        <v>39384.6</v>
      </c>
      <c r="C39" s="54">
        <f>_xlfn.XLOOKUP($A39,Inputs!$A:$A,Inputs!C:C,,0)</f>
        <v>35861</v>
      </c>
      <c r="D39" s="54">
        <f>_xlfn.XLOOKUP($A39,Inputs!$A:$A,Inputs!D:D,,0)</f>
        <v>41910.5</v>
      </c>
      <c r="E39" s="54">
        <f>_xlfn.XLOOKUP($A39,Inputs!$A:$A,Inputs!E:E,,0)</f>
        <v>28790.3</v>
      </c>
      <c r="F39" s="54">
        <f>_xlfn.XLOOKUP($A39,Inputs!$A:$A,Inputs!F:F,,0)</f>
        <v>21576.2</v>
      </c>
      <c r="G39" s="54">
        <f>_xlfn.XLOOKUP($A39,Inputs!$A:$A,Inputs!G:G,,0)</f>
        <v>10992.3</v>
      </c>
      <c r="H39" s="54">
        <f>_xlfn.XLOOKUP($A39,Inputs!$A:$A,Inputs!H:H,,0)</f>
        <v>4210.1000000000004</v>
      </c>
      <c r="I39" s="54">
        <f>_xlfn.XLOOKUP($A39,Inputs!$A:$A,Inputs!I:I,,0)</f>
        <v>3191.8</v>
      </c>
      <c r="J39" s="54">
        <f>_xlfn.XLOOKUP($A39,Inputs!$A:$A,Inputs!J:J,,0)</f>
        <v>3508.4</v>
      </c>
      <c r="K39" s="54">
        <f>_xlfn.XLOOKUP($A39,Inputs!$A:$A,Inputs!K:K,,0)</f>
        <v>3081.5</v>
      </c>
      <c r="L39" s="54">
        <f>_xlfn.XLOOKUP($A39,Inputs!$A:$A,Inputs!L:L,,0)</f>
        <v>5522.6</v>
      </c>
      <c r="M39" s="55">
        <f>_xlfn.XLOOKUP($A39,Inputs!$A:$A,Inputs!M:M,,0)</f>
        <v>5595.5</v>
      </c>
      <c r="N39" s="52">
        <f>AVERAGE(B39:M39)</f>
        <v>16968.733333333334</v>
      </c>
      <c r="O39" s="52">
        <f>AVERAGE(B39:D39)</f>
        <v>39052.033333333333</v>
      </c>
      <c r="P39" s="52">
        <f>AVERAGE(B39:F39)</f>
        <v>33504.520000000004</v>
      </c>
      <c r="Q39" s="52">
        <f>AVERAGE(B39:H39)</f>
        <v>26103.571428571428</v>
      </c>
      <c r="R39" s="52">
        <f>AVERAGE(B39:K39)</f>
        <v>19250.669999999998</v>
      </c>
      <c r="S39" s="671"/>
    </row>
    <row r="40" spans="1:20">
      <c r="A40" s="103" t="s">
        <v>520</v>
      </c>
      <c r="B40" s="54">
        <f>_xlfn.XLOOKUP($A40,Inputs!$A:$A,Inputs!B:B,,0)</f>
        <v>7193.2</v>
      </c>
      <c r="C40" s="54">
        <f>_xlfn.XLOOKUP($A40,Inputs!$A:$A,Inputs!C:C,,0)</f>
        <v>6611.2</v>
      </c>
      <c r="D40" s="54">
        <f>_xlfn.XLOOKUP($A40,Inputs!$A:$A,Inputs!D:D,,0)</f>
        <v>5422</v>
      </c>
      <c r="E40" s="54">
        <f>_xlfn.XLOOKUP($A40,Inputs!$A:$A,Inputs!E:E,,0)</f>
        <v>3936.2</v>
      </c>
      <c r="F40" s="54">
        <f>_xlfn.XLOOKUP($A40,Inputs!$A:$A,Inputs!F:F,,0)</f>
        <v>3193.2</v>
      </c>
      <c r="G40" s="54">
        <f>_xlfn.XLOOKUP($A40,Inputs!$A:$A,Inputs!G:G,,0)</f>
        <v>3343.2</v>
      </c>
      <c r="H40" s="54">
        <f>_xlfn.XLOOKUP($A40,Inputs!$A:$A,Inputs!H:H,,0)</f>
        <v>49948.6</v>
      </c>
      <c r="I40" s="54">
        <f>_xlfn.XLOOKUP($A40,Inputs!$A:$A,Inputs!I:I,,0)</f>
        <v>40304.199999999997</v>
      </c>
      <c r="J40" s="54">
        <f>_xlfn.XLOOKUP($A40,Inputs!$A:$A,Inputs!J:J,,0)</f>
        <v>28837.7</v>
      </c>
      <c r="K40" s="54">
        <f>_xlfn.XLOOKUP($A40,Inputs!$A:$A,Inputs!K:K,,0)</f>
        <v>24082.5</v>
      </c>
      <c r="L40" s="54">
        <f>_xlfn.XLOOKUP($A40,Inputs!$A:$A,Inputs!L:L,,0)</f>
        <v>18204.599999999999</v>
      </c>
      <c r="M40" s="55">
        <f>_xlfn.XLOOKUP($A40,Inputs!$A:$A,Inputs!M:M,,0)</f>
        <v>15482.4</v>
      </c>
      <c r="N40" s="52">
        <f t="shared" ref="N40:N44" si="80">AVERAGE(B40:M40)</f>
        <v>17213.25</v>
      </c>
      <c r="O40" s="52">
        <f t="shared" ref="O40:O44" si="81">AVERAGE(B40:D40)</f>
        <v>6408.8</v>
      </c>
      <c r="P40" s="52">
        <f t="shared" ref="P40:P44" si="82">AVERAGE(B40:F40)</f>
        <v>5271.1600000000008</v>
      </c>
      <c r="Q40" s="52">
        <f t="shared" ref="Q40:Q44" si="83">AVERAGE(B40:H40)</f>
        <v>11378.228571428572</v>
      </c>
      <c r="R40" s="52">
        <f t="shared" ref="R40:R44" si="84">AVERAGE(B40:K40)</f>
        <v>17287.2</v>
      </c>
      <c r="S40" s="672"/>
      <c r="T40" s="229">
        <f>(B40-H40)/H40</f>
        <v>-0.85598795561837571</v>
      </c>
    </row>
    <row r="41" spans="1:20">
      <c r="A41" s="105" t="s">
        <v>285</v>
      </c>
      <c r="B41" s="54">
        <f>_xlfn.XLOOKUP($A41,Inputs!$A:$A,Inputs!B:B,,0)</f>
        <v>26627.8</v>
      </c>
      <c r="C41" s="54">
        <f>_xlfn.XLOOKUP($A41,Inputs!$A:$A,Inputs!C:C,,0)</f>
        <v>22374.5</v>
      </c>
      <c r="D41" s="54">
        <f>_xlfn.XLOOKUP($A41,Inputs!$A:$A,Inputs!D:D,,0)</f>
        <v>13966.4</v>
      </c>
      <c r="E41" s="54">
        <f>_xlfn.XLOOKUP($A41,Inputs!$A:$A,Inputs!E:E,,0)</f>
        <v>7497.6</v>
      </c>
      <c r="F41" s="54">
        <f>_xlfn.XLOOKUP($A41,Inputs!$A:$A,Inputs!F:F,,0)</f>
        <v>6237.2</v>
      </c>
      <c r="G41" s="54">
        <f>_xlfn.XLOOKUP($A41,Inputs!$A:$A,Inputs!G:G,,0)</f>
        <v>4445.1000000000004</v>
      </c>
      <c r="H41" s="54">
        <f>_xlfn.XLOOKUP($A41,Inputs!$A:$A,Inputs!H:H,,0)</f>
        <v>5574.8</v>
      </c>
      <c r="I41" s="54">
        <f>_xlfn.XLOOKUP($A41,Inputs!$A:$A,Inputs!I:I,,0)</f>
        <v>6061.1</v>
      </c>
      <c r="J41" s="54">
        <f>_xlfn.XLOOKUP($A41,Inputs!$A:$A,Inputs!J:J,,0)</f>
        <v>4119.8</v>
      </c>
      <c r="K41" s="54">
        <f>_xlfn.XLOOKUP($A41,Inputs!$A:$A,Inputs!K:K,,0)</f>
        <v>3470.4</v>
      </c>
      <c r="L41" s="54">
        <f>_xlfn.XLOOKUP($A41,Inputs!$A:$A,Inputs!L:L,,0)</f>
        <v>2763.9</v>
      </c>
      <c r="M41" s="55">
        <f>_xlfn.XLOOKUP($A41,Inputs!$A:$A,Inputs!M:M,,0)</f>
        <v>2776.7</v>
      </c>
      <c r="N41" s="52">
        <f t="shared" si="80"/>
        <v>8826.2749999999996</v>
      </c>
      <c r="O41" s="52">
        <f t="shared" si="81"/>
        <v>20989.566666666669</v>
      </c>
      <c r="P41" s="52">
        <f t="shared" si="82"/>
        <v>15340.7</v>
      </c>
      <c r="Q41" s="52">
        <f t="shared" si="83"/>
        <v>12389.057142857144</v>
      </c>
      <c r="R41" s="52">
        <f t="shared" si="84"/>
        <v>10037.470000000001</v>
      </c>
      <c r="S41" s="671"/>
    </row>
    <row r="42" spans="1:20">
      <c r="A42" s="103" t="s">
        <v>521</v>
      </c>
      <c r="B42" s="54">
        <f>_xlfn.XLOOKUP($A42,Inputs!$A:$A,Inputs!B:B,,0)</f>
        <v>40435.199999999997</v>
      </c>
      <c r="C42" s="54">
        <f>_xlfn.XLOOKUP($A42,Inputs!$A:$A,Inputs!C:C,,0)</f>
        <v>39338.800000000003</v>
      </c>
      <c r="D42" s="54">
        <f>_xlfn.XLOOKUP($A42,Inputs!$A:$A,Inputs!D:D,,0)</f>
        <v>35218.699999999997</v>
      </c>
      <c r="E42" s="54">
        <f>_xlfn.XLOOKUP($A42,Inputs!$A:$A,Inputs!E:E,,0)</f>
        <v>34632.6</v>
      </c>
      <c r="F42" s="54">
        <f>_xlfn.XLOOKUP($A42,Inputs!$A:$A,Inputs!F:F,,0)</f>
        <v>35038.699999999997</v>
      </c>
      <c r="G42" s="54">
        <f>_xlfn.XLOOKUP($A42,Inputs!$A:$A,Inputs!G:G,,0)</f>
        <v>36289.1</v>
      </c>
      <c r="H42" s="54">
        <f>_xlfn.XLOOKUP($A42,Inputs!$A:$A,Inputs!H:H,,0)</f>
        <v>35654.9</v>
      </c>
      <c r="I42" s="54">
        <f>_xlfn.XLOOKUP($A42,Inputs!$A:$A,Inputs!I:I,,0)</f>
        <v>32638.799999999999</v>
      </c>
      <c r="J42" s="54">
        <f>_xlfn.XLOOKUP($A42,Inputs!$A:$A,Inputs!J:J,,0)</f>
        <v>28446.1</v>
      </c>
      <c r="K42" s="54">
        <f>_xlfn.XLOOKUP($A42,Inputs!$A:$A,Inputs!K:K,,0)</f>
        <v>25283.5</v>
      </c>
      <c r="L42" s="54">
        <f>_xlfn.XLOOKUP($A42,Inputs!$A:$A,Inputs!L:L,,0)</f>
        <v>21037.200000000001</v>
      </c>
      <c r="M42" s="55">
        <f>_xlfn.XLOOKUP($A42,Inputs!$A:$A,Inputs!M:M,,0)</f>
        <v>16195.8</v>
      </c>
      <c r="N42" s="52">
        <f t="shared" si="80"/>
        <v>31684.116666666665</v>
      </c>
      <c r="O42" s="52">
        <f t="shared" si="81"/>
        <v>38330.9</v>
      </c>
      <c r="P42" s="52">
        <f t="shared" si="82"/>
        <v>36932.800000000003</v>
      </c>
      <c r="Q42" s="52">
        <f t="shared" si="83"/>
        <v>36658.285714285717</v>
      </c>
      <c r="R42" s="52">
        <f t="shared" si="84"/>
        <v>34297.64</v>
      </c>
      <c r="S42" s="671"/>
    </row>
    <row r="43" spans="1:20">
      <c r="A43" s="105" t="s">
        <v>522</v>
      </c>
      <c r="B43" s="54">
        <f>_xlfn.XLOOKUP($A43,Inputs!$A:$A,Inputs!B:B,,0)</f>
        <v>82138.600000000006</v>
      </c>
      <c r="C43" s="54">
        <f>_xlfn.XLOOKUP($A43,Inputs!$A:$A,Inputs!C:C,,0)</f>
        <v>76523.699999999983</v>
      </c>
      <c r="D43" s="54">
        <f>_xlfn.XLOOKUP($A43,Inputs!$A:$A,Inputs!D:D,,0)</f>
        <v>77443.399999999994</v>
      </c>
      <c r="E43" s="54">
        <f>_xlfn.XLOOKUP($A43,Inputs!$A:$A,Inputs!E:E,,0)</f>
        <v>78797</v>
      </c>
      <c r="F43" s="54">
        <f>_xlfn.XLOOKUP($A43,Inputs!$A:$A,Inputs!F:F,,0)</f>
        <v>45758.899999999987</v>
      </c>
      <c r="G43" s="54">
        <f>_xlfn.XLOOKUP($A43,Inputs!$A:$A,Inputs!G:G,,0)</f>
        <v>50430.499999999993</v>
      </c>
      <c r="H43" s="54">
        <f>_xlfn.XLOOKUP($A43,Inputs!$A:$A,Inputs!H:H,,0)</f>
        <v>10596.599999999991</v>
      </c>
      <c r="I43" s="54">
        <f>_xlfn.XLOOKUP($A43,Inputs!$A:$A,Inputs!I:I,,0)</f>
        <v>6901.1999999999971</v>
      </c>
      <c r="J43" s="54">
        <f>_xlfn.XLOOKUP($A43,Inputs!$A:$A,Inputs!J:J,,0)</f>
        <v>6408.9000000000051</v>
      </c>
      <c r="K43" s="54">
        <f>_xlfn.XLOOKUP($A43,Inputs!$A:$A,Inputs!K:K,,0)</f>
        <v>5313.3000000000029</v>
      </c>
      <c r="L43" s="54">
        <f>_xlfn.XLOOKUP($A43,Inputs!$A:$A,Inputs!L:L,,0)</f>
        <v>5063.2000000000044</v>
      </c>
      <c r="M43" s="55">
        <f>_xlfn.XLOOKUP($A43,Inputs!$A:$A,Inputs!M:M,,0)</f>
        <v>2505.5</v>
      </c>
      <c r="N43" s="52">
        <f t="shared" si="80"/>
        <v>37323.399999999994</v>
      </c>
      <c r="O43" s="52">
        <f t="shared" si="81"/>
        <v>78701.899999999994</v>
      </c>
      <c r="P43" s="52">
        <f t="shared" si="82"/>
        <v>72132.319999999978</v>
      </c>
      <c r="Q43" s="52">
        <f t="shared" si="83"/>
        <v>60241.242857142839</v>
      </c>
      <c r="R43" s="52">
        <f t="shared" si="84"/>
        <v>44031.209999999992</v>
      </c>
      <c r="S43" s="671"/>
    </row>
    <row r="44" spans="1:20">
      <c r="A44" s="106" t="s">
        <v>34</v>
      </c>
      <c r="B44" s="60">
        <f>_xlfn.XLOOKUP($A44,Inputs!$A:$A,Inputs!B:B,,0)</f>
        <v>201270.3</v>
      </c>
      <c r="C44" s="60">
        <f>_xlfn.XLOOKUP($A44,Inputs!$A:$A,Inputs!C:C,,0)</f>
        <v>185357.3</v>
      </c>
      <c r="D44" s="60">
        <f>_xlfn.XLOOKUP($A44,Inputs!$A:$A,Inputs!D:D,,0)</f>
        <v>175408</v>
      </c>
      <c r="E44" s="60">
        <f>_xlfn.XLOOKUP($A44,Inputs!$A:$A,Inputs!E:E,,0)</f>
        <v>154011.5</v>
      </c>
      <c r="F44" s="60">
        <f>_xlfn.XLOOKUP($A44,Inputs!$A:$A,Inputs!F:F,,0)</f>
        <v>113096.4</v>
      </c>
      <c r="G44" s="60">
        <f>_xlfn.XLOOKUP($A44,Inputs!$A:$A,Inputs!G:G,,0)</f>
        <v>111800.4</v>
      </c>
      <c r="H44" s="60">
        <f>_xlfn.XLOOKUP($A44,Inputs!$A:$A,Inputs!H:H,,0)</f>
        <v>110547.4</v>
      </c>
      <c r="I44" s="60">
        <f>_xlfn.XLOOKUP($A44,Inputs!$A:$A,Inputs!I:I,,0)</f>
        <v>92309.2</v>
      </c>
      <c r="J44" s="60">
        <f>_xlfn.XLOOKUP($A44,Inputs!$A:$A,Inputs!J:J,,0)</f>
        <v>71910.600000000006</v>
      </c>
      <c r="K44" s="60">
        <f>_xlfn.XLOOKUP($A44,Inputs!$A:$A,Inputs!K:K,,0)</f>
        <v>61345.3</v>
      </c>
      <c r="L44" s="60">
        <f>_xlfn.XLOOKUP($A44,Inputs!$A:$A,Inputs!L:L,,0)</f>
        <v>52604.800000000003</v>
      </c>
      <c r="M44" s="60">
        <f>_xlfn.XLOOKUP($A44,Inputs!$A:$A,Inputs!M:M,,0)</f>
        <v>42569.4</v>
      </c>
      <c r="N44" s="52">
        <f t="shared" si="80"/>
        <v>114352.55</v>
      </c>
      <c r="O44" s="52">
        <f t="shared" si="81"/>
        <v>187345.19999999998</v>
      </c>
      <c r="P44" s="52">
        <f t="shared" si="82"/>
        <v>165828.70000000001</v>
      </c>
      <c r="Q44" s="52">
        <f t="shared" si="83"/>
        <v>150213.04285714286</v>
      </c>
      <c r="R44" s="52">
        <f t="shared" si="84"/>
        <v>127705.64000000001</v>
      </c>
      <c r="S44" s="671"/>
    </row>
    <row r="45" spans="1:20">
      <c r="B45"/>
      <c r="C45"/>
      <c r="D45"/>
      <c r="E45"/>
      <c r="F45"/>
      <c r="G45"/>
      <c r="H45"/>
      <c r="I45"/>
      <c r="J45"/>
      <c r="K45"/>
      <c r="L45"/>
      <c r="M45"/>
    </row>
    <row r="46" spans="1:20">
      <c r="B46"/>
      <c r="C46"/>
      <c r="D46"/>
      <c r="E46"/>
      <c r="F46"/>
      <c r="G46"/>
      <c r="H46"/>
      <c r="I46"/>
      <c r="J46"/>
      <c r="K46"/>
      <c r="L46"/>
      <c r="M46"/>
    </row>
    <row r="47" spans="1:20" ht="20.25">
      <c r="A47" s="1072" t="s">
        <v>523</v>
      </c>
      <c r="B47" s="1072"/>
      <c r="C47" s="1072"/>
      <c r="D47" s="1072"/>
      <c r="E47" s="1072"/>
      <c r="F47" s="1072"/>
      <c r="G47" s="1072"/>
      <c r="H47" s="1072"/>
      <c r="I47" s="1072"/>
      <c r="J47" s="1072"/>
      <c r="K47" s="1072"/>
      <c r="L47" s="1072"/>
      <c r="M47" s="1072"/>
    </row>
    <row r="48" spans="1:20">
      <c r="A48" s="107" t="s">
        <v>289</v>
      </c>
      <c r="B48" s="60">
        <f>_xlfn.XLOOKUP($A48,Inputs!$A:$A,Inputs!B:B,,0)</f>
        <v>110835.1</v>
      </c>
      <c r="C48" s="60">
        <f>_xlfn.XLOOKUP($A48,Inputs!$A:$A,Inputs!C:C,,0)</f>
        <v>95802</v>
      </c>
      <c r="D48" s="60">
        <f>_xlfn.XLOOKUP($A48,Inputs!$A:$A,Inputs!D:D,,0)</f>
        <v>95597</v>
      </c>
      <c r="E48" s="60">
        <f>_xlfn.XLOOKUP($A48,Inputs!$A:$A,Inputs!E:E,,0)</f>
        <v>81165.7</v>
      </c>
      <c r="F48" s="60">
        <f>_xlfn.XLOOKUP($A48,Inputs!$A:$A,Inputs!F:F,,0)</f>
        <v>54599.8</v>
      </c>
      <c r="G48" s="60">
        <f>_xlfn.XLOOKUP($A48,Inputs!$A:$A,Inputs!G:G,,0)</f>
        <v>54379.4</v>
      </c>
      <c r="H48" s="60">
        <f>_xlfn.XLOOKUP($A48,Inputs!$A:$A,Inputs!H:H,,0)</f>
        <v>58881.2</v>
      </c>
      <c r="I48" s="60">
        <f>_xlfn.XLOOKUP($A48,Inputs!$A:$A,Inputs!I:I,,0)</f>
        <v>43252.2</v>
      </c>
      <c r="J48" s="60">
        <f>_xlfn.XLOOKUP($A48,Inputs!$A:$A,Inputs!J:J,,0)</f>
        <v>31786.400000000001</v>
      </c>
      <c r="K48" s="60">
        <f>_xlfn.XLOOKUP($A48,Inputs!$A:$A,Inputs!K:K,,0)</f>
        <v>26144.7</v>
      </c>
      <c r="L48" s="60">
        <f>_xlfn.XLOOKUP($A48,Inputs!$A:$A,Inputs!L:L,,0)</f>
        <v>22839.5</v>
      </c>
      <c r="M48" s="60">
        <f>_xlfn.XLOOKUP($A48,Inputs!$A:$A,Inputs!M:M,,0)</f>
        <v>19319.2</v>
      </c>
      <c r="N48" s="52">
        <f>AVERAGE(B48:M48)</f>
        <v>57883.516666666656</v>
      </c>
      <c r="O48" s="52">
        <f>AVERAGE(B48:D48)</f>
        <v>100744.7</v>
      </c>
      <c r="P48" s="52">
        <f>AVERAGE(B48:F48)</f>
        <v>87599.92</v>
      </c>
      <c r="Q48" s="52">
        <f>AVERAGE(B48:H48)</f>
        <v>78751.457142857136</v>
      </c>
      <c r="R48" s="52">
        <f>AVERAGE(B48:K48)</f>
        <v>65244.349999999991</v>
      </c>
      <c r="S48" s="671"/>
    </row>
    <row r="49" spans="1:19">
      <c r="A49" s="108" t="s">
        <v>524</v>
      </c>
      <c r="B49" s="54">
        <f>_xlfn.XLOOKUP($A49,Inputs!$A:$A,Inputs!B:B,,0)</f>
        <v>40515.4</v>
      </c>
      <c r="C49" s="54">
        <f>_xlfn.XLOOKUP($A49,Inputs!$A:$A,Inputs!C:C,,0)</f>
        <v>40888.300000000003</v>
      </c>
      <c r="D49" s="54">
        <f>_xlfn.XLOOKUP($A49,Inputs!$A:$A,Inputs!D:D,,0)</f>
        <v>35681.599999999999</v>
      </c>
      <c r="E49" s="54">
        <f>_xlfn.XLOOKUP($A49,Inputs!$A:$A,Inputs!E:E,,0)</f>
        <v>27473.9</v>
      </c>
      <c r="F49" s="54">
        <f>_xlfn.XLOOKUP($A49,Inputs!$A:$A,Inputs!F:F,,0)</f>
        <v>16395.5</v>
      </c>
      <c r="G49" s="54">
        <f>_xlfn.XLOOKUP($A49,Inputs!$A:$A,Inputs!G:G,,0)</f>
        <v>17005.2</v>
      </c>
      <c r="H49" s="54">
        <f>_xlfn.XLOOKUP($A49,Inputs!$A:$A,Inputs!H:H,,0)</f>
        <v>16967.2</v>
      </c>
      <c r="I49" s="54">
        <f>_xlfn.XLOOKUP($A49,Inputs!$A:$A,Inputs!I:I,,0)</f>
        <v>4415</v>
      </c>
      <c r="J49" s="54">
        <f>_xlfn.XLOOKUP($A49,Inputs!$A:$A,Inputs!J:J,,0)</f>
        <v>5863.8</v>
      </c>
      <c r="K49" s="54">
        <f>_xlfn.XLOOKUP($A49,Inputs!$A:$A,Inputs!K:K,,0)</f>
        <v>4213.8</v>
      </c>
      <c r="L49" s="54">
        <f>_xlfn.XLOOKUP($A49,Inputs!$A:$A,Inputs!L:L,,0)</f>
        <v>4791</v>
      </c>
      <c r="M49" s="54">
        <f>_xlfn.XLOOKUP($A49,Inputs!$A:$A,Inputs!M:M,,0)</f>
        <v>4393.3999999999996</v>
      </c>
      <c r="N49" s="52">
        <f t="shared" ref="N49:N55" si="85">AVERAGE(B49:M49)</f>
        <v>18217.008333333335</v>
      </c>
      <c r="O49" s="52">
        <f t="shared" ref="O49:O64" si="86">AVERAGE(B49:D49)</f>
        <v>39028.433333333342</v>
      </c>
      <c r="P49" s="52">
        <f t="shared" ref="P49:P64" si="87">AVERAGE(B49:F49)</f>
        <v>32190.940000000002</v>
      </c>
      <c r="Q49" s="52">
        <f t="shared" ref="Q49:Q64" si="88">AVERAGE(B49:H49)</f>
        <v>27846.728571428575</v>
      </c>
      <c r="R49" s="52">
        <f t="shared" ref="R49:R64" si="89">AVERAGE(B49:K49)</f>
        <v>20941.97</v>
      </c>
      <c r="S49" s="671"/>
    </row>
    <row r="50" spans="1:19">
      <c r="A50" s="102" t="s">
        <v>525</v>
      </c>
      <c r="B50" s="54">
        <f>_xlfn.XLOOKUP($A50,Inputs!$A:$A,Inputs!B:B,,0)</f>
        <v>0</v>
      </c>
      <c r="C50" s="54">
        <f>_xlfn.XLOOKUP($A50,Inputs!$A:$A,Inputs!C:C,,0)</f>
        <v>0</v>
      </c>
      <c r="D50" s="54">
        <f>_xlfn.XLOOKUP($A50,Inputs!$A:$A,Inputs!D:D,,0)</f>
        <v>0</v>
      </c>
      <c r="E50" s="54">
        <f>_xlfn.XLOOKUP($A50,Inputs!$A:$A,Inputs!E:E,,0)</f>
        <v>0</v>
      </c>
      <c r="F50" s="54">
        <f>_xlfn.XLOOKUP($A50,Inputs!$A:$A,Inputs!F:F,,0)</f>
        <v>0</v>
      </c>
      <c r="G50" s="54">
        <f>_xlfn.XLOOKUP($A50,Inputs!$A:$A,Inputs!G:G,,0)</f>
        <v>0</v>
      </c>
      <c r="H50" s="54">
        <f>_xlfn.XLOOKUP($A50,Inputs!$A:$A,Inputs!H:H,,0)</f>
        <v>0</v>
      </c>
      <c r="I50" s="54">
        <f>_xlfn.XLOOKUP($A50,Inputs!$A:$A,Inputs!I:I,,0)</f>
        <v>0</v>
      </c>
      <c r="J50" s="54">
        <f>_xlfn.XLOOKUP($A50,Inputs!$A:$A,Inputs!J:J,,0)</f>
        <v>0</v>
      </c>
      <c r="K50" s="54">
        <f>_xlfn.XLOOKUP($A50,Inputs!$A:$A,Inputs!K:K,,0)</f>
        <v>0</v>
      </c>
      <c r="L50" s="54">
        <f>_xlfn.XLOOKUP($A50,Inputs!$A:$A,Inputs!L:L,,0)</f>
        <v>0</v>
      </c>
      <c r="M50" s="54">
        <f>_xlfn.XLOOKUP($A50,Inputs!$A:$A,Inputs!M:M,,0)</f>
        <v>0</v>
      </c>
      <c r="N50" s="52">
        <f t="shared" si="85"/>
        <v>0</v>
      </c>
      <c r="O50" s="52">
        <f t="shared" si="86"/>
        <v>0</v>
      </c>
      <c r="P50" s="52">
        <f t="shared" si="87"/>
        <v>0</v>
      </c>
      <c r="Q50" s="52">
        <f t="shared" si="88"/>
        <v>0</v>
      </c>
      <c r="R50" s="52">
        <f t="shared" si="89"/>
        <v>0</v>
      </c>
    </row>
    <row r="51" spans="1:19">
      <c r="A51" s="103" t="s">
        <v>526</v>
      </c>
      <c r="B51" s="54">
        <f>_xlfn.XLOOKUP($A51,Inputs!$A:$A,Inputs!B:B,,0)</f>
        <v>10825.4</v>
      </c>
      <c r="C51" s="54">
        <f>_xlfn.XLOOKUP($A51,Inputs!$A:$A,Inputs!C:C,,0)</f>
        <v>9936.1000000000058</v>
      </c>
      <c r="D51" s="54">
        <f>_xlfn.XLOOKUP($A51,Inputs!$A:$A,Inputs!D:D,,0)</f>
        <v>8269.2000000000116</v>
      </c>
      <c r="E51" s="54">
        <f>_xlfn.XLOOKUP($A51,Inputs!$A:$A,Inputs!E:E,,0)</f>
        <v>8715.8999999999942</v>
      </c>
      <c r="F51" s="54">
        <f>_xlfn.XLOOKUP($A51,Inputs!$A:$A,Inputs!F:F,,0)</f>
        <v>5029</v>
      </c>
      <c r="G51" s="54">
        <f>_xlfn.XLOOKUP($A51,Inputs!$A:$A,Inputs!G:G,,0)</f>
        <v>3638.0999999999985</v>
      </c>
      <c r="H51" s="54">
        <f>_xlfn.XLOOKUP($A51,Inputs!$A:$A,Inputs!H:H,,0)</f>
        <v>5755.8999999999942</v>
      </c>
      <c r="I51" s="54">
        <f>_xlfn.XLOOKUP($A51,Inputs!$A:$A,Inputs!I:I,,0)</f>
        <v>13829.899999999998</v>
      </c>
      <c r="J51" s="54">
        <f>_xlfn.XLOOKUP($A51,Inputs!$A:$A,Inputs!J:J,,0)</f>
        <v>10319.300000000003</v>
      </c>
      <c r="K51" s="54">
        <f>_xlfn.XLOOKUP($A51,Inputs!$A:$A,Inputs!K:K,,0)</f>
        <v>7837.7000000000007</v>
      </c>
      <c r="L51" s="54">
        <f>_xlfn.XLOOKUP($A51,Inputs!$A:$A,Inputs!L:L,,0)</f>
        <v>7336.2999999999993</v>
      </c>
      <c r="M51" s="54">
        <f>_xlfn.XLOOKUP($A51,Inputs!$A:$A,Inputs!M:M,,0)</f>
        <v>6228.4000000000015</v>
      </c>
      <c r="N51" s="52">
        <f t="shared" si="85"/>
        <v>8143.4333333333343</v>
      </c>
      <c r="O51" s="52">
        <f t="shared" si="86"/>
        <v>9676.9000000000069</v>
      </c>
      <c r="P51" s="52">
        <f t="shared" si="87"/>
        <v>8555.1200000000026</v>
      </c>
      <c r="Q51" s="52">
        <f t="shared" si="88"/>
        <v>7452.8000000000011</v>
      </c>
      <c r="R51" s="52">
        <f t="shared" si="89"/>
        <v>8415.65</v>
      </c>
      <c r="S51" s="671"/>
    </row>
    <row r="52" spans="1:19">
      <c r="A52" s="107" t="s">
        <v>527</v>
      </c>
      <c r="B52" s="60">
        <f>_xlfn.XLOOKUP($A52,Inputs!$A:$A,Inputs!B:B,,0)</f>
        <v>21926.399999999994</v>
      </c>
      <c r="C52" s="60">
        <f>_xlfn.XLOOKUP($A52,Inputs!$A:$A,Inputs!C:C,,0)</f>
        <v>24339.399999999994</v>
      </c>
      <c r="D52" s="60">
        <f>_xlfn.XLOOKUP($A52,Inputs!$A:$A,Inputs!D:D,,0)</f>
        <v>17682.5</v>
      </c>
      <c r="E52" s="60">
        <f>_xlfn.XLOOKUP($A52,Inputs!$A:$A,Inputs!E:E,,0)</f>
        <v>15504</v>
      </c>
      <c r="F52" s="60">
        <f>_xlfn.XLOOKUP($A52,Inputs!$A:$A,Inputs!F:F,,0)</f>
        <v>4097.3999999999942</v>
      </c>
      <c r="G52" s="60">
        <f>_xlfn.XLOOKUP($A52,Inputs!$A:$A,Inputs!G:G,,0)</f>
        <v>4732.3999999999942</v>
      </c>
      <c r="H52" s="60">
        <f>_xlfn.XLOOKUP($A52,Inputs!$A:$A,Inputs!H:H,,0)</f>
        <v>2407.9000000000015</v>
      </c>
      <c r="I52" s="60">
        <f>_xlfn.XLOOKUP($A52,Inputs!$A:$A,Inputs!I:I,,0)</f>
        <v>1703.3000000000029</v>
      </c>
      <c r="J52" s="60">
        <f>_xlfn.XLOOKUP($A52,Inputs!$A:$A,Inputs!J:J,,0)</f>
        <v>1737.2999999999956</v>
      </c>
      <c r="K52" s="60">
        <f>_xlfn.XLOOKUP($A52,Inputs!$A:$A,Inputs!K:K,,0)</f>
        <v>1682.0999999999985</v>
      </c>
      <c r="L52" s="60">
        <f>_xlfn.XLOOKUP($A52,Inputs!$A:$A,Inputs!L:L,,0)</f>
        <v>1757.2999999999993</v>
      </c>
      <c r="M52" s="60">
        <f>_xlfn.XLOOKUP($A52,Inputs!$A:$A,Inputs!M:M,,0)</f>
        <v>1606.7999999999993</v>
      </c>
      <c r="N52" s="52">
        <f t="shared" si="85"/>
        <v>8264.7333333333318</v>
      </c>
      <c r="O52" s="52">
        <f t="shared" si="86"/>
        <v>21316.099999999995</v>
      </c>
      <c r="P52" s="52">
        <f t="shared" si="87"/>
        <v>16709.939999999995</v>
      </c>
      <c r="Q52" s="52">
        <f t="shared" si="88"/>
        <v>12955.714285714281</v>
      </c>
      <c r="R52" s="52">
        <f t="shared" si="89"/>
        <v>9581.2699999999986</v>
      </c>
      <c r="S52" s="671"/>
    </row>
    <row r="53" spans="1:19">
      <c r="A53" s="108" t="s">
        <v>528</v>
      </c>
      <c r="B53" s="54">
        <f>_xlfn.XLOOKUP($A53,Inputs!$A:$A,Inputs!B:B,,0)</f>
        <v>16749.099999999999</v>
      </c>
      <c r="C53" s="54">
        <f>_xlfn.XLOOKUP($A53,Inputs!$A:$A,Inputs!C:C,,0)</f>
        <v>18916.900000000001</v>
      </c>
      <c r="D53" s="54">
        <f>_xlfn.XLOOKUP($A53,Inputs!$A:$A,Inputs!D:D,,0)</f>
        <v>12132.4</v>
      </c>
      <c r="E53" s="54">
        <f>_xlfn.XLOOKUP($A53,Inputs!$A:$A,Inputs!E:E,,0)</f>
        <v>10777.2</v>
      </c>
      <c r="F53" s="54">
        <f>_xlfn.XLOOKUP($A53,Inputs!$A:$A,Inputs!F:F,,0)</f>
        <v>1205.7</v>
      </c>
      <c r="G53" s="54">
        <f>_xlfn.XLOOKUP($A53,Inputs!$A:$A,Inputs!G:G,,0)</f>
        <v>2157.8000000000002</v>
      </c>
      <c r="H53" s="54">
        <f>_xlfn.XLOOKUP($A53,Inputs!$A:$A,Inputs!H:H,,0)</f>
        <v>423.8</v>
      </c>
      <c r="I53" s="54">
        <f>_xlfn.XLOOKUP($A53,Inputs!$A:$A,Inputs!I:I,,0)</f>
        <v>49.8</v>
      </c>
      <c r="J53" s="54">
        <f>_xlfn.XLOOKUP($A53,Inputs!$A:$A,Inputs!J:J,,0)</f>
        <v>50</v>
      </c>
      <c r="K53" s="54">
        <f>_xlfn.XLOOKUP($A53,Inputs!$A:$A,Inputs!K:K,,0)</f>
        <v>0</v>
      </c>
      <c r="L53" s="54">
        <f>_xlfn.XLOOKUP($A53,Inputs!$A:$A,Inputs!L:L,,0)</f>
        <v>0</v>
      </c>
      <c r="M53" s="54">
        <f>_xlfn.XLOOKUP($A53,Inputs!$A:$A,Inputs!M:M,,0)</f>
        <v>0</v>
      </c>
      <c r="N53" s="52">
        <f t="shared" si="85"/>
        <v>5205.2250000000013</v>
      </c>
      <c r="O53" s="52">
        <f t="shared" si="86"/>
        <v>15932.800000000001</v>
      </c>
      <c r="P53" s="52">
        <f t="shared" si="87"/>
        <v>11956.26</v>
      </c>
      <c r="Q53" s="52">
        <f t="shared" si="88"/>
        <v>8908.9857142857163</v>
      </c>
      <c r="R53" s="52">
        <f t="shared" si="89"/>
        <v>6246.2700000000013</v>
      </c>
      <c r="S53" s="671"/>
    </row>
    <row r="54" spans="1:19">
      <c r="A54" s="102" t="s">
        <v>529</v>
      </c>
      <c r="B54" s="54">
        <f>_xlfn.XLOOKUP($A54,Inputs!$A:$A,Inputs!B:B,,0)</f>
        <v>661.6</v>
      </c>
      <c r="C54" s="54">
        <f>_xlfn.XLOOKUP($A54,Inputs!$A:$A,Inputs!C:C,,0)</f>
        <v>978.7</v>
      </c>
      <c r="D54" s="54">
        <f>_xlfn.XLOOKUP($A54,Inputs!$A:$A,Inputs!D:D,,0)</f>
        <v>475.9</v>
      </c>
      <c r="E54" s="54">
        <f>_xlfn.XLOOKUP($A54,Inputs!$A:$A,Inputs!E:E,,0)</f>
        <v>495.3</v>
      </c>
      <c r="F54" s="54">
        <f>_xlfn.XLOOKUP($A54,Inputs!$A:$A,Inputs!F:F,,0)</f>
        <v>59.2</v>
      </c>
      <c r="G54" s="54">
        <f>_xlfn.XLOOKUP($A54,Inputs!$A:$A,Inputs!G:G,,0)</f>
        <v>0</v>
      </c>
      <c r="H54" s="54">
        <f>_xlfn.XLOOKUP($A54,Inputs!$A:$A,Inputs!H:H,,0)</f>
        <v>0</v>
      </c>
      <c r="I54" s="54">
        <f>_xlfn.XLOOKUP($A54,Inputs!$A:$A,Inputs!I:I,,0)</f>
        <v>0</v>
      </c>
      <c r="J54" s="54">
        <f>_xlfn.XLOOKUP($A54,Inputs!$A:$A,Inputs!J:J,,0)</f>
        <v>0</v>
      </c>
      <c r="K54" s="54">
        <f>_xlfn.XLOOKUP($A54,Inputs!$A:$A,Inputs!K:K,,0)</f>
        <v>0</v>
      </c>
      <c r="L54" s="54">
        <f>_xlfn.XLOOKUP($A54,Inputs!$A:$A,Inputs!L:L,,0)</f>
        <v>0</v>
      </c>
      <c r="M54" s="54">
        <f>_xlfn.XLOOKUP($A54,Inputs!$A:$A,Inputs!M:M,,0)</f>
        <v>0</v>
      </c>
      <c r="N54" s="52">
        <f t="shared" si="85"/>
        <v>222.55833333333337</v>
      </c>
      <c r="O54" s="52">
        <f t="shared" si="86"/>
        <v>705.40000000000009</v>
      </c>
      <c r="P54" s="52">
        <f t="shared" si="87"/>
        <v>534.1400000000001</v>
      </c>
      <c r="Q54" s="52">
        <f t="shared" si="88"/>
        <v>381.52857142857147</v>
      </c>
      <c r="R54" s="52">
        <f t="shared" si="89"/>
        <v>267.07000000000005</v>
      </c>
      <c r="S54" s="671"/>
    </row>
    <row r="55" spans="1:19">
      <c r="A55" s="103" t="s">
        <v>530</v>
      </c>
      <c r="B55" s="54">
        <f>_xlfn.XLOOKUP($A55,Inputs!$A:$A,Inputs!B:B,,0)</f>
        <v>4515.6999999999971</v>
      </c>
      <c r="C55" s="54">
        <f>_xlfn.XLOOKUP($A55,Inputs!$A:$A,Inputs!C:C,,0)</f>
        <v>4443.799999999992</v>
      </c>
      <c r="D55" s="54">
        <f>_xlfn.XLOOKUP($A55,Inputs!$A:$A,Inputs!D:D,,0)</f>
        <v>5074.2000000000007</v>
      </c>
      <c r="E55" s="54">
        <f>_xlfn.XLOOKUP($A55,Inputs!$A:$A,Inputs!E:E,,0)</f>
        <v>4231.5</v>
      </c>
      <c r="F55" s="54">
        <f>_xlfn.XLOOKUP($A55,Inputs!$A:$A,Inputs!F:F,,0)</f>
        <v>2832.4999999999941</v>
      </c>
      <c r="G55" s="54">
        <f>_xlfn.XLOOKUP($A55,Inputs!$A:$A,Inputs!G:G,,0)</f>
        <v>2574.599999999994</v>
      </c>
      <c r="H55" s="54">
        <f>_xlfn.XLOOKUP($A55,Inputs!$A:$A,Inputs!H:H,,0)</f>
        <v>1984.1000000000015</v>
      </c>
      <c r="I55" s="54">
        <f>_xlfn.XLOOKUP($A55,Inputs!$A:$A,Inputs!I:I,,0)</f>
        <v>1653.500000000003</v>
      </c>
      <c r="J55" s="54">
        <f>_xlfn.XLOOKUP($A55,Inputs!$A:$A,Inputs!J:J,,0)</f>
        <v>1687.2999999999956</v>
      </c>
      <c r="K55" s="54">
        <f>_xlfn.XLOOKUP($A55,Inputs!$A:$A,Inputs!K:K,,0)</f>
        <v>1682.0999999999985</v>
      </c>
      <c r="L55" s="54">
        <f>_xlfn.XLOOKUP($A55,Inputs!$A:$A,Inputs!L:L,,0)</f>
        <v>1757.2999999999993</v>
      </c>
      <c r="M55" s="54">
        <f>_xlfn.XLOOKUP($A55,Inputs!$A:$A,Inputs!M:M,,0)</f>
        <v>1606.7999999999993</v>
      </c>
      <c r="N55" s="52">
        <f t="shared" si="85"/>
        <v>2836.9499999999985</v>
      </c>
      <c r="O55" s="52">
        <f t="shared" si="86"/>
        <v>4677.8999999999969</v>
      </c>
      <c r="P55" s="52">
        <f t="shared" si="87"/>
        <v>4219.5399999999963</v>
      </c>
      <c r="Q55" s="52">
        <f t="shared" si="88"/>
        <v>3665.1999999999971</v>
      </c>
      <c r="R55" s="52">
        <f t="shared" si="89"/>
        <v>3067.9299999999976</v>
      </c>
      <c r="S55" s="671"/>
    </row>
    <row r="56" spans="1:19">
      <c r="A56" s="107" t="s">
        <v>40</v>
      </c>
      <c r="B56" s="60">
        <f>_xlfn.XLOOKUP($A56,Inputs!$A:$A,Inputs!B:B,,0)</f>
        <v>132761.5</v>
      </c>
      <c r="C56" s="60">
        <f>_xlfn.XLOOKUP($A56,Inputs!$A:$A,Inputs!C:C,,0)</f>
        <v>120141.4</v>
      </c>
      <c r="D56" s="60">
        <f>_xlfn.XLOOKUP($A56,Inputs!$A:$A,Inputs!D:D,,0)</f>
        <v>113279.5</v>
      </c>
      <c r="E56" s="60">
        <f>_xlfn.XLOOKUP($A56,Inputs!$A:$A,Inputs!E:E,,0)</f>
        <v>96669.7</v>
      </c>
      <c r="F56" s="60">
        <f>_xlfn.XLOOKUP($A56,Inputs!$A:$A,Inputs!F:F,,0)</f>
        <v>58697.2</v>
      </c>
      <c r="G56" s="60">
        <f>_xlfn.XLOOKUP($A56,Inputs!$A:$A,Inputs!G:G,,0)</f>
        <v>59111.799999999996</v>
      </c>
      <c r="H56" s="60">
        <f>_xlfn.XLOOKUP($A56,Inputs!$A:$A,Inputs!H:H,,0)</f>
        <v>61289.1</v>
      </c>
      <c r="I56" s="60">
        <f>_xlfn.XLOOKUP($A56,Inputs!$A:$A,Inputs!I:I,,0)</f>
        <v>44955.5</v>
      </c>
      <c r="J56" s="60">
        <f>_xlfn.XLOOKUP($A56,Inputs!$A:$A,Inputs!J:J,,0)</f>
        <v>33523.699999999997</v>
      </c>
      <c r="K56" s="60">
        <f>_xlfn.XLOOKUP($A56,Inputs!$A:$A,Inputs!K:K,,0)</f>
        <v>27826.799999999999</v>
      </c>
      <c r="L56" s="60">
        <f>_xlfn.XLOOKUP($A56,Inputs!$A:$A,Inputs!L:L,,0)</f>
        <v>24596.799999999999</v>
      </c>
      <c r="M56" s="60">
        <f>_xlfn.XLOOKUP($A56,Inputs!$A:$A,Inputs!M:M,,0)</f>
        <v>20926</v>
      </c>
      <c r="N56" s="52">
        <f>AVERAGE(B56:M56)</f>
        <v>66148.250000000015</v>
      </c>
      <c r="O56" s="52">
        <f t="shared" si="86"/>
        <v>122060.8</v>
      </c>
      <c r="P56" s="52">
        <f t="shared" si="87"/>
        <v>104309.86000000002</v>
      </c>
      <c r="Q56" s="52">
        <f t="shared" si="88"/>
        <v>91707.171428571441</v>
      </c>
      <c r="R56" s="52">
        <f t="shared" si="89"/>
        <v>74825.62000000001</v>
      </c>
      <c r="S56" s="671"/>
    </row>
    <row r="57" spans="1:19">
      <c r="B57"/>
      <c r="C57"/>
      <c r="D57"/>
      <c r="E57"/>
      <c r="F57"/>
      <c r="G57"/>
      <c r="H57"/>
      <c r="I57"/>
      <c r="J57"/>
      <c r="K57"/>
      <c r="L57"/>
      <c r="M57"/>
      <c r="N57" s="52"/>
      <c r="O57" s="52"/>
      <c r="P57" s="52"/>
      <c r="Q57" s="52"/>
      <c r="R57" s="52"/>
    </row>
    <row r="58" spans="1:19">
      <c r="A58" s="107" t="s">
        <v>290</v>
      </c>
      <c r="B58" s="60">
        <f>B49+B53+B50+B54</f>
        <v>57926.1</v>
      </c>
      <c r="C58" s="60">
        <f t="shared" ref="C58:M58" si="90">C49+C53+C50+C54</f>
        <v>60783.9</v>
      </c>
      <c r="D58" s="60">
        <f t="shared" si="90"/>
        <v>48289.9</v>
      </c>
      <c r="E58" s="60">
        <f t="shared" si="90"/>
        <v>38746.400000000009</v>
      </c>
      <c r="F58" s="60">
        <f t="shared" si="90"/>
        <v>17660.400000000001</v>
      </c>
      <c r="G58" s="60">
        <f t="shared" si="90"/>
        <v>19163</v>
      </c>
      <c r="H58" s="60">
        <f t="shared" si="90"/>
        <v>17391</v>
      </c>
      <c r="I58" s="60">
        <f t="shared" si="90"/>
        <v>4464.8</v>
      </c>
      <c r="J58" s="60">
        <f t="shared" si="90"/>
        <v>5913.8</v>
      </c>
      <c r="K58" s="60">
        <f t="shared" si="90"/>
        <v>4213.8</v>
      </c>
      <c r="L58" s="60">
        <f t="shared" si="90"/>
        <v>4791</v>
      </c>
      <c r="M58" s="60">
        <f t="shared" si="90"/>
        <v>4393.3999999999996</v>
      </c>
      <c r="N58" s="52">
        <f t="shared" ref="N58:N64" si="91">AVERAGE(B58:M58)</f>
        <v>23644.791666666668</v>
      </c>
      <c r="O58" s="52">
        <f t="shared" si="86"/>
        <v>55666.633333333331</v>
      </c>
      <c r="P58" s="52">
        <f t="shared" si="87"/>
        <v>44681.34</v>
      </c>
      <c r="Q58" s="52">
        <f t="shared" si="88"/>
        <v>37137.242857142854</v>
      </c>
      <c r="R58" s="52">
        <f t="shared" si="89"/>
        <v>27455.309999999998</v>
      </c>
      <c r="S58" s="671"/>
    </row>
    <row r="59" spans="1:19">
      <c r="A59" s="108" t="s">
        <v>60</v>
      </c>
      <c r="B59" s="56">
        <f>IFERROR(B58/B44,"-")</f>
        <v>0.28780252227974024</v>
      </c>
      <c r="C59" s="56">
        <f t="shared" ref="C59:M59" si="92">IFERROR(C58/C44,"-")</f>
        <v>0.32792827690088283</v>
      </c>
      <c r="D59" s="56">
        <f t="shared" si="92"/>
        <v>0.27530044239715407</v>
      </c>
      <c r="E59" s="56">
        <f t="shared" si="92"/>
        <v>0.25158121309123027</v>
      </c>
      <c r="F59" s="56">
        <f t="shared" si="92"/>
        <v>0.15615351151760801</v>
      </c>
      <c r="G59" s="56">
        <f t="shared" si="92"/>
        <v>0.17140368012994589</v>
      </c>
      <c r="H59" s="56">
        <f t="shared" si="92"/>
        <v>0.15731713274124948</v>
      </c>
      <c r="I59" s="56">
        <f t="shared" si="92"/>
        <v>4.8367876658014591E-2</v>
      </c>
      <c r="J59" s="56">
        <f t="shared" si="92"/>
        <v>8.2238223572046396E-2</v>
      </c>
      <c r="K59" s="56">
        <f t="shared" si="92"/>
        <v>6.8689858880794458E-2</v>
      </c>
      <c r="L59" s="56">
        <f t="shared" si="92"/>
        <v>9.1075339132550642E-2</v>
      </c>
      <c r="M59" s="56">
        <f t="shared" si="92"/>
        <v>0.10320558899115326</v>
      </c>
      <c r="N59" s="229">
        <f t="shared" si="91"/>
        <v>0.16842197219103086</v>
      </c>
      <c r="O59" s="229">
        <f t="shared" si="86"/>
        <v>0.29701041385925908</v>
      </c>
      <c r="P59" s="229">
        <f t="shared" si="87"/>
        <v>0.2597531932373231</v>
      </c>
      <c r="Q59" s="229">
        <f t="shared" si="88"/>
        <v>0.23249811129397299</v>
      </c>
      <c r="R59" s="229">
        <f t="shared" si="89"/>
        <v>0.18267827381686666</v>
      </c>
      <c r="S59" s="671"/>
    </row>
    <row r="60" spans="1:19">
      <c r="A60" s="107" t="s">
        <v>531</v>
      </c>
      <c r="B60" s="60">
        <f>B58-B39</f>
        <v>18541.5</v>
      </c>
      <c r="C60" s="60">
        <f t="shared" ref="C60:M60" si="93">C58-C39</f>
        <v>24922.9</v>
      </c>
      <c r="D60" s="60">
        <f t="shared" si="93"/>
        <v>6379.4000000000015</v>
      </c>
      <c r="E60" s="60">
        <f t="shared" si="93"/>
        <v>9956.1000000000095</v>
      </c>
      <c r="F60" s="60">
        <f t="shared" si="93"/>
        <v>-3915.7999999999993</v>
      </c>
      <c r="G60" s="60">
        <f t="shared" si="93"/>
        <v>8170.7000000000007</v>
      </c>
      <c r="H60" s="60">
        <f t="shared" si="93"/>
        <v>13180.9</v>
      </c>
      <c r="I60" s="60">
        <f t="shared" si="93"/>
        <v>1273</v>
      </c>
      <c r="J60" s="60">
        <f t="shared" si="93"/>
        <v>2405.4</v>
      </c>
      <c r="K60" s="60">
        <f t="shared" si="93"/>
        <v>1132.3000000000002</v>
      </c>
      <c r="L60" s="60">
        <f t="shared" si="93"/>
        <v>-731.60000000000036</v>
      </c>
      <c r="M60" s="60">
        <f t="shared" si="93"/>
        <v>-1202.1000000000004</v>
      </c>
      <c r="N60" s="52">
        <f t="shared" si="91"/>
        <v>6676.0583333333316</v>
      </c>
      <c r="O60" s="52">
        <f t="shared" si="86"/>
        <v>16614.600000000002</v>
      </c>
      <c r="P60" s="52">
        <f t="shared" si="87"/>
        <v>11176.820000000002</v>
      </c>
      <c r="Q60" s="52">
        <f t="shared" si="88"/>
        <v>11033.671428571428</v>
      </c>
      <c r="R60" s="52">
        <f t="shared" si="89"/>
        <v>8204.64</v>
      </c>
      <c r="S60" s="671"/>
    </row>
    <row r="61" spans="1:19">
      <c r="B61"/>
      <c r="C61"/>
      <c r="D61"/>
      <c r="E61"/>
      <c r="F61"/>
      <c r="G61"/>
      <c r="H61"/>
      <c r="I61"/>
      <c r="J61"/>
      <c r="K61"/>
      <c r="L61"/>
      <c r="M61"/>
      <c r="N61" s="52"/>
      <c r="O61" s="52"/>
      <c r="P61" s="52"/>
      <c r="Q61" s="52"/>
      <c r="R61" s="52"/>
    </row>
    <row r="62" spans="1:19" s="47" customFormat="1">
      <c r="A62" s="107" t="s">
        <v>532</v>
      </c>
      <c r="B62" s="60">
        <f>_xlfn.XLOOKUP($A62,Inputs!$A:$A,Inputs!B:B,,0)</f>
        <v>8.1999999999999993</v>
      </c>
      <c r="C62" s="60">
        <f>_xlfn.XLOOKUP($A62,Inputs!$A:$A,Inputs!C:C,,0)</f>
        <v>14.7</v>
      </c>
      <c r="D62" s="60">
        <f>_xlfn.XLOOKUP($A62,Inputs!$A:$A,Inputs!D:D,,0)</f>
        <v>4.0999999999999996</v>
      </c>
      <c r="E62" s="60">
        <f>_xlfn.XLOOKUP($A62,Inputs!$A:$A,Inputs!E:E,,0)</f>
        <v>0</v>
      </c>
      <c r="F62" s="60">
        <f>_xlfn.XLOOKUP($A62,Inputs!$A:$A,Inputs!F:F,,0)</f>
        <v>0</v>
      </c>
      <c r="G62" s="60">
        <f>_xlfn.XLOOKUP($A62,Inputs!$A:$A,Inputs!G:G,,0)</f>
        <v>163.80000000000001</v>
      </c>
      <c r="H62" s="60">
        <f>_xlfn.XLOOKUP($A62,Inputs!$A:$A,Inputs!H:H,,0)</f>
        <v>123.4</v>
      </c>
      <c r="I62" s="60">
        <f>_xlfn.XLOOKUP($A62,Inputs!$A:$A,Inputs!I:I,,0)</f>
        <v>58.8</v>
      </c>
      <c r="J62" s="60">
        <f>_xlfn.XLOOKUP($A62,Inputs!$A:$A,Inputs!J:J,,0)</f>
        <v>56</v>
      </c>
      <c r="K62" s="60">
        <f>_xlfn.XLOOKUP($A62,Inputs!$A:$A,Inputs!K:K,,0)</f>
        <v>66.599999999999994</v>
      </c>
      <c r="L62" s="60">
        <f>_xlfn.XLOOKUP($A62,Inputs!$A:$A,Inputs!L:L,,0)</f>
        <v>12.1</v>
      </c>
      <c r="M62" s="60">
        <f>_xlfn.XLOOKUP($A62,Inputs!$A:$A,Inputs!M:M,,0)</f>
        <v>129.1</v>
      </c>
      <c r="N62" s="52">
        <f t="shared" si="91"/>
        <v>53.06666666666667</v>
      </c>
      <c r="O62" s="52">
        <f t="shared" si="86"/>
        <v>9</v>
      </c>
      <c r="P62" s="52">
        <f t="shared" si="87"/>
        <v>5.4</v>
      </c>
      <c r="Q62" s="52">
        <f t="shared" si="88"/>
        <v>44.885714285714293</v>
      </c>
      <c r="R62" s="52">
        <f t="shared" si="89"/>
        <v>49.56</v>
      </c>
      <c r="S62" s="683"/>
    </row>
    <row r="63" spans="1:19">
      <c r="B63"/>
      <c r="C63"/>
      <c r="D63"/>
      <c r="E63"/>
      <c r="F63"/>
      <c r="G63"/>
      <c r="H63"/>
      <c r="I63"/>
      <c r="J63"/>
      <c r="K63"/>
      <c r="L63"/>
      <c r="M63"/>
      <c r="N63" s="52"/>
      <c r="O63" s="52"/>
      <c r="P63" s="52"/>
      <c r="Q63" s="52"/>
      <c r="R63" s="52"/>
    </row>
    <row r="64" spans="1:19">
      <c r="A64" s="107" t="s">
        <v>533</v>
      </c>
      <c r="B64" s="60">
        <f>_xlfn.XLOOKUP($A64,Inputs!$A:$A,Inputs!B:B,,0)</f>
        <v>68500.599999999991</v>
      </c>
      <c r="C64" s="60">
        <f>_xlfn.XLOOKUP($A64,Inputs!$A:$A,Inputs!C:C,,0)</f>
        <v>65201.2</v>
      </c>
      <c r="D64" s="60">
        <f>_xlfn.XLOOKUP($A64,Inputs!$A:$A,Inputs!D:D,,0)</f>
        <v>62124.4</v>
      </c>
      <c r="E64" s="60">
        <f>_xlfn.XLOOKUP($A64,Inputs!$A:$A,Inputs!E:E,,0)</f>
        <v>57341.8</v>
      </c>
      <c r="F64" s="60">
        <f>_xlfn.XLOOKUP($A64,Inputs!$A:$A,Inputs!F:F,,0)</f>
        <v>54399.199999999997</v>
      </c>
      <c r="G64" s="60">
        <f>_xlfn.XLOOKUP($A64,Inputs!$A:$A,Inputs!G:G,,0)</f>
        <v>52524.799999999996</v>
      </c>
      <c r="H64" s="60">
        <f>_xlfn.XLOOKUP($A64,Inputs!$A:$A,Inputs!H:H,,0)</f>
        <v>49134.899999999994</v>
      </c>
      <c r="I64" s="60">
        <f>_xlfn.XLOOKUP($A64,Inputs!$A:$A,Inputs!I:I,,0)</f>
        <v>47294.899999999994</v>
      </c>
      <c r="J64" s="60">
        <f>_xlfn.XLOOKUP($A64,Inputs!$A:$A,Inputs!J:J,,0)</f>
        <v>38330.900000000009</v>
      </c>
      <c r="K64" s="60">
        <f>_xlfn.XLOOKUP($A64,Inputs!$A:$A,Inputs!K:K,,0)</f>
        <v>33451.9</v>
      </c>
      <c r="L64" s="60">
        <f>_xlfn.XLOOKUP($A64,Inputs!$A:$A,Inputs!L:L,,0)</f>
        <v>27995.900000000005</v>
      </c>
      <c r="M64" s="60">
        <f>_xlfn.XLOOKUP($A64,Inputs!$A:$A,Inputs!M:M,,0)</f>
        <v>21514.300000000003</v>
      </c>
      <c r="N64" s="52">
        <f t="shared" si="91"/>
        <v>48151.233333333344</v>
      </c>
      <c r="O64" s="52">
        <f t="shared" si="86"/>
        <v>65275.399999999994</v>
      </c>
      <c r="P64" s="52">
        <f t="shared" si="87"/>
        <v>61513.440000000002</v>
      </c>
      <c r="Q64" s="52">
        <f t="shared" si="88"/>
        <v>58460.985714285714</v>
      </c>
      <c r="R64" s="52">
        <f t="shared" si="89"/>
        <v>52830.460000000006</v>
      </c>
      <c r="S64" s="671"/>
    </row>
    <row r="65" spans="1:235">
      <c r="K65" s="43"/>
      <c r="L65" s="43"/>
      <c r="M65" s="43"/>
    </row>
    <row r="66" spans="1:235" ht="20.25">
      <c r="A66" s="1072" t="s">
        <v>117</v>
      </c>
      <c r="B66" s="1072"/>
      <c r="C66" s="1072"/>
      <c r="D66" s="1072"/>
      <c r="E66" s="1072"/>
      <c r="F66" s="1072"/>
      <c r="G66" s="1072"/>
      <c r="H66" s="1072"/>
      <c r="I66" s="1072"/>
      <c r="J66" s="1072"/>
      <c r="K66" s="1072"/>
      <c r="L66" s="1072"/>
      <c r="M66" s="1072"/>
    </row>
    <row r="67" spans="1:235">
      <c r="A67" s="107" t="s">
        <v>118</v>
      </c>
      <c r="B67" s="60">
        <f>_xlfn.XLOOKUP($A67,Inputs!$A:$A,Inputs!B:B,,0)</f>
        <v>16025.5</v>
      </c>
      <c r="C67" s="60">
        <f>_xlfn.XLOOKUP($A67,Inputs!$A:$A,Inputs!C:C,,0)</f>
        <v>12206</v>
      </c>
      <c r="D67" s="60">
        <f>_xlfn.XLOOKUP($A67,Inputs!$A:$A,Inputs!D:D,,0)</f>
        <v>35327.699999999997</v>
      </c>
      <c r="E67" s="60">
        <f>_xlfn.XLOOKUP($A67,Inputs!$A:$A,Inputs!E:E,,0)</f>
        <v>5602.4</v>
      </c>
      <c r="F67" s="60">
        <f>_xlfn.XLOOKUP($A67,Inputs!$A:$A,Inputs!F:F,,0)</f>
        <v>13893.4</v>
      </c>
      <c r="G67" s="60">
        <f>_xlfn.XLOOKUP($A67,Inputs!$A:$A,Inputs!G:G,,0)</f>
        <v>19413</v>
      </c>
      <c r="H67" s="60">
        <f>_xlfn.XLOOKUP($A67,Inputs!$A:$A,Inputs!H:H,,0)</f>
        <v>-1090.7</v>
      </c>
      <c r="I67" s="60">
        <f>_xlfn.XLOOKUP($A67,Inputs!$A:$A,Inputs!I:I,,0)</f>
        <v>7134.5</v>
      </c>
      <c r="J67" s="60">
        <f>_xlfn.XLOOKUP($A67,Inputs!$A:$A,Inputs!J:J,,0)</f>
        <v>10138.700000000001</v>
      </c>
      <c r="K67" s="60">
        <f>_xlfn.XLOOKUP($A67,Inputs!$A:$A,Inputs!K:K,,0)</f>
        <v>6097.5</v>
      </c>
      <c r="L67" s="60">
        <f>_xlfn.XLOOKUP($A67,Inputs!$A:$A,Inputs!L:L,,0)</f>
        <v>9087.7000000000007</v>
      </c>
      <c r="M67" s="60">
        <f>_xlfn.XLOOKUP($A67,Inputs!$A:$A,Inputs!M:M,,0)</f>
        <v>4412.7</v>
      </c>
    </row>
    <row r="68" spans="1:235">
      <c r="A68" s="107" t="s">
        <v>119</v>
      </c>
      <c r="B68" s="60">
        <f>_xlfn.XLOOKUP($A68,Inputs!$A:$A,Inputs!B:B,,0)</f>
        <v>-11619.4</v>
      </c>
      <c r="C68" s="60">
        <f>_xlfn.XLOOKUP($A68,Inputs!$A:$A,Inputs!C:C,,0)</f>
        <v>-10983.9</v>
      </c>
      <c r="D68" s="60">
        <f>_xlfn.XLOOKUP($A68,Inputs!$A:$A,Inputs!D:D,,0)</f>
        <v>-11726.6</v>
      </c>
      <c r="E68" s="60">
        <f>_xlfn.XLOOKUP($A68,Inputs!$A:$A,Inputs!E:E,,0)</f>
        <v>-12254</v>
      </c>
      <c r="F68" s="60">
        <f>_xlfn.XLOOKUP($A68,Inputs!$A:$A,Inputs!F:F,,0)</f>
        <v>-15905.9</v>
      </c>
      <c r="G68" s="60">
        <f>_xlfn.XLOOKUP($A68,Inputs!$A:$A,Inputs!G:G,,0)</f>
        <v>-10246.1</v>
      </c>
      <c r="H68" s="60">
        <f>_xlfn.XLOOKUP($A68,Inputs!$A:$A,Inputs!H:H,,0)</f>
        <v>3192.5</v>
      </c>
      <c r="I68" s="60">
        <f>_xlfn.XLOOKUP($A68,Inputs!$A:$A,Inputs!I:I,,0)</f>
        <v>-8404.2999999999993</v>
      </c>
      <c r="J68" s="60">
        <f>_xlfn.XLOOKUP($A68,Inputs!$A:$A,Inputs!J:J,,0)</f>
        <v>-6626</v>
      </c>
      <c r="K68" s="60">
        <f>_xlfn.XLOOKUP($A68,Inputs!$A:$A,Inputs!K:K,,0)</f>
        <v>-7222.8</v>
      </c>
      <c r="L68" s="60">
        <f>_xlfn.XLOOKUP($A68,Inputs!$A:$A,Inputs!L:L,,0)</f>
        <v>-6739.5</v>
      </c>
      <c r="M68" s="60">
        <f>_xlfn.XLOOKUP($A68,Inputs!$A:$A,Inputs!M:M,,0)</f>
        <v>-3956.7</v>
      </c>
    </row>
    <row r="69" spans="1:235">
      <c r="A69" s="103" t="s">
        <v>120</v>
      </c>
      <c r="B69" s="54">
        <f>_xlfn.XLOOKUP($A69,Inputs!$A:$A,Inputs!B:B,,0)</f>
        <v>-16229.1</v>
      </c>
      <c r="C69" s="54">
        <f>_xlfn.XLOOKUP($A69,Inputs!$A:$A,Inputs!C:C,,0)</f>
        <v>-15859.3</v>
      </c>
      <c r="D69" s="54">
        <f>_xlfn.XLOOKUP($A69,Inputs!$A:$A,Inputs!D:D,,0)</f>
        <v>-12473</v>
      </c>
      <c r="E69" s="54">
        <f>_xlfn.XLOOKUP($A69,Inputs!$A:$A,Inputs!E:E,,0)</f>
        <v>-7779.9</v>
      </c>
      <c r="F69" s="54">
        <f>_xlfn.XLOOKUP($A69,Inputs!$A:$A,Inputs!F:F,,0)</f>
        <v>-6785.1</v>
      </c>
      <c r="G69" s="54">
        <f>_xlfn.XLOOKUP($A69,Inputs!$A:$A,Inputs!G:G,,0)</f>
        <v>-6246.7</v>
      </c>
      <c r="H69" s="54">
        <f>_xlfn.XLOOKUP($A69,Inputs!$A:$A,Inputs!H:H,,0)</f>
        <v>-5757.3</v>
      </c>
      <c r="I69" s="54">
        <f>_xlfn.XLOOKUP($A69,Inputs!$A:$A,Inputs!I:I,,0)</f>
        <v>-6678.6</v>
      </c>
      <c r="J69" s="54">
        <f>_xlfn.XLOOKUP($A69,Inputs!$A:$A,Inputs!J:J,,0)</f>
        <v>-5838.4</v>
      </c>
      <c r="K69" s="54">
        <f>_xlfn.XLOOKUP($A69,Inputs!$A:$A,Inputs!K:K,,0)</f>
        <v>-7222.9</v>
      </c>
      <c r="L69" s="54">
        <f>_xlfn.XLOOKUP($A69,Inputs!$A:$A,Inputs!L:L,,0)</f>
        <v>-7057.5</v>
      </c>
      <c r="M69" s="54">
        <f>_xlfn.XLOOKUP($A69,Inputs!$A:$A,Inputs!M:M,,0)</f>
        <v>-4265.5</v>
      </c>
    </row>
    <row r="70" spans="1:235">
      <c r="A70" s="103" t="s">
        <v>121</v>
      </c>
      <c r="B70" s="54">
        <f>_xlfn.XLOOKUP($A70,Inputs!$A:$A,Inputs!B:B,,0)</f>
        <v>0</v>
      </c>
      <c r="C70" s="54">
        <f>_xlfn.XLOOKUP($A70,Inputs!$A:$A,Inputs!C:C,,0)</f>
        <v>0</v>
      </c>
      <c r="D70" s="54">
        <f>_xlfn.XLOOKUP($A70,Inputs!$A:$A,Inputs!D:D,,0)</f>
        <v>0</v>
      </c>
      <c r="E70" s="54">
        <f>_xlfn.XLOOKUP($A70,Inputs!$A:$A,Inputs!E:E,,0)</f>
        <v>0</v>
      </c>
      <c r="F70" s="54">
        <f>_xlfn.XLOOKUP($A70,Inputs!$A:$A,Inputs!F:F,,0)</f>
        <v>-4818.3</v>
      </c>
      <c r="G70" s="54">
        <f>_xlfn.XLOOKUP($A70,Inputs!$A:$A,Inputs!G:G,,0)</f>
        <v>69.099999999999994</v>
      </c>
      <c r="H70" s="54">
        <f>_xlfn.XLOOKUP($A70,Inputs!$A:$A,Inputs!H:H,,0)</f>
        <v>0</v>
      </c>
      <c r="I70" s="54">
        <f>_xlfn.XLOOKUP($A70,Inputs!$A:$A,Inputs!I:I,,0)</f>
        <v>-12.1</v>
      </c>
      <c r="J70" s="54">
        <f>_xlfn.XLOOKUP($A70,Inputs!$A:$A,Inputs!J:J,,0)</f>
        <v>0</v>
      </c>
      <c r="K70" s="54">
        <f>_xlfn.XLOOKUP($A70,Inputs!$A:$A,Inputs!K:K,,0)</f>
        <v>0</v>
      </c>
      <c r="L70" s="54">
        <f>_xlfn.XLOOKUP($A70,Inputs!$A:$A,Inputs!L:L,,0)</f>
        <v>0</v>
      </c>
      <c r="M70" s="54">
        <f>_xlfn.XLOOKUP($A70,Inputs!$A:$A,Inputs!M:M,,0)</f>
        <v>0</v>
      </c>
      <c r="IA70" s="43"/>
    </row>
    <row r="71" spans="1:235">
      <c r="A71" s="107" t="s">
        <v>122</v>
      </c>
      <c r="B71" s="60">
        <f>_xlfn.XLOOKUP($A71,Inputs!$A:$A,Inputs!B:B,,0)</f>
        <v>3949</v>
      </c>
      <c r="C71" s="60">
        <f>_xlfn.XLOOKUP($A71,Inputs!$A:$A,Inputs!C:C,,0)</f>
        <v>-2548.6999999999998</v>
      </c>
      <c r="D71" s="60">
        <f>_xlfn.XLOOKUP($A71,Inputs!$A:$A,Inputs!D:D,,0)</f>
        <v>-9092.2000000000007</v>
      </c>
      <c r="E71" s="60">
        <f>_xlfn.XLOOKUP($A71,Inputs!$A:$A,Inputs!E:E,,0)</f>
        <v>11612.1</v>
      </c>
      <c r="F71" s="60">
        <f>_xlfn.XLOOKUP($A71,Inputs!$A:$A,Inputs!F:F,,0)</f>
        <v>4127.1000000000004</v>
      </c>
      <c r="G71" s="60">
        <f>_xlfn.XLOOKUP($A71,Inputs!$A:$A,Inputs!G:G,,0)</f>
        <v>-6010.3</v>
      </c>
      <c r="H71" s="60">
        <f>_xlfn.XLOOKUP($A71,Inputs!$A:$A,Inputs!H:H,,0)</f>
        <v>6240.2</v>
      </c>
      <c r="I71" s="60">
        <f>_xlfn.XLOOKUP($A71,Inputs!$A:$A,Inputs!I:I,,0)</f>
        <v>621.4</v>
      </c>
      <c r="J71" s="60">
        <f>_xlfn.XLOOKUP($A71,Inputs!$A:$A,Inputs!J:J,,0)</f>
        <v>-4107.8999999999996</v>
      </c>
      <c r="K71" s="60">
        <f>_xlfn.XLOOKUP($A71,Inputs!$A:$A,Inputs!K:K,,0)</f>
        <v>-1298</v>
      </c>
      <c r="L71" s="60">
        <f>_xlfn.XLOOKUP($A71,Inputs!$A:$A,Inputs!L:L,,0)</f>
        <v>-2410.1999999999998</v>
      </c>
      <c r="M71" s="60">
        <f>_xlfn.XLOOKUP($A71,Inputs!$A:$A,Inputs!M:M,,0)</f>
        <v>-1159</v>
      </c>
      <c r="IA71" s="43"/>
    </row>
    <row r="72" spans="1:235">
      <c r="A72" s="103" t="s">
        <v>123</v>
      </c>
      <c r="B72" s="54">
        <f>_xlfn.XLOOKUP($A72,Inputs!$A:$A,Inputs!B:B,,0)</f>
        <v>-641.6</v>
      </c>
      <c r="C72" s="54">
        <f>_xlfn.XLOOKUP($A72,Inputs!$A:$A,Inputs!C:C,,0)</f>
        <v>-641.6</v>
      </c>
      <c r="D72" s="54">
        <f>_xlfn.XLOOKUP($A72,Inputs!$A:$A,Inputs!D:D,,0)</f>
        <v>-5338.1</v>
      </c>
      <c r="E72" s="54">
        <f>_xlfn.XLOOKUP($A72,Inputs!$A:$A,Inputs!E:E,,0)</f>
        <v>-2293.8000000000002</v>
      </c>
      <c r="F72" s="54">
        <f>_xlfn.XLOOKUP($A72,Inputs!$A:$A,Inputs!F:F,,0)</f>
        <v>-2646.9</v>
      </c>
      <c r="G72" s="54">
        <f>_xlfn.XLOOKUP($A72,Inputs!$A:$A,Inputs!G:G,,0)</f>
        <v>-1551.6</v>
      </c>
      <c r="H72" s="54">
        <f>_xlfn.XLOOKUP($A72,Inputs!$A:$A,Inputs!H:H,,0)</f>
        <v>-3194.5</v>
      </c>
      <c r="I72" s="54">
        <f>_xlfn.XLOOKUP($A72,Inputs!$A:$A,Inputs!I:I,,0)</f>
        <v>0</v>
      </c>
      <c r="J72" s="54">
        <f>_xlfn.XLOOKUP($A72,Inputs!$A:$A,Inputs!J:J,,0)</f>
        <v>-3194.7</v>
      </c>
      <c r="K72" s="54">
        <f>_xlfn.XLOOKUP($A72,Inputs!$A:$A,Inputs!K:K,,0)</f>
        <v>-2494.6</v>
      </c>
      <c r="L72" s="54">
        <f>_xlfn.XLOOKUP($A72,Inputs!$A:$A,Inputs!L:L,,0)</f>
        <v>-1734.2</v>
      </c>
      <c r="M72" s="54">
        <f>_xlfn.XLOOKUP($A72,Inputs!$A:$A,Inputs!M:M,,0)</f>
        <v>-972.3</v>
      </c>
      <c r="IA72" s="43"/>
    </row>
    <row r="73" spans="1:235">
      <c r="A73" s="103" t="s">
        <v>515</v>
      </c>
      <c r="B73" s="54">
        <f>_xlfn.XLOOKUP($A73,Inputs!$A:$A,Inputs!B:B,,0)</f>
        <v>-681.6</v>
      </c>
      <c r="C73" s="54">
        <f>_xlfn.XLOOKUP($A73,Inputs!$A:$A,Inputs!C:C,,0)</f>
        <v>-357.3</v>
      </c>
      <c r="D73" s="54">
        <f>_xlfn.XLOOKUP($A73,Inputs!$A:$A,Inputs!D:D,,0)</f>
        <v>-807.3</v>
      </c>
      <c r="E73" s="54">
        <f>_xlfn.XLOOKUP($A73,Inputs!$A:$A,Inputs!E:E,,0)</f>
        <v>-215.5</v>
      </c>
      <c r="F73" s="54">
        <f>_xlfn.XLOOKUP($A73,Inputs!$A:$A,Inputs!F:F,,0)</f>
        <v>-20</v>
      </c>
      <c r="G73" s="54">
        <f>_xlfn.XLOOKUP($A73,Inputs!$A:$A,Inputs!G:G,,0)</f>
        <v>0</v>
      </c>
      <c r="H73" s="54">
        <f>_xlfn.XLOOKUP($A73,Inputs!$A:$A,Inputs!H:H,,0)</f>
        <v>65</v>
      </c>
      <c r="I73" s="54">
        <f>_xlfn.XLOOKUP($A73,Inputs!$A:$A,Inputs!I:I,,0)</f>
        <v>0</v>
      </c>
      <c r="J73" s="54">
        <f>_xlfn.XLOOKUP($A73,Inputs!$A:$A,Inputs!J:J,,0)</f>
        <v>0</v>
      </c>
      <c r="K73" s="54">
        <f>_xlfn.XLOOKUP($A73,Inputs!$A:$A,Inputs!K:K,,0)</f>
        <v>55</v>
      </c>
      <c r="L73" s="54">
        <f>_xlfn.XLOOKUP($A73,Inputs!$A:$A,Inputs!L:L,,0)</f>
        <v>0</v>
      </c>
      <c r="M73" s="54">
        <f>_xlfn.XLOOKUP($A73,Inputs!$A:$A,Inputs!M:M,,0)</f>
        <v>0</v>
      </c>
    </row>
    <row r="74" spans="1:235">
      <c r="A74" s="107" t="s">
        <v>126</v>
      </c>
      <c r="B74" s="60">
        <f>_xlfn.XLOOKUP($A74,Inputs!$A:$A,Inputs!B:B,,0)</f>
        <v>18.399999999999999</v>
      </c>
      <c r="C74" s="60">
        <f>_xlfn.XLOOKUP($A74,Inputs!$A:$A,Inputs!C:C,,0)</f>
        <v>317.39999999999998</v>
      </c>
      <c r="D74" s="60">
        <f>_xlfn.XLOOKUP($A74,Inputs!$A:$A,Inputs!D:D,,0)</f>
        <v>-192.5</v>
      </c>
      <c r="E74" s="60">
        <f>_xlfn.XLOOKUP($A74,Inputs!$A:$A,Inputs!E:E,,0)</f>
        <v>-146.19999999999999</v>
      </c>
      <c r="F74" s="60">
        <f>_xlfn.XLOOKUP($A74,Inputs!$A:$A,Inputs!F:F,,0)</f>
        <v>48.1</v>
      </c>
      <c r="G74" s="60">
        <f>_xlfn.XLOOKUP($A74,Inputs!$A:$A,Inputs!G:G,,0)</f>
        <v>-386</v>
      </c>
      <c r="H74" s="60">
        <f>_xlfn.XLOOKUP($A74,Inputs!$A:$A,Inputs!H:H,,0)</f>
        <v>-4.7</v>
      </c>
      <c r="I74" s="60">
        <f>_xlfn.XLOOKUP($A74,Inputs!$A:$A,Inputs!I:I,,0)</f>
        <v>81.900000000000006</v>
      </c>
      <c r="J74" s="60">
        <f>_xlfn.XLOOKUP($A74,Inputs!$A:$A,Inputs!J:J,,0)</f>
        <v>-27.9</v>
      </c>
      <c r="K74" s="60">
        <f>_xlfn.XLOOKUP($A74,Inputs!$A:$A,Inputs!K:K,,0)</f>
        <v>-17.8</v>
      </c>
      <c r="L74" s="60">
        <f>_xlfn.XLOOKUP($A74,Inputs!$A:$A,Inputs!L:L,,0)</f>
        <v>10.9</v>
      </c>
      <c r="M74" s="60">
        <f>_xlfn.XLOOKUP($A74,Inputs!$A:$A,Inputs!M:M,,0)</f>
        <v>-7.7</v>
      </c>
    </row>
    <row r="75" spans="1:235">
      <c r="A75" s="107" t="s">
        <v>534</v>
      </c>
      <c r="B75" s="60">
        <f>_xlfn.XLOOKUP($A75,Inputs!$A:$A,Inputs!B:B,,0)</f>
        <v>8373.5</v>
      </c>
      <c r="C75" s="60">
        <f>_xlfn.XLOOKUP($A75,Inputs!$A:$A,Inputs!C:C,,0)</f>
        <v>-1009.1999999999995</v>
      </c>
      <c r="D75" s="60">
        <f>_xlfn.XLOOKUP($A75,Inputs!$A:$A,Inputs!D:D,,0)</f>
        <v>14316.399999999998</v>
      </c>
      <c r="E75" s="60">
        <f>_xlfn.XLOOKUP($A75,Inputs!$A:$A,Inputs!E:E,,0)</f>
        <v>4814.3</v>
      </c>
      <c r="F75" s="60">
        <f>_xlfn.XLOOKUP($A75,Inputs!$A:$A,Inputs!F:F,,0)</f>
        <v>2162.7000000000003</v>
      </c>
      <c r="G75" s="60">
        <f>_xlfn.XLOOKUP($A75,Inputs!$A:$A,Inputs!G:G,,0)</f>
        <v>2770.5999999999995</v>
      </c>
      <c r="H75" s="60">
        <f>_xlfn.XLOOKUP($A75,Inputs!$A:$A,Inputs!H:H,,0)</f>
        <v>8337.2999999999993</v>
      </c>
      <c r="I75" s="60">
        <f>_xlfn.XLOOKUP($A75,Inputs!$A:$A,Inputs!I:I,,0)</f>
        <v>-566.49999999999932</v>
      </c>
      <c r="J75" s="60">
        <f>_xlfn.XLOOKUP($A75,Inputs!$A:$A,Inputs!J:J,,0)</f>
        <v>-623.09999999999889</v>
      </c>
      <c r="K75" s="60">
        <f>_xlfn.XLOOKUP($A75,Inputs!$A:$A,Inputs!K:K,,0)</f>
        <v>-2441.1000000000004</v>
      </c>
      <c r="L75" s="60">
        <f>_xlfn.XLOOKUP($A75,Inputs!$A:$A,Inputs!L:L,,0)</f>
        <v>-51.099999999999092</v>
      </c>
      <c r="M75" s="60">
        <f>_xlfn.XLOOKUP($A75,Inputs!$A:$A,Inputs!M:M,,0)</f>
        <v>-710.7</v>
      </c>
    </row>
    <row r="76" spans="1:235">
      <c r="K76" s="43"/>
      <c r="L76" s="43"/>
      <c r="M76" s="43"/>
    </row>
    <row r="77" spans="1:235" ht="20.25">
      <c r="A77" s="1072" t="s">
        <v>535</v>
      </c>
      <c r="B77" s="1072"/>
      <c r="C77" s="1072"/>
      <c r="D77" s="1072"/>
      <c r="E77" s="1072"/>
      <c r="F77" s="1072"/>
      <c r="G77" s="1072"/>
      <c r="H77" s="1072"/>
      <c r="I77" s="1072"/>
      <c r="J77" s="1072"/>
      <c r="K77" s="1072"/>
      <c r="L77" s="1072"/>
      <c r="M77" s="1072"/>
    </row>
    <row r="78" spans="1:235">
      <c r="A78" s="102" t="s">
        <v>536</v>
      </c>
      <c r="B78" s="54" t="e">
        <f>_xlfn.XLOOKUP($A78,Inputs!$A:$A,Inputs!B:B,,0)</f>
        <v>#N/A</v>
      </c>
      <c r="C78" s="54" t="e">
        <f>_xlfn.XLOOKUP($A78,Inputs!$A:$A,Inputs!C:C,,0)</f>
        <v>#N/A</v>
      </c>
      <c r="D78" s="54" t="e">
        <f>_xlfn.XLOOKUP($A78,Inputs!$A:$A,Inputs!D:D,,0)</f>
        <v>#N/A</v>
      </c>
      <c r="E78" s="54" t="e">
        <f>_xlfn.XLOOKUP($A78,Inputs!$A:$A,Inputs!E:E,,0)</f>
        <v>#N/A</v>
      </c>
      <c r="F78" s="54" t="e">
        <f>_xlfn.XLOOKUP($A78,Inputs!$A:$A,Inputs!F:F,,0)</f>
        <v>#N/A</v>
      </c>
      <c r="G78" s="54" t="e">
        <f>_xlfn.XLOOKUP($A78,Inputs!$A:$A,Inputs!G:G,,0)</f>
        <v>#N/A</v>
      </c>
      <c r="H78" s="54" t="e">
        <f>_xlfn.XLOOKUP($A78,Inputs!$A:$A,Inputs!H:H,,0)</f>
        <v>#N/A</v>
      </c>
      <c r="I78" s="54" t="e">
        <f>_xlfn.XLOOKUP($A78,Inputs!$A:$A,Inputs!I:I,,0)</f>
        <v>#N/A</v>
      </c>
      <c r="J78" s="54" t="e">
        <f>_xlfn.XLOOKUP($A78,Inputs!$A:$A,Inputs!J:J,,0)</f>
        <v>#N/A</v>
      </c>
      <c r="K78" s="54" t="e">
        <f>_xlfn.XLOOKUP($A78,Inputs!$A:$A,Inputs!K:K,,0)</f>
        <v>#N/A</v>
      </c>
      <c r="L78" s="54" t="e">
        <f>_xlfn.XLOOKUP($A78,Inputs!$A:$A,Inputs!L:L,,0)</f>
        <v>#N/A</v>
      </c>
      <c r="M78" s="54" t="e">
        <f>_xlfn.XLOOKUP($A78,Inputs!$A:$A,Inputs!M:M,,0)</f>
        <v>#N/A</v>
      </c>
    </row>
    <row r="79" spans="1:235">
      <c r="A79" s="108" t="s">
        <v>537</v>
      </c>
      <c r="B79" s="54" t="e">
        <f>_xlfn.XLOOKUP($A79,Inputs!$A:$A,Inputs!B:B,,0)</f>
        <v>#N/A</v>
      </c>
      <c r="C79" s="54" t="e">
        <f>_xlfn.XLOOKUP($A79,Inputs!$A:$A,Inputs!C:C,,0)</f>
        <v>#N/A</v>
      </c>
      <c r="D79" s="54" t="e">
        <f>_xlfn.XLOOKUP($A79,Inputs!$A:$A,Inputs!D:D,,0)</f>
        <v>#N/A</v>
      </c>
      <c r="E79" s="54" t="e">
        <f>_xlfn.XLOOKUP($A79,Inputs!$A:$A,Inputs!E:E,,0)</f>
        <v>#N/A</v>
      </c>
      <c r="F79" s="54" t="e">
        <f>_xlfn.XLOOKUP($A79,Inputs!$A:$A,Inputs!F:F,,0)</f>
        <v>#N/A</v>
      </c>
      <c r="G79" s="54" t="e">
        <f>_xlfn.XLOOKUP($A79,Inputs!$A:$A,Inputs!G:G,,0)</f>
        <v>#N/A</v>
      </c>
      <c r="H79" s="54" t="e">
        <f>_xlfn.XLOOKUP($A79,Inputs!$A:$A,Inputs!H:H,,0)</f>
        <v>#N/A</v>
      </c>
      <c r="I79" s="54" t="e">
        <f>_xlfn.XLOOKUP($A79,Inputs!$A:$A,Inputs!I:I,,0)</f>
        <v>#N/A</v>
      </c>
      <c r="J79" s="54" t="e">
        <f>_xlfn.XLOOKUP($A79,Inputs!$A:$A,Inputs!J:J,,0)</f>
        <v>#N/A</v>
      </c>
      <c r="K79" s="54" t="e">
        <f>_xlfn.XLOOKUP($A79,Inputs!$A:$A,Inputs!K:K,,0)</f>
        <v>#N/A</v>
      </c>
      <c r="L79" s="54" t="e">
        <f>_xlfn.XLOOKUP($A79,Inputs!$A:$A,Inputs!L:L,,0)</f>
        <v>#N/A</v>
      </c>
      <c r="M79" s="54" t="e">
        <f>_xlfn.XLOOKUP($A79,Inputs!$A:$A,Inputs!M:M,,0)</f>
        <v>#N/A</v>
      </c>
    </row>
    <row r="80" spans="1:235">
      <c r="A80" s="102" t="s">
        <v>38</v>
      </c>
      <c r="B80" s="54">
        <f>_xlfn.XLOOKUP($A80,Inputs!$A:$A,Inputs!B:B,,0)</f>
        <v>0.98361221321373127</v>
      </c>
      <c r="C80" s="54" t="str">
        <f>_xlfn.XLOOKUP($A80,Inputs!$A:$A,Inputs!C:C,,0)</f>
        <v>Yahoo finance</v>
      </c>
      <c r="D80" s="54">
        <f>_xlfn.XLOOKUP($A80,Inputs!$A:$A,Inputs!D:D,,0)</f>
        <v>0</v>
      </c>
      <c r="E80" s="54">
        <f>_xlfn.XLOOKUP($A80,Inputs!$A:$A,Inputs!E:E,,0)</f>
        <v>0</v>
      </c>
      <c r="F80" s="54">
        <f>_xlfn.XLOOKUP($A80,Inputs!$A:$A,Inputs!F:F,,0)</f>
        <v>0</v>
      </c>
      <c r="G80" s="54">
        <f>_xlfn.XLOOKUP($A80,Inputs!$A:$A,Inputs!G:G,,0)</f>
        <v>0</v>
      </c>
      <c r="H80" s="54">
        <f>_xlfn.XLOOKUP($A80,Inputs!$A:$A,Inputs!H:H,,0)</f>
        <v>0</v>
      </c>
      <c r="I80" s="54">
        <f>_xlfn.XLOOKUP($A80,Inputs!$A:$A,Inputs!I:I,,0)</f>
        <v>0</v>
      </c>
      <c r="J80" s="54">
        <f>_xlfn.XLOOKUP($A80,Inputs!$A:$A,Inputs!J:J,,0)</f>
        <v>0</v>
      </c>
      <c r="K80" s="54">
        <f>_xlfn.XLOOKUP($A80,Inputs!$A:$A,Inputs!K:K,,0)</f>
        <v>0</v>
      </c>
      <c r="L80" s="54">
        <f>_xlfn.XLOOKUP($A80,Inputs!$A:$A,Inputs!L:L,,0)</f>
        <v>0</v>
      </c>
      <c r="M80" s="54">
        <f>_xlfn.XLOOKUP($A80,Inputs!$A:$A,Inputs!M:M,,0)</f>
        <v>0</v>
      </c>
    </row>
    <row r="81" spans="1:13">
      <c r="A81" s="108" t="s">
        <v>42</v>
      </c>
      <c r="B81" s="54">
        <f>_xlfn.XLOOKUP($A81,Inputs!$A:$A,Inputs!B:B,,0)</f>
        <v>0</v>
      </c>
      <c r="C81" s="54" t="str">
        <f>_xlfn.XLOOKUP($A81,Inputs!$A:$A,Inputs!C:C,,0)</f>
        <v>Yahoo finance</v>
      </c>
      <c r="D81" s="54">
        <f>_xlfn.XLOOKUP($A81,Inputs!$A:$A,Inputs!D:D,,0)</f>
        <v>0</v>
      </c>
      <c r="E81" s="54">
        <f>_xlfn.XLOOKUP($A81,Inputs!$A:$A,Inputs!E:E,,0)</f>
        <v>0</v>
      </c>
      <c r="F81" s="54">
        <f>_xlfn.XLOOKUP($A81,Inputs!$A:$A,Inputs!F:F,,0)</f>
        <v>0</v>
      </c>
      <c r="G81" s="54">
        <f>_xlfn.XLOOKUP($A81,Inputs!$A:$A,Inputs!G:G,,0)</f>
        <v>0</v>
      </c>
      <c r="H81" s="54">
        <f>_xlfn.XLOOKUP($A81,Inputs!$A:$A,Inputs!H:H,,0)</f>
        <v>0</v>
      </c>
      <c r="I81" s="54">
        <f>_xlfn.XLOOKUP($A81,Inputs!$A:$A,Inputs!I:I,,0)</f>
        <v>0</v>
      </c>
      <c r="J81" s="54">
        <f>_xlfn.XLOOKUP($A81,Inputs!$A:$A,Inputs!J:J,,0)</f>
        <v>0</v>
      </c>
      <c r="K81" s="54">
        <f>_xlfn.XLOOKUP($A81,Inputs!$A:$A,Inputs!K:K,,0)</f>
        <v>0</v>
      </c>
      <c r="L81" s="54">
        <f>_xlfn.XLOOKUP($A81,Inputs!$A:$A,Inputs!L:L,,0)</f>
        <v>0</v>
      </c>
      <c r="M81" s="54">
        <f>_xlfn.XLOOKUP($A81,Inputs!$A:$A,Inputs!M:M,,0)</f>
        <v>0</v>
      </c>
    </row>
    <row r="82" spans="1:13">
      <c r="A82" s="102" t="s">
        <v>538</v>
      </c>
      <c r="B82" s="54">
        <f>_xlfn.XLOOKUP($A82,Inputs!$A:$A,Inputs!B:B,,0)</f>
        <v>0</v>
      </c>
      <c r="C82" s="54" t="str">
        <f>_xlfn.XLOOKUP($A82,Inputs!$A:$A,Inputs!C:C,,0)</f>
        <v>10-K</v>
      </c>
      <c r="D82" s="54">
        <f>_xlfn.XLOOKUP($A82,Inputs!$A:$A,Inputs!D:D,,0)</f>
        <v>0</v>
      </c>
      <c r="E82" s="54">
        <f>_xlfn.XLOOKUP($A82,Inputs!$A:$A,Inputs!E:E,,0)</f>
        <v>0</v>
      </c>
      <c r="F82" s="54">
        <f>_xlfn.XLOOKUP($A82,Inputs!$A:$A,Inputs!F:F,,0)</f>
        <v>0</v>
      </c>
      <c r="G82" s="54">
        <f>_xlfn.XLOOKUP($A82,Inputs!$A:$A,Inputs!G:G,,0)</f>
        <v>0</v>
      </c>
      <c r="H82" s="54">
        <f>_xlfn.XLOOKUP($A82,Inputs!$A:$A,Inputs!H:H,,0)</f>
        <v>0</v>
      </c>
      <c r="I82" s="54">
        <f>_xlfn.XLOOKUP($A82,Inputs!$A:$A,Inputs!I:I,,0)</f>
        <v>0</v>
      </c>
      <c r="J82" s="54">
        <f>_xlfn.XLOOKUP($A82,Inputs!$A:$A,Inputs!J:J,,0)</f>
        <v>0</v>
      </c>
      <c r="K82" s="54">
        <f>_xlfn.XLOOKUP($A82,Inputs!$A:$A,Inputs!K:K,,0)</f>
        <v>0</v>
      </c>
      <c r="L82" s="54">
        <f>_xlfn.XLOOKUP($A82,Inputs!$A:$A,Inputs!L:L,,0)</f>
        <v>0</v>
      </c>
      <c r="M82" s="54">
        <f>_xlfn.XLOOKUP($A82,Inputs!$A:$A,Inputs!M:M,,0)</f>
        <v>0</v>
      </c>
    </row>
    <row r="83" spans="1:13">
      <c r="A83" s="102" t="s">
        <v>539</v>
      </c>
      <c r="B83" s="54" t="e">
        <f>_xlfn.XLOOKUP($A83,Inputs!$A:$A,Inputs!B:B,,0)</f>
        <v>#N/A</v>
      </c>
      <c r="C83" s="54" t="e">
        <f>_xlfn.XLOOKUP($A83,Inputs!$A:$A,Inputs!C:C,,0)</f>
        <v>#N/A</v>
      </c>
      <c r="D83" s="54" t="e">
        <f>_xlfn.XLOOKUP($A83,Inputs!$A:$A,Inputs!D:D,,0)</f>
        <v>#N/A</v>
      </c>
      <c r="E83" s="54" t="e">
        <f>_xlfn.XLOOKUP($A83,Inputs!$A:$A,Inputs!E:E,,0)</f>
        <v>#N/A</v>
      </c>
      <c r="F83" s="54" t="e">
        <f>_xlfn.XLOOKUP($A83,Inputs!$A:$A,Inputs!F:F,,0)</f>
        <v>#N/A</v>
      </c>
      <c r="G83" s="54" t="e">
        <f>_xlfn.XLOOKUP($A83,Inputs!$A:$A,Inputs!G:G,,0)</f>
        <v>#N/A</v>
      </c>
      <c r="H83" s="54" t="e">
        <f>_xlfn.XLOOKUP($A83,Inputs!$A:$A,Inputs!H:H,,0)</f>
        <v>#N/A</v>
      </c>
      <c r="I83" s="54" t="e">
        <f>_xlfn.XLOOKUP($A83,Inputs!$A:$A,Inputs!I:I,,0)</f>
        <v>#N/A</v>
      </c>
      <c r="J83" s="54" t="e">
        <f>_xlfn.XLOOKUP($A83,Inputs!$A:$A,Inputs!J:J,,0)</f>
        <v>#N/A</v>
      </c>
      <c r="K83" s="54" t="e">
        <f>_xlfn.XLOOKUP($A83,Inputs!$A:$A,Inputs!K:K,,0)</f>
        <v>#N/A</v>
      </c>
      <c r="L83" s="54" t="e">
        <f>_xlfn.XLOOKUP($A83,Inputs!$A:$A,Inputs!L:L,,0)</f>
        <v>#N/A</v>
      </c>
      <c r="M83" s="54" t="e">
        <f>_xlfn.XLOOKUP($A83,Inputs!$A:$A,Inputs!M:M,,0)</f>
        <v>#N/A</v>
      </c>
    </row>
    <row r="84" spans="1:13">
      <c r="A84" s="108" t="s">
        <v>540</v>
      </c>
      <c r="B84" s="54">
        <f>_xlfn.XLOOKUP($A84,Inputs!$A:$A,Inputs!B:B,,0)</f>
        <v>0</v>
      </c>
      <c r="C84" s="54" t="str">
        <f>_xlfn.XLOOKUP($A84,Inputs!$A:$A,Inputs!C:C,,0)</f>
        <v>Yahoo Finance</v>
      </c>
      <c r="D84" s="54">
        <f>_xlfn.XLOOKUP($A84,Inputs!$A:$A,Inputs!D:D,,0)</f>
        <v>0</v>
      </c>
      <c r="E84" s="54">
        <f>_xlfn.XLOOKUP($A84,Inputs!$A:$A,Inputs!E:E,,0)</f>
        <v>0</v>
      </c>
      <c r="F84" s="54">
        <f>_xlfn.XLOOKUP($A84,Inputs!$A:$A,Inputs!F:F,,0)</f>
        <v>0</v>
      </c>
      <c r="G84" s="54">
        <f>_xlfn.XLOOKUP($A84,Inputs!$A:$A,Inputs!G:G,,0)</f>
        <v>0</v>
      </c>
      <c r="H84" s="54">
        <f>_xlfn.XLOOKUP($A84,Inputs!$A:$A,Inputs!H:H,,0)</f>
        <v>0</v>
      </c>
      <c r="I84" s="54">
        <f>_xlfn.XLOOKUP($A84,Inputs!$A:$A,Inputs!I:I,,0)</f>
        <v>0</v>
      </c>
      <c r="J84" s="54">
        <f>_xlfn.XLOOKUP($A84,Inputs!$A:$A,Inputs!J:J,,0)</f>
        <v>0</v>
      </c>
      <c r="K84" s="54">
        <f>_xlfn.XLOOKUP($A84,Inputs!$A:$A,Inputs!K:K,,0)</f>
        <v>0</v>
      </c>
      <c r="L84" s="54">
        <f>_xlfn.XLOOKUP($A84,Inputs!$A:$A,Inputs!L:L,,0)</f>
        <v>0</v>
      </c>
      <c r="M84" s="54">
        <f>_xlfn.XLOOKUP($A84,Inputs!$A:$A,Inputs!M:M,,0)</f>
        <v>0</v>
      </c>
    </row>
    <row r="85" spans="1:13">
      <c r="B85" s="45"/>
      <c r="C85" s="45"/>
      <c r="D85" s="45"/>
      <c r="E85" s="45"/>
      <c r="F85" s="45"/>
      <c r="G85" s="45"/>
      <c r="H85" s="45"/>
      <c r="I85" s="45"/>
      <c r="J85" s="45"/>
      <c r="K85" s="45"/>
      <c r="L85" s="45"/>
      <c r="M85" s="45"/>
    </row>
    <row r="86" spans="1:13">
      <c r="B86" s="44">
        <v>2020</v>
      </c>
      <c r="C86" s="44">
        <v>2021</v>
      </c>
      <c r="D86" s="44">
        <v>2022</v>
      </c>
      <c r="G86" s="44"/>
      <c r="H86" s="45"/>
      <c r="I86" s="45"/>
      <c r="J86" s="45"/>
      <c r="K86" s="45"/>
      <c r="L86" s="45"/>
      <c r="M86" s="45"/>
    </row>
    <row r="87" spans="1:13">
      <c r="A87" s="102" t="s">
        <v>541</v>
      </c>
      <c r="B87" s="58">
        <v>0</v>
      </c>
      <c r="C87" s="58">
        <v>0</v>
      </c>
      <c r="D87" s="59">
        <v>0</v>
      </c>
      <c r="G87" s="45"/>
      <c r="H87" s="45"/>
      <c r="I87" s="45"/>
      <c r="J87" s="45"/>
      <c r="K87" s="45"/>
      <c r="L87" s="45"/>
      <c r="M87" s="45"/>
    </row>
    <row r="88" spans="1:13">
      <c r="A88" s="108" t="s">
        <v>62</v>
      </c>
      <c r="B88" s="58">
        <v>0</v>
      </c>
      <c r="C88" s="58">
        <v>0</v>
      </c>
      <c r="D88" s="59">
        <v>0</v>
      </c>
    </row>
    <row r="90" spans="1:13">
      <c r="A90" s="13" t="s">
        <v>542</v>
      </c>
      <c r="B90" s="44" t="s">
        <v>543</v>
      </c>
      <c r="C90" s="44" t="s">
        <v>544</v>
      </c>
      <c r="D90" s="44" t="s">
        <v>545</v>
      </c>
      <c r="E90" s="44" t="s">
        <v>546</v>
      </c>
      <c r="G90" s="44"/>
    </row>
    <row r="91" spans="1:13">
      <c r="B91" s="61" t="e">
        <f>VLOOKUP($A91,Inputs!$A$5:$M$98,MATCH(B$4,Inputs!$B$5:$M$5,0)+1,FALSE)</f>
        <v>#N/A</v>
      </c>
      <c r="C91" s="61" t="e">
        <f>VLOOKUP($A91,Inputs!$A$5:$M$98,MATCH(C$4,Inputs!$B$5:$M$5,0)+1,FALSE)</f>
        <v>#N/A</v>
      </c>
      <c r="D91" s="61" t="e">
        <f>VLOOKUP($A91,Inputs!$A$5:$M$98,MATCH(D$4,Inputs!$B$5:$M$5,0)+1,FALSE)</f>
        <v>#N/A</v>
      </c>
      <c r="E91" s="61" t="e">
        <f>VLOOKUP($A91,Inputs!$A$5:$M$98,MATCH(E$4,Inputs!$B$5:$M$5,0)+1,FALSE)</f>
        <v>#N/A</v>
      </c>
    </row>
    <row r="92" spans="1:13">
      <c r="B92" s="62"/>
      <c r="C92" s="62"/>
      <c r="D92" s="2"/>
      <c r="E92" s="62"/>
      <c r="F92" s="2"/>
    </row>
    <row r="93" spans="1:13">
      <c r="B93" s="62"/>
      <c r="C93" s="62"/>
      <c r="D93" s="2"/>
      <c r="E93" s="62"/>
      <c r="F93" s="2"/>
    </row>
    <row r="94" spans="1:13">
      <c r="B94" s="62"/>
      <c r="C94" s="62"/>
      <c r="D94" s="2"/>
      <c r="E94" s="62"/>
      <c r="F94" s="2"/>
    </row>
    <row r="95" spans="1:13">
      <c r="B95" s="62"/>
      <c r="C95" s="62"/>
      <c r="D95" s="2"/>
      <c r="E95" s="62"/>
      <c r="F95" s="2"/>
    </row>
    <row r="96" spans="1:13">
      <c r="B96" s="62"/>
      <c r="C96" s="62"/>
      <c r="D96" s="2"/>
      <c r="E96" s="62"/>
      <c r="F96" s="2"/>
    </row>
    <row r="97" spans="2:6">
      <c r="B97" s="62"/>
      <c r="C97" s="62"/>
      <c r="D97" s="2"/>
      <c r="E97" s="62"/>
      <c r="F97" s="2"/>
    </row>
    <row r="98" spans="2:6">
      <c r="B98" s="62"/>
      <c r="C98" s="62"/>
      <c r="D98" s="2"/>
      <c r="E98" s="62"/>
      <c r="F98" s="2"/>
    </row>
    <row r="99" spans="2:6">
      <c r="B99" s="62"/>
      <c r="C99" s="62"/>
      <c r="D99" s="2"/>
      <c r="E99" s="62"/>
      <c r="F99" s="2"/>
    </row>
  </sheetData>
  <mergeCells count="7">
    <mergeCell ref="A2:G2"/>
    <mergeCell ref="A1:G1"/>
    <mergeCell ref="A77:M77"/>
    <mergeCell ref="A38:M38"/>
    <mergeCell ref="A47:M47"/>
    <mergeCell ref="A66:M66"/>
    <mergeCell ref="A3:G3"/>
  </mergeCells>
  <conditionalFormatting sqref="N62">
    <cfRule type="colorScale" priority="3">
      <colorScale>
        <cfvo type="min"/>
        <cfvo type="percentile" val="50"/>
        <cfvo type="max"/>
        <color rgb="FFF8696B"/>
        <color rgb="FFFFEB84"/>
        <color rgb="FF63BE7B"/>
      </colorScale>
    </cfRule>
  </conditionalFormatting>
  <conditionalFormatting sqref="N5:R5">
    <cfRule type="colorScale" priority="53">
      <colorScale>
        <cfvo type="min"/>
        <cfvo type="percentile" val="50"/>
        <cfvo type="max"/>
        <color rgb="FFF8696B"/>
        <color rgb="FFFFEB84"/>
        <color rgb="FF63BE7B"/>
      </colorScale>
    </cfRule>
  </conditionalFormatting>
  <conditionalFormatting sqref="N6:R6">
    <cfRule type="colorScale" priority="52">
      <colorScale>
        <cfvo type="min"/>
        <cfvo type="percentile" val="50"/>
        <cfvo type="max"/>
        <color rgb="FFF8696B"/>
        <color rgb="FFFFEB84"/>
        <color rgb="FF63BE7B"/>
      </colorScale>
    </cfRule>
  </conditionalFormatting>
  <conditionalFormatting sqref="N7:R7">
    <cfRule type="colorScale" priority="51">
      <colorScale>
        <cfvo type="min"/>
        <cfvo type="percentile" val="50"/>
        <cfvo type="max"/>
        <color rgb="FFF8696B"/>
        <color rgb="FFFFEB84"/>
        <color rgb="FF63BE7B"/>
      </colorScale>
    </cfRule>
  </conditionalFormatting>
  <conditionalFormatting sqref="N8:R8">
    <cfRule type="colorScale" priority="50">
      <colorScale>
        <cfvo type="min"/>
        <cfvo type="percentile" val="50"/>
        <cfvo type="max"/>
        <color rgb="FFF8696B"/>
        <color rgb="FFFFEB84"/>
        <color rgb="FF63BE7B"/>
      </colorScale>
    </cfRule>
  </conditionalFormatting>
  <conditionalFormatting sqref="N9:R9">
    <cfRule type="colorScale" priority="49">
      <colorScale>
        <cfvo type="min"/>
        <cfvo type="percentile" val="50"/>
        <cfvo type="max"/>
        <color rgb="FFF8696B"/>
        <color rgb="FFFFEB84"/>
        <color rgb="FF63BE7B"/>
      </colorScale>
    </cfRule>
  </conditionalFormatting>
  <conditionalFormatting sqref="N10:R10">
    <cfRule type="colorScale" priority="48">
      <colorScale>
        <cfvo type="min"/>
        <cfvo type="percentile" val="50"/>
        <cfvo type="max"/>
        <color rgb="FFF8696B"/>
        <color rgb="FFFFEB84"/>
        <color rgb="FF63BE7B"/>
      </colorScale>
    </cfRule>
  </conditionalFormatting>
  <conditionalFormatting sqref="N11:R11">
    <cfRule type="colorScale" priority="46">
      <colorScale>
        <cfvo type="min"/>
        <cfvo type="percentile" val="50"/>
        <cfvo type="max"/>
        <color rgb="FFF8696B"/>
        <color rgb="FFFFEB84"/>
        <color rgb="FF63BE7B"/>
      </colorScale>
    </cfRule>
  </conditionalFormatting>
  <conditionalFormatting sqref="N12:R12">
    <cfRule type="colorScale" priority="45">
      <colorScale>
        <cfvo type="min"/>
        <cfvo type="percentile" val="50"/>
        <cfvo type="max"/>
        <color rgb="FFF8696B"/>
        <color rgb="FFFFEB84"/>
        <color rgb="FF63BE7B"/>
      </colorScale>
    </cfRule>
  </conditionalFormatting>
  <conditionalFormatting sqref="N13:R13">
    <cfRule type="colorScale" priority="44">
      <colorScale>
        <cfvo type="min"/>
        <cfvo type="percentile" val="50"/>
        <cfvo type="max"/>
        <color rgb="FFF8696B"/>
        <color rgb="FFFFEB84"/>
        <color rgb="FF63BE7B"/>
      </colorScale>
    </cfRule>
  </conditionalFormatting>
  <conditionalFormatting sqref="N14:R14">
    <cfRule type="colorScale" priority="43">
      <colorScale>
        <cfvo type="min"/>
        <cfvo type="percentile" val="50"/>
        <cfvo type="max"/>
        <color rgb="FFF8696B"/>
        <color rgb="FFFFEB84"/>
        <color rgb="FF63BE7B"/>
      </colorScale>
    </cfRule>
  </conditionalFormatting>
  <conditionalFormatting sqref="N15:R15">
    <cfRule type="colorScale" priority="42">
      <colorScale>
        <cfvo type="min"/>
        <cfvo type="percentile" val="50"/>
        <cfvo type="max"/>
        <color rgb="FFF8696B"/>
        <color rgb="FFFFEB84"/>
        <color rgb="FF63BE7B"/>
      </colorScale>
    </cfRule>
  </conditionalFormatting>
  <conditionalFormatting sqref="N16:R16">
    <cfRule type="colorScale" priority="41">
      <colorScale>
        <cfvo type="min"/>
        <cfvo type="percentile" val="50"/>
        <cfvo type="max"/>
        <color rgb="FFF8696B"/>
        <color rgb="FFFFEB84"/>
        <color rgb="FF63BE7B"/>
      </colorScale>
    </cfRule>
  </conditionalFormatting>
  <conditionalFormatting sqref="N17:R17">
    <cfRule type="colorScale" priority="40">
      <colorScale>
        <cfvo type="min"/>
        <cfvo type="percentile" val="50"/>
        <cfvo type="max"/>
        <color rgb="FFF8696B"/>
        <color rgb="FFFFEB84"/>
        <color rgb="FF63BE7B"/>
      </colorScale>
    </cfRule>
  </conditionalFormatting>
  <conditionalFormatting sqref="N18:R18">
    <cfRule type="colorScale" priority="39">
      <colorScale>
        <cfvo type="min"/>
        <cfvo type="percentile" val="50"/>
        <cfvo type="max"/>
        <color rgb="FFF8696B"/>
        <color rgb="FFFFEB84"/>
        <color rgb="FF63BE7B"/>
      </colorScale>
    </cfRule>
  </conditionalFormatting>
  <conditionalFormatting sqref="N19:R19">
    <cfRule type="colorScale" priority="38">
      <colorScale>
        <cfvo type="min"/>
        <cfvo type="percentile" val="50"/>
        <cfvo type="max"/>
        <color rgb="FFF8696B"/>
        <color rgb="FFFFEB84"/>
        <color rgb="FF63BE7B"/>
      </colorScale>
    </cfRule>
  </conditionalFormatting>
  <conditionalFormatting sqref="N20:R20">
    <cfRule type="colorScale" priority="37">
      <colorScale>
        <cfvo type="min"/>
        <cfvo type="percentile" val="50"/>
        <cfvo type="max"/>
        <color rgb="FFF8696B"/>
        <color rgb="FFFFEB84"/>
        <color rgb="FF63BE7B"/>
      </colorScale>
    </cfRule>
  </conditionalFormatting>
  <conditionalFormatting sqref="N21:R21">
    <cfRule type="colorScale" priority="36">
      <colorScale>
        <cfvo type="min"/>
        <cfvo type="percentile" val="50"/>
        <cfvo type="max"/>
        <color rgb="FFF8696B"/>
        <color rgb="FFFFEB84"/>
        <color rgb="FF63BE7B"/>
      </colorScale>
    </cfRule>
  </conditionalFormatting>
  <conditionalFormatting sqref="N22:R22">
    <cfRule type="colorScale" priority="35">
      <colorScale>
        <cfvo type="min"/>
        <cfvo type="percentile" val="50"/>
        <cfvo type="max"/>
        <color rgb="FFF8696B"/>
        <color rgb="FFFFEB84"/>
        <color rgb="FF63BE7B"/>
      </colorScale>
    </cfRule>
  </conditionalFormatting>
  <conditionalFormatting sqref="N23:R23">
    <cfRule type="colorScale" priority="34">
      <colorScale>
        <cfvo type="min"/>
        <cfvo type="percentile" val="50"/>
        <cfvo type="max"/>
        <color rgb="FFF8696B"/>
        <color rgb="FFFFEB84"/>
        <color rgb="FF63BE7B"/>
      </colorScale>
    </cfRule>
  </conditionalFormatting>
  <conditionalFormatting sqref="N24:R24">
    <cfRule type="colorScale" priority="33">
      <colorScale>
        <cfvo type="min"/>
        <cfvo type="percentile" val="50"/>
        <cfvo type="max"/>
        <color rgb="FFF8696B"/>
        <color rgb="FFFFEB84"/>
        <color rgb="FF63BE7B"/>
      </colorScale>
    </cfRule>
  </conditionalFormatting>
  <conditionalFormatting sqref="N25:R25">
    <cfRule type="colorScale" priority="32">
      <colorScale>
        <cfvo type="min"/>
        <cfvo type="percentile" val="50"/>
        <cfvo type="max"/>
        <color rgb="FFF8696B"/>
        <color rgb="FFFFEB84"/>
        <color rgb="FF63BE7B"/>
      </colorScale>
    </cfRule>
  </conditionalFormatting>
  <conditionalFormatting sqref="N26:R26">
    <cfRule type="colorScale" priority="31">
      <colorScale>
        <cfvo type="min"/>
        <cfvo type="percentile" val="50"/>
        <cfvo type="max"/>
        <color rgb="FFF8696B"/>
        <color rgb="FFFFEB84"/>
        <color rgb="FF63BE7B"/>
      </colorScale>
    </cfRule>
  </conditionalFormatting>
  <conditionalFormatting sqref="N27:R27">
    <cfRule type="colorScale" priority="30">
      <colorScale>
        <cfvo type="min"/>
        <cfvo type="percentile" val="50"/>
        <cfvo type="max"/>
        <color rgb="FFF8696B"/>
        <color rgb="FFFFEB84"/>
        <color rgb="FF63BE7B"/>
      </colorScale>
    </cfRule>
  </conditionalFormatting>
  <conditionalFormatting sqref="N28:R28">
    <cfRule type="colorScale" priority="29">
      <colorScale>
        <cfvo type="min"/>
        <cfvo type="percentile" val="50"/>
        <cfvo type="max"/>
        <color rgb="FFF8696B"/>
        <color rgb="FFFFEB84"/>
        <color rgb="FF63BE7B"/>
      </colorScale>
    </cfRule>
  </conditionalFormatting>
  <conditionalFormatting sqref="N29:R29">
    <cfRule type="colorScale" priority="28">
      <colorScale>
        <cfvo type="min"/>
        <cfvo type="percentile" val="50"/>
        <cfvo type="max"/>
        <color rgb="FFF8696B"/>
        <color rgb="FFFFEB84"/>
        <color rgb="FF63BE7B"/>
      </colorScale>
    </cfRule>
  </conditionalFormatting>
  <conditionalFormatting sqref="N30:R30">
    <cfRule type="colorScale" priority="27">
      <colorScale>
        <cfvo type="min"/>
        <cfvo type="percentile" val="50"/>
        <cfvo type="max"/>
        <color rgb="FFF8696B"/>
        <color rgb="FFFFEB84"/>
        <color rgb="FF63BE7B"/>
      </colorScale>
    </cfRule>
  </conditionalFormatting>
  <conditionalFormatting sqref="N31:R31">
    <cfRule type="colorScale" priority="26">
      <colorScale>
        <cfvo type="min"/>
        <cfvo type="percentile" val="50"/>
        <cfvo type="max"/>
        <color rgb="FFF8696B"/>
        <color rgb="FFFFEB84"/>
        <color rgb="FF63BE7B"/>
      </colorScale>
    </cfRule>
  </conditionalFormatting>
  <conditionalFormatting sqref="N32:R32">
    <cfRule type="colorScale" priority="25">
      <colorScale>
        <cfvo type="min"/>
        <cfvo type="percentile" val="50"/>
        <cfvo type="max"/>
        <color rgb="FFF8696B"/>
        <color rgb="FFFFEB84"/>
        <color rgb="FF63BE7B"/>
      </colorScale>
    </cfRule>
  </conditionalFormatting>
  <conditionalFormatting sqref="N33:R33">
    <cfRule type="colorScale" priority="24">
      <colorScale>
        <cfvo type="min"/>
        <cfvo type="percentile" val="50"/>
        <cfvo type="max"/>
        <color rgb="FFF8696B"/>
        <color rgb="FFFFEB84"/>
        <color rgb="FF63BE7B"/>
      </colorScale>
    </cfRule>
  </conditionalFormatting>
  <conditionalFormatting sqref="N34:R34">
    <cfRule type="colorScale" priority="23">
      <colorScale>
        <cfvo type="min"/>
        <cfvo type="percentile" val="50"/>
        <cfvo type="max"/>
        <color rgb="FFF8696B"/>
        <color rgb="FFFFEB84"/>
        <color rgb="FF63BE7B"/>
      </colorScale>
    </cfRule>
  </conditionalFormatting>
  <conditionalFormatting sqref="N35:R35">
    <cfRule type="colorScale" priority="22">
      <colorScale>
        <cfvo type="min"/>
        <cfvo type="percentile" val="50"/>
        <cfvo type="max"/>
        <color rgb="FFF8696B"/>
        <color rgb="FFFFEB84"/>
        <color rgb="FF63BE7B"/>
      </colorScale>
    </cfRule>
  </conditionalFormatting>
  <conditionalFormatting sqref="N36:R36">
    <cfRule type="colorScale" priority="21">
      <colorScale>
        <cfvo type="min"/>
        <cfvo type="percentile" val="50"/>
        <cfvo type="max"/>
        <color rgb="FFF8696B"/>
        <color rgb="FFFFEB84"/>
        <color rgb="FF63BE7B"/>
      </colorScale>
    </cfRule>
  </conditionalFormatting>
  <conditionalFormatting sqref="N39:R39">
    <cfRule type="colorScale" priority="20">
      <colorScale>
        <cfvo type="min"/>
        <cfvo type="percentile" val="50"/>
        <cfvo type="max"/>
        <color rgb="FFF8696B"/>
        <color rgb="FFFFEB84"/>
        <color rgb="FF63BE7B"/>
      </colorScale>
    </cfRule>
  </conditionalFormatting>
  <conditionalFormatting sqref="N40:R40">
    <cfRule type="colorScale" priority="19">
      <colorScale>
        <cfvo type="min"/>
        <cfvo type="percentile" val="50"/>
        <cfvo type="max"/>
        <color rgb="FFF8696B"/>
        <color rgb="FFFFEB84"/>
        <color rgb="FF63BE7B"/>
      </colorScale>
    </cfRule>
  </conditionalFormatting>
  <conditionalFormatting sqref="N41:R41">
    <cfRule type="colorScale" priority="18">
      <colorScale>
        <cfvo type="min"/>
        <cfvo type="percentile" val="50"/>
        <cfvo type="max"/>
        <color rgb="FFF8696B"/>
        <color rgb="FFFFEB84"/>
        <color rgb="FF63BE7B"/>
      </colorScale>
    </cfRule>
  </conditionalFormatting>
  <conditionalFormatting sqref="N42:R42">
    <cfRule type="colorScale" priority="17">
      <colorScale>
        <cfvo type="min"/>
        <cfvo type="percentile" val="50"/>
        <cfvo type="max"/>
        <color rgb="FFF8696B"/>
        <color rgb="FFFFEB84"/>
        <color rgb="FF63BE7B"/>
      </colorScale>
    </cfRule>
  </conditionalFormatting>
  <conditionalFormatting sqref="N43:R43">
    <cfRule type="colorScale" priority="16">
      <colorScale>
        <cfvo type="min"/>
        <cfvo type="percentile" val="50"/>
        <cfvo type="max"/>
        <color rgb="FFF8696B"/>
        <color rgb="FFFFEB84"/>
        <color rgb="FF63BE7B"/>
      </colorScale>
    </cfRule>
  </conditionalFormatting>
  <conditionalFormatting sqref="N44:R44">
    <cfRule type="colorScale" priority="15">
      <colorScale>
        <cfvo type="min"/>
        <cfvo type="percentile" val="50"/>
        <cfvo type="max"/>
        <color rgb="FFF8696B"/>
        <color rgb="FFFFEB84"/>
        <color rgb="FF63BE7B"/>
      </colorScale>
    </cfRule>
  </conditionalFormatting>
  <conditionalFormatting sqref="N48:R48">
    <cfRule type="colorScale" priority="14">
      <colorScale>
        <cfvo type="min"/>
        <cfvo type="percentile" val="50"/>
        <cfvo type="max"/>
        <color rgb="FFF8696B"/>
        <color rgb="FFFFEB84"/>
        <color rgb="FF63BE7B"/>
      </colorScale>
    </cfRule>
  </conditionalFormatting>
  <conditionalFormatting sqref="N49:R49">
    <cfRule type="colorScale" priority="13">
      <colorScale>
        <cfvo type="min"/>
        <cfvo type="percentile" val="50"/>
        <cfvo type="max"/>
        <color rgb="FFF8696B"/>
        <color rgb="FFFFEB84"/>
        <color rgb="FF63BE7B"/>
      </colorScale>
    </cfRule>
  </conditionalFormatting>
  <conditionalFormatting sqref="N51:R51">
    <cfRule type="colorScale" priority="12">
      <colorScale>
        <cfvo type="min"/>
        <cfvo type="percentile" val="50"/>
        <cfvo type="max"/>
        <color rgb="FFF8696B"/>
        <color rgb="FFFFEB84"/>
        <color rgb="FF63BE7B"/>
      </colorScale>
    </cfRule>
  </conditionalFormatting>
  <conditionalFormatting sqref="N52:R52">
    <cfRule type="colorScale" priority="11">
      <colorScale>
        <cfvo type="min"/>
        <cfvo type="percentile" val="50"/>
        <cfvo type="max"/>
        <color rgb="FFF8696B"/>
        <color rgb="FFFFEB84"/>
        <color rgb="FF63BE7B"/>
      </colorScale>
    </cfRule>
  </conditionalFormatting>
  <conditionalFormatting sqref="N53:R53">
    <cfRule type="colorScale" priority="10">
      <colorScale>
        <cfvo type="min"/>
        <cfvo type="percentile" val="50"/>
        <cfvo type="max"/>
        <color rgb="FFF8696B"/>
        <color rgb="FFFFEB84"/>
        <color rgb="FF63BE7B"/>
      </colorScale>
    </cfRule>
  </conditionalFormatting>
  <conditionalFormatting sqref="N54:R54">
    <cfRule type="colorScale" priority="9">
      <colorScale>
        <cfvo type="min"/>
        <cfvo type="percentile" val="50"/>
        <cfvo type="max"/>
        <color rgb="FFF8696B"/>
        <color rgb="FFFFEB84"/>
        <color rgb="FF63BE7B"/>
      </colorScale>
    </cfRule>
  </conditionalFormatting>
  <conditionalFormatting sqref="N55:R55">
    <cfRule type="colorScale" priority="8">
      <colorScale>
        <cfvo type="min"/>
        <cfvo type="percentile" val="50"/>
        <cfvo type="max"/>
        <color rgb="FFF8696B"/>
        <color rgb="FFFFEB84"/>
        <color rgb="FF63BE7B"/>
      </colorScale>
    </cfRule>
  </conditionalFormatting>
  <conditionalFormatting sqref="N56:R56">
    <cfRule type="colorScale" priority="7">
      <colorScale>
        <cfvo type="min"/>
        <cfvo type="percentile" val="50"/>
        <cfvo type="max"/>
        <color rgb="FFF8696B"/>
        <color rgb="FFFFEB84"/>
        <color rgb="FF63BE7B"/>
      </colorScale>
    </cfRule>
  </conditionalFormatting>
  <conditionalFormatting sqref="N58:R58">
    <cfRule type="colorScale" priority="6">
      <colorScale>
        <cfvo type="min"/>
        <cfvo type="percentile" val="50"/>
        <cfvo type="max"/>
        <color rgb="FFF8696B"/>
        <color rgb="FFFFEB84"/>
        <color rgb="FF63BE7B"/>
      </colorScale>
    </cfRule>
  </conditionalFormatting>
  <conditionalFormatting sqref="N59:R59">
    <cfRule type="colorScale" priority="5">
      <colorScale>
        <cfvo type="min"/>
        <cfvo type="percentile" val="50"/>
        <cfvo type="max"/>
        <color rgb="FFF8696B"/>
        <color rgb="FFFFEB84"/>
        <color rgb="FF63BE7B"/>
      </colorScale>
    </cfRule>
  </conditionalFormatting>
  <conditionalFormatting sqref="N60:R60">
    <cfRule type="colorScale" priority="4">
      <colorScale>
        <cfvo type="min"/>
        <cfvo type="percentile" val="50"/>
        <cfvo type="max"/>
        <color rgb="FFF8696B"/>
        <color rgb="FFFFEB84"/>
        <color rgb="FF63BE7B"/>
      </colorScale>
    </cfRule>
  </conditionalFormatting>
  <conditionalFormatting sqref="N62:R62">
    <cfRule type="colorScale" priority="2">
      <colorScale>
        <cfvo type="min"/>
        <cfvo type="percentile" val="50"/>
        <cfvo type="max"/>
        <color rgb="FFF8696B"/>
        <color rgb="FFFFEB84"/>
        <color rgb="FF63BE7B"/>
      </colorScale>
    </cfRule>
  </conditionalFormatting>
  <conditionalFormatting sqref="N64:R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4294967293"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AA128"/>
  <sheetViews>
    <sheetView topLeftCell="J1" workbookViewId="0">
      <selection activeCell="Q46" sqref="Q46"/>
    </sheetView>
  </sheetViews>
  <sheetFormatPr defaultColWidth="8.85546875" defaultRowHeight="12.75"/>
  <cols>
    <col min="1" max="9" width="0" hidden="1" customWidth="1"/>
    <col min="11" max="11" width="21.85546875" bestFit="1" customWidth="1"/>
  </cols>
  <sheetData>
    <row r="2" spans="2:27">
      <c r="E2" s="10" t="s">
        <v>547</v>
      </c>
      <c r="F2" s="10" t="s">
        <v>548</v>
      </c>
      <c r="H2" s="10" t="s">
        <v>416</v>
      </c>
      <c r="K2" s="1073" t="s">
        <v>547</v>
      </c>
      <c r="L2" s="1075" t="s">
        <v>549</v>
      </c>
      <c r="M2" s="1076"/>
      <c r="N2" s="1076"/>
      <c r="O2" s="1076"/>
      <c r="P2" s="1077"/>
      <c r="Q2" s="1076" t="s">
        <v>434</v>
      </c>
      <c r="R2" s="1076"/>
      <c r="S2" s="1076"/>
      <c r="T2" s="1076"/>
      <c r="U2" s="1076"/>
      <c r="V2" s="1076"/>
      <c r="W2" s="1076"/>
      <c r="X2" s="1076"/>
      <c r="Y2" s="1076"/>
      <c r="Z2" s="1076"/>
      <c r="AA2" s="1077"/>
    </row>
    <row r="3" spans="2:27">
      <c r="E3" t="s">
        <v>550</v>
      </c>
      <c r="F3" t="s">
        <v>551</v>
      </c>
      <c r="H3" s="10" t="s">
        <v>418</v>
      </c>
      <c r="K3" s="1074"/>
      <c r="L3" s="71" t="s">
        <v>552</v>
      </c>
      <c r="M3" s="79" t="s">
        <v>553</v>
      </c>
      <c r="N3" s="79" t="s">
        <v>554</v>
      </c>
      <c r="O3" s="79" t="s">
        <v>555</v>
      </c>
      <c r="P3" s="80" t="s">
        <v>556</v>
      </c>
      <c r="Q3" s="79" t="s">
        <v>557</v>
      </c>
      <c r="R3" s="79" t="s">
        <v>558</v>
      </c>
      <c r="S3" s="79" t="s">
        <v>559</v>
      </c>
      <c r="T3" s="79" t="s">
        <v>560</v>
      </c>
      <c r="U3" s="79" t="s">
        <v>561</v>
      </c>
      <c r="V3" s="79" t="s">
        <v>562</v>
      </c>
      <c r="W3" s="79" t="s">
        <v>563</v>
      </c>
      <c r="X3" s="79" t="s">
        <v>564</v>
      </c>
      <c r="Y3" s="79" t="s">
        <v>565</v>
      </c>
      <c r="Z3" s="79" t="s">
        <v>566</v>
      </c>
      <c r="AA3" s="80" t="s">
        <v>567</v>
      </c>
    </row>
    <row r="4" spans="2:27">
      <c r="B4" s="72"/>
      <c r="E4" t="s">
        <v>550</v>
      </c>
      <c r="F4" t="s">
        <v>568</v>
      </c>
      <c r="H4" s="10" t="s">
        <v>449</v>
      </c>
      <c r="K4" s="81" t="s">
        <v>550</v>
      </c>
      <c r="L4" s="82" t="s">
        <v>416</v>
      </c>
      <c r="M4" t="s">
        <v>416</v>
      </c>
      <c r="N4" t="s">
        <v>418</v>
      </c>
      <c r="O4" t="s">
        <v>416</v>
      </c>
      <c r="P4" s="83" t="s">
        <v>416</v>
      </c>
      <c r="Q4" t="s">
        <v>418</v>
      </c>
      <c r="R4" t="s">
        <v>418</v>
      </c>
      <c r="S4" t="s">
        <v>416</v>
      </c>
      <c r="T4" t="s">
        <v>416</v>
      </c>
      <c r="U4" t="s">
        <v>449</v>
      </c>
      <c r="V4" t="s">
        <v>416</v>
      </c>
      <c r="W4" t="s">
        <v>416</v>
      </c>
      <c r="X4" t="s">
        <v>416</v>
      </c>
      <c r="Y4" t="s">
        <v>416</v>
      </c>
      <c r="Z4" t="s">
        <v>416</v>
      </c>
      <c r="AA4" s="83" t="s">
        <v>418</v>
      </c>
    </row>
    <row r="5" spans="2:27" ht="15">
      <c r="B5" s="76" t="s">
        <v>569</v>
      </c>
      <c r="E5" t="s">
        <v>550</v>
      </c>
      <c r="F5" t="s">
        <v>570</v>
      </c>
      <c r="H5" s="10" t="s">
        <v>571</v>
      </c>
      <c r="K5" s="81" t="s">
        <v>572</v>
      </c>
      <c r="L5" s="82" t="s">
        <v>416</v>
      </c>
      <c r="M5" t="s">
        <v>416</v>
      </c>
      <c r="N5" t="s">
        <v>418</v>
      </c>
      <c r="O5" t="s">
        <v>418</v>
      </c>
      <c r="P5" s="83" t="s">
        <v>416</v>
      </c>
      <c r="Q5" t="s">
        <v>418</v>
      </c>
      <c r="R5" t="s">
        <v>418</v>
      </c>
      <c r="S5" t="s">
        <v>416</v>
      </c>
      <c r="T5" t="s">
        <v>416</v>
      </c>
      <c r="U5" t="s">
        <v>418</v>
      </c>
      <c r="V5" t="s">
        <v>418</v>
      </c>
      <c r="W5" t="s">
        <v>418</v>
      </c>
      <c r="X5" t="s">
        <v>449</v>
      </c>
      <c r="Y5" t="s">
        <v>416</v>
      </c>
      <c r="Z5" t="s">
        <v>449</v>
      </c>
      <c r="AA5" s="83" t="s">
        <v>416</v>
      </c>
    </row>
    <row r="6" spans="2:27">
      <c r="B6" s="78" t="s">
        <v>573</v>
      </c>
      <c r="E6" t="s">
        <v>550</v>
      </c>
      <c r="F6" t="s">
        <v>574</v>
      </c>
      <c r="K6" s="81" t="s">
        <v>575</v>
      </c>
      <c r="L6" s="82" t="s">
        <v>449</v>
      </c>
      <c r="M6" t="s">
        <v>571</v>
      </c>
      <c r="N6" t="s">
        <v>449</v>
      </c>
      <c r="O6" t="s">
        <v>449</v>
      </c>
      <c r="P6" s="83" t="s">
        <v>449</v>
      </c>
      <c r="Q6" t="s">
        <v>418</v>
      </c>
      <c r="R6" t="s">
        <v>449</v>
      </c>
      <c r="S6" t="s">
        <v>449</v>
      </c>
      <c r="T6" t="s">
        <v>416</v>
      </c>
      <c r="U6" t="s">
        <v>418</v>
      </c>
      <c r="V6" t="s">
        <v>418</v>
      </c>
      <c r="W6" t="s">
        <v>416</v>
      </c>
      <c r="X6" t="s">
        <v>449</v>
      </c>
      <c r="Y6" t="s">
        <v>416</v>
      </c>
      <c r="Z6" t="s">
        <v>571</v>
      </c>
      <c r="AA6" s="83" t="s">
        <v>416</v>
      </c>
    </row>
    <row r="7" spans="2:27">
      <c r="B7" s="78" t="s">
        <v>576</v>
      </c>
      <c r="E7" t="s">
        <v>550</v>
      </c>
      <c r="F7" t="s">
        <v>577</v>
      </c>
      <c r="K7" s="81" t="s">
        <v>554</v>
      </c>
      <c r="L7" s="82" t="s">
        <v>571</v>
      </c>
      <c r="M7" t="s">
        <v>571</v>
      </c>
      <c r="N7" t="s">
        <v>418</v>
      </c>
      <c r="O7" t="s">
        <v>571</v>
      </c>
      <c r="P7" s="83" t="s">
        <v>449</v>
      </c>
      <c r="Q7" t="s">
        <v>449</v>
      </c>
      <c r="R7" t="s">
        <v>418</v>
      </c>
      <c r="S7" t="s">
        <v>418</v>
      </c>
      <c r="T7" t="s">
        <v>418</v>
      </c>
      <c r="U7" t="s">
        <v>418</v>
      </c>
      <c r="V7" t="s">
        <v>449</v>
      </c>
      <c r="W7" t="s">
        <v>418</v>
      </c>
      <c r="X7" t="s">
        <v>418</v>
      </c>
      <c r="Y7" t="s">
        <v>449</v>
      </c>
      <c r="Z7" t="s">
        <v>449</v>
      </c>
      <c r="AA7" s="83" t="s">
        <v>416</v>
      </c>
    </row>
    <row r="8" spans="2:27">
      <c r="B8" s="78"/>
      <c r="K8" s="81" t="s">
        <v>578</v>
      </c>
      <c r="L8" s="82" t="s">
        <v>416</v>
      </c>
      <c r="M8" t="s">
        <v>416</v>
      </c>
      <c r="N8" t="s">
        <v>416</v>
      </c>
      <c r="O8" t="s">
        <v>418</v>
      </c>
      <c r="P8" s="83" t="s">
        <v>418</v>
      </c>
      <c r="Q8" t="s">
        <v>416</v>
      </c>
      <c r="R8" t="s">
        <v>418</v>
      </c>
      <c r="S8" t="s">
        <v>418</v>
      </c>
      <c r="T8" t="s">
        <v>449</v>
      </c>
      <c r="U8" t="s">
        <v>418</v>
      </c>
      <c r="V8" t="s">
        <v>416</v>
      </c>
      <c r="W8" t="s">
        <v>416</v>
      </c>
      <c r="X8" t="s">
        <v>418</v>
      </c>
      <c r="Y8" t="s">
        <v>418</v>
      </c>
      <c r="Z8" t="s">
        <v>449</v>
      </c>
      <c r="AA8" s="83" t="s">
        <v>416</v>
      </c>
    </row>
    <row r="9" spans="2:27">
      <c r="B9" s="78" t="s">
        <v>425</v>
      </c>
      <c r="E9" t="s">
        <v>550</v>
      </c>
      <c r="F9" t="s">
        <v>579</v>
      </c>
      <c r="K9" s="81" t="s">
        <v>580</v>
      </c>
      <c r="L9" s="82" t="s">
        <v>416</v>
      </c>
      <c r="M9" t="s">
        <v>416</v>
      </c>
      <c r="N9" t="s">
        <v>416</v>
      </c>
      <c r="O9" t="s">
        <v>416</v>
      </c>
      <c r="P9" s="83" t="s">
        <v>416</v>
      </c>
      <c r="Q9" t="s">
        <v>416</v>
      </c>
      <c r="R9" t="s">
        <v>416</v>
      </c>
      <c r="S9" t="s">
        <v>418</v>
      </c>
      <c r="T9" t="s">
        <v>449</v>
      </c>
      <c r="U9" t="s">
        <v>418</v>
      </c>
      <c r="V9" t="s">
        <v>416</v>
      </c>
      <c r="W9" t="s">
        <v>416</v>
      </c>
      <c r="X9" t="s">
        <v>416</v>
      </c>
      <c r="Y9" t="s">
        <v>416</v>
      </c>
      <c r="Z9" t="s">
        <v>418</v>
      </c>
      <c r="AA9" s="83" t="s">
        <v>416</v>
      </c>
    </row>
    <row r="10" spans="2:27">
      <c r="B10" s="78"/>
      <c r="K10" s="81" t="s">
        <v>581</v>
      </c>
      <c r="L10" s="82" t="s">
        <v>416</v>
      </c>
      <c r="M10" t="s">
        <v>418</v>
      </c>
      <c r="N10" t="s">
        <v>416</v>
      </c>
      <c r="O10" t="s">
        <v>418</v>
      </c>
      <c r="P10" s="83" t="s">
        <v>449</v>
      </c>
      <c r="Q10" t="s">
        <v>416</v>
      </c>
      <c r="R10" t="s">
        <v>416</v>
      </c>
      <c r="S10" t="s">
        <v>416</v>
      </c>
      <c r="T10" t="s">
        <v>416</v>
      </c>
      <c r="U10" t="s">
        <v>416</v>
      </c>
      <c r="V10" t="s">
        <v>416</v>
      </c>
      <c r="W10" t="s">
        <v>416</v>
      </c>
      <c r="X10" t="s">
        <v>416</v>
      </c>
      <c r="Y10" t="s">
        <v>418</v>
      </c>
      <c r="Z10" t="s">
        <v>416</v>
      </c>
      <c r="AA10" s="83" t="s">
        <v>416</v>
      </c>
    </row>
    <row r="11" spans="2:27">
      <c r="B11" s="78" t="s">
        <v>429</v>
      </c>
      <c r="E11" t="s">
        <v>550</v>
      </c>
      <c r="F11" t="s">
        <v>582</v>
      </c>
      <c r="K11" s="81" t="s">
        <v>583</v>
      </c>
      <c r="L11" s="82" t="s">
        <v>416</v>
      </c>
      <c r="M11" t="s">
        <v>418</v>
      </c>
      <c r="N11" t="s">
        <v>416</v>
      </c>
      <c r="O11" t="s">
        <v>416</v>
      </c>
      <c r="P11" s="83" t="s">
        <v>416</v>
      </c>
      <c r="Q11" t="s">
        <v>416</v>
      </c>
      <c r="R11" t="s">
        <v>416</v>
      </c>
      <c r="S11" t="s">
        <v>418</v>
      </c>
      <c r="T11" t="s">
        <v>416</v>
      </c>
      <c r="U11" t="s">
        <v>449</v>
      </c>
      <c r="V11" t="s">
        <v>416</v>
      </c>
      <c r="W11" t="s">
        <v>416</v>
      </c>
      <c r="X11" t="s">
        <v>416</v>
      </c>
      <c r="Y11" t="s">
        <v>416</v>
      </c>
      <c r="Z11" t="s">
        <v>416</v>
      </c>
      <c r="AA11" s="83" t="s">
        <v>416</v>
      </c>
    </row>
    <row r="12" spans="2:27">
      <c r="B12" s="77" t="s">
        <v>584</v>
      </c>
      <c r="E12" t="s">
        <v>550</v>
      </c>
      <c r="F12" t="s">
        <v>585</v>
      </c>
      <c r="K12" s="81" t="s">
        <v>586</v>
      </c>
      <c r="L12" s="82" t="s">
        <v>571</v>
      </c>
      <c r="M12" t="s">
        <v>571</v>
      </c>
      <c r="N12" t="s">
        <v>571</v>
      </c>
      <c r="O12" t="s">
        <v>449</v>
      </c>
      <c r="P12" s="83" t="s">
        <v>449</v>
      </c>
      <c r="Q12" t="s">
        <v>416</v>
      </c>
      <c r="R12" t="s">
        <v>418</v>
      </c>
      <c r="S12" t="s">
        <v>449</v>
      </c>
      <c r="T12" t="s">
        <v>571</v>
      </c>
      <c r="U12" t="s">
        <v>418</v>
      </c>
      <c r="V12" t="s">
        <v>571</v>
      </c>
      <c r="W12" t="s">
        <v>418</v>
      </c>
      <c r="X12" t="s">
        <v>571</v>
      </c>
      <c r="Y12" t="s">
        <v>571</v>
      </c>
      <c r="Z12" t="s">
        <v>571</v>
      </c>
      <c r="AA12" s="83" t="s">
        <v>449</v>
      </c>
    </row>
    <row r="13" spans="2:27" ht="15">
      <c r="B13" s="76" t="s">
        <v>434</v>
      </c>
      <c r="E13" t="s">
        <v>550</v>
      </c>
      <c r="F13" t="s">
        <v>587</v>
      </c>
      <c r="K13" s="81" t="s">
        <v>588</v>
      </c>
      <c r="L13" s="82" t="s">
        <v>418</v>
      </c>
      <c r="M13" t="s">
        <v>416</v>
      </c>
      <c r="N13" t="s">
        <v>449</v>
      </c>
      <c r="O13" t="s">
        <v>416</v>
      </c>
      <c r="P13" s="83" t="s">
        <v>416</v>
      </c>
      <c r="Q13" t="s">
        <v>416</v>
      </c>
      <c r="R13" t="s">
        <v>416</v>
      </c>
      <c r="S13" t="s">
        <v>416</v>
      </c>
      <c r="T13" t="s">
        <v>416</v>
      </c>
      <c r="U13" t="s">
        <v>449</v>
      </c>
      <c r="V13" t="s">
        <v>416</v>
      </c>
      <c r="W13" t="s">
        <v>416</v>
      </c>
      <c r="X13" t="s">
        <v>416</v>
      </c>
      <c r="Y13" t="s">
        <v>416</v>
      </c>
      <c r="Z13" t="s">
        <v>418</v>
      </c>
      <c r="AA13" s="83" t="s">
        <v>571</v>
      </c>
    </row>
    <row r="14" spans="2:27">
      <c r="B14" s="73" t="s">
        <v>589</v>
      </c>
      <c r="E14" t="s">
        <v>550</v>
      </c>
      <c r="F14" t="s">
        <v>590</v>
      </c>
      <c r="K14" s="81" t="s">
        <v>591</v>
      </c>
      <c r="L14" s="82" t="s">
        <v>571</v>
      </c>
      <c r="M14" t="s">
        <v>571</v>
      </c>
      <c r="N14" t="s">
        <v>571</v>
      </c>
      <c r="O14" t="s">
        <v>571</v>
      </c>
      <c r="P14" s="83" t="s">
        <v>449</v>
      </c>
      <c r="Q14" t="s">
        <v>449</v>
      </c>
      <c r="R14" t="s">
        <v>449</v>
      </c>
      <c r="S14" t="s">
        <v>418</v>
      </c>
      <c r="T14" t="s">
        <v>449</v>
      </c>
      <c r="U14" t="s">
        <v>416</v>
      </c>
      <c r="V14" t="s">
        <v>571</v>
      </c>
      <c r="W14" t="s">
        <v>418</v>
      </c>
      <c r="X14" t="s">
        <v>418</v>
      </c>
      <c r="Y14" t="s">
        <v>571</v>
      </c>
      <c r="Z14" t="s">
        <v>449</v>
      </c>
      <c r="AA14" s="83" t="s">
        <v>418</v>
      </c>
    </row>
    <row r="15" spans="2:27">
      <c r="B15" s="73" t="s">
        <v>592</v>
      </c>
      <c r="E15" t="s">
        <v>572</v>
      </c>
      <c r="F15" t="s">
        <v>593</v>
      </c>
      <c r="K15" s="81" t="s">
        <v>594</v>
      </c>
      <c r="L15" s="82" t="s">
        <v>416</v>
      </c>
      <c r="M15" t="s">
        <v>416</v>
      </c>
      <c r="N15" t="s">
        <v>418</v>
      </c>
      <c r="O15" t="s">
        <v>416</v>
      </c>
      <c r="P15" s="83" t="s">
        <v>416</v>
      </c>
      <c r="Q15" t="s">
        <v>418</v>
      </c>
      <c r="R15" t="s">
        <v>416</v>
      </c>
      <c r="S15" t="s">
        <v>416</v>
      </c>
      <c r="T15" t="s">
        <v>416</v>
      </c>
      <c r="U15" t="s">
        <v>449</v>
      </c>
      <c r="V15" t="s">
        <v>416</v>
      </c>
      <c r="W15" t="s">
        <v>418</v>
      </c>
      <c r="X15" t="s">
        <v>416</v>
      </c>
      <c r="Y15" t="s">
        <v>418</v>
      </c>
      <c r="Z15" t="s">
        <v>416</v>
      </c>
      <c r="AA15" s="83" t="s">
        <v>416</v>
      </c>
    </row>
    <row r="16" spans="2:27">
      <c r="B16" s="75" t="s">
        <v>595</v>
      </c>
      <c r="E16" t="s">
        <v>572</v>
      </c>
      <c r="F16" t="s">
        <v>596</v>
      </c>
      <c r="K16" s="84" t="s">
        <v>597</v>
      </c>
      <c r="L16" s="85" t="s">
        <v>571</v>
      </c>
      <c r="M16" s="86" t="s">
        <v>449</v>
      </c>
      <c r="N16" s="86" t="s">
        <v>449</v>
      </c>
      <c r="O16" s="86" t="s">
        <v>418</v>
      </c>
      <c r="P16" s="87" t="s">
        <v>449</v>
      </c>
      <c r="Q16" s="86" t="s">
        <v>416</v>
      </c>
      <c r="R16" s="86" t="s">
        <v>418</v>
      </c>
      <c r="S16" s="86" t="s">
        <v>418</v>
      </c>
      <c r="T16" s="86" t="s">
        <v>416</v>
      </c>
      <c r="U16" s="86" t="s">
        <v>418</v>
      </c>
      <c r="V16" s="86" t="s">
        <v>418</v>
      </c>
      <c r="W16" s="86" t="s">
        <v>418</v>
      </c>
      <c r="X16" s="86" t="s">
        <v>418</v>
      </c>
      <c r="Y16" s="86" t="s">
        <v>416</v>
      </c>
      <c r="Z16" s="86" t="s">
        <v>418</v>
      </c>
      <c r="AA16" s="87" t="s">
        <v>416</v>
      </c>
    </row>
    <row r="17" spans="2:22">
      <c r="B17" s="75" t="s">
        <v>598</v>
      </c>
      <c r="E17" t="s">
        <v>572</v>
      </c>
      <c r="F17" t="s">
        <v>599</v>
      </c>
    </row>
    <row r="18" spans="2:22" hidden="1">
      <c r="B18" s="73" t="s">
        <v>600</v>
      </c>
      <c r="E18" t="s">
        <v>572</v>
      </c>
      <c r="F18" t="s">
        <v>601</v>
      </c>
    </row>
    <row r="19" spans="2:22" hidden="1">
      <c r="B19" s="73" t="s">
        <v>602</v>
      </c>
      <c r="E19" t="s">
        <v>572</v>
      </c>
      <c r="F19" t="s">
        <v>603</v>
      </c>
      <c r="L19" s="88" t="s">
        <v>550</v>
      </c>
      <c r="M19" s="89" t="s">
        <v>572</v>
      </c>
      <c r="N19" s="89" t="s">
        <v>575</v>
      </c>
      <c r="O19" s="89" t="s">
        <v>554</v>
      </c>
      <c r="P19" s="89" t="s">
        <v>580</v>
      </c>
      <c r="Q19" s="89" t="s">
        <v>583</v>
      </c>
      <c r="R19" s="89" t="s">
        <v>586</v>
      </c>
      <c r="S19" s="89" t="s">
        <v>588</v>
      </c>
      <c r="T19" s="89" t="s">
        <v>591</v>
      </c>
      <c r="U19" s="89" t="s">
        <v>594</v>
      </c>
      <c r="V19" s="90" t="s">
        <v>597</v>
      </c>
    </row>
    <row r="20" spans="2:22" hidden="1">
      <c r="B20" s="73" t="s">
        <v>446</v>
      </c>
      <c r="E20" t="s">
        <v>572</v>
      </c>
      <c r="F20" t="s">
        <v>604</v>
      </c>
      <c r="L20" s="82" t="s">
        <v>551</v>
      </c>
      <c r="M20" t="s">
        <v>593</v>
      </c>
      <c r="N20" t="s">
        <v>605</v>
      </c>
      <c r="O20" t="s">
        <v>606</v>
      </c>
      <c r="P20" t="s">
        <v>607</v>
      </c>
      <c r="Q20" t="s">
        <v>608</v>
      </c>
      <c r="R20" t="s">
        <v>609</v>
      </c>
      <c r="S20" t="s">
        <v>610</v>
      </c>
      <c r="T20" t="s">
        <v>611</v>
      </c>
      <c r="U20" t="s">
        <v>612</v>
      </c>
      <c r="V20" s="83" t="s">
        <v>613</v>
      </c>
    </row>
    <row r="21" spans="2:22" hidden="1">
      <c r="B21" s="73" t="s">
        <v>448</v>
      </c>
      <c r="E21" t="s">
        <v>572</v>
      </c>
      <c r="F21" t="s">
        <v>614</v>
      </c>
      <c r="L21" s="82" t="s">
        <v>568</v>
      </c>
      <c r="M21" t="s">
        <v>596</v>
      </c>
      <c r="N21" t="s">
        <v>615</v>
      </c>
      <c r="O21" t="s">
        <v>616</v>
      </c>
      <c r="P21" t="s">
        <v>617</v>
      </c>
      <c r="Q21" t="s">
        <v>618</v>
      </c>
      <c r="R21" t="s">
        <v>619</v>
      </c>
      <c r="S21" t="s">
        <v>620</v>
      </c>
      <c r="T21" t="s">
        <v>621</v>
      </c>
      <c r="U21" t="s">
        <v>622</v>
      </c>
      <c r="V21" s="83" t="s">
        <v>623</v>
      </c>
    </row>
    <row r="22" spans="2:22" hidden="1">
      <c r="B22" s="73" t="s">
        <v>451</v>
      </c>
      <c r="E22" t="s">
        <v>572</v>
      </c>
      <c r="F22" t="s">
        <v>624</v>
      </c>
      <c r="L22" s="82" t="s">
        <v>570</v>
      </c>
      <c r="M22" t="s">
        <v>599</v>
      </c>
      <c r="N22" t="s">
        <v>625</v>
      </c>
      <c r="O22" t="s">
        <v>626</v>
      </c>
      <c r="P22" t="s">
        <v>627</v>
      </c>
      <c r="Q22" t="s">
        <v>628</v>
      </c>
      <c r="R22" t="s">
        <v>629</v>
      </c>
      <c r="S22" t="s">
        <v>630</v>
      </c>
      <c r="T22" t="s">
        <v>631</v>
      </c>
      <c r="U22" t="s">
        <v>632</v>
      </c>
      <c r="V22" s="83" t="s">
        <v>633</v>
      </c>
    </row>
    <row r="23" spans="2:22" hidden="1">
      <c r="B23" s="73" t="s">
        <v>452</v>
      </c>
      <c r="E23" t="s">
        <v>572</v>
      </c>
      <c r="F23" t="s">
        <v>634</v>
      </c>
      <c r="L23" s="82" t="s">
        <v>574</v>
      </c>
      <c r="M23" t="s">
        <v>601</v>
      </c>
      <c r="N23" t="s">
        <v>635</v>
      </c>
      <c r="O23" t="s">
        <v>636</v>
      </c>
      <c r="P23" t="s">
        <v>637</v>
      </c>
      <c r="Q23" t="s">
        <v>638</v>
      </c>
      <c r="R23" t="s">
        <v>639</v>
      </c>
      <c r="S23" t="s">
        <v>640</v>
      </c>
      <c r="T23" t="s">
        <v>641</v>
      </c>
      <c r="U23" t="s">
        <v>642</v>
      </c>
      <c r="V23" s="83" t="s">
        <v>643</v>
      </c>
    </row>
    <row r="24" spans="2:22" hidden="1">
      <c r="B24" s="74" t="s">
        <v>567</v>
      </c>
      <c r="E24" t="s">
        <v>572</v>
      </c>
      <c r="F24" t="s">
        <v>644</v>
      </c>
      <c r="L24" s="82" t="s">
        <v>577</v>
      </c>
      <c r="M24" t="s">
        <v>603</v>
      </c>
      <c r="N24" t="s">
        <v>645</v>
      </c>
      <c r="O24" t="s">
        <v>646</v>
      </c>
      <c r="P24" t="s">
        <v>647</v>
      </c>
      <c r="Q24" t="s">
        <v>648</v>
      </c>
      <c r="R24" t="s">
        <v>649</v>
      </c>
      <c r="S24" t="s">
        <v>650</v>
      </c>
      <c r="T24" t="s">
        <v>651</v>
      </c>
      <c r="U24" t="s">
        <v>652</v>
      </c>
      <c r="V24" s="83" t="s">
        <v>653</v>
      </c>
    </row>
    <row r="25" spans="2:22" hidden="1">
      <c r="E25" t="s">
        <v>572</v>
      </c>
      <c r="F25" t="s">
        <v>654</v>
      </c>
      <c r="L25" s="82" t="s">
        <v>579</v>
      </c>
      <c r="M25" t="s">
        <v>604</v>
      </c>
      <c r="N25" t="s">
        <v>655</v>
      </c>
      <c r="P25" t="s">
        <v>656</v>
      </c>
      <c r="Q25" t="s">
        <v>657</v>
      </c>
      <c r="R25" t="s">
        <v>658</v>
      </c>
      <c r="S25" t="s">
        <v>659</v>
      </c>
      <c r="T25" t="s">
        <v>660</v>
      </c>
      <c r="U25" t="s">
        <v>661</v>
      </c>
      <c r="V25" s="83"/>
    </row>
    <row r="26" spans="2:22" hidden="1">
      <c r="E26" t="s">
        <v>572</v>
      </c>
      <c r="F26" t="s">
        <v>662</v>
      </c>
      <c r="L26" s="82" t="s">
        <v>582</v>
      </c>
      <c r="M26" t="s">
        <v>614</v>
      </c>
      <c r="N26" t="s">
        <v>663</v>
      </c>
      <c r="P26" t="s">
        <v>664</v>
      </c>
      <c r="Q26" t="s">
        <v>665</v>
      </c>
      <c r="R26" t="s">
        <v>666</v>
      </c>
      <c r="S26" t="s">
        <v>667</v>
      </c>
      <c r="T26" t="s">
        <v>668</v>
      </c>
      <c r="U26" t="s">
        <v>669</v>
      </c>
      <c r="V26" s="83"/>
    </row>
    <row r="27" spans="2:22" hidden="1">
      <c r="E27" t="s">
        <v>572</v>
      </c>
      <c r="F27" t="s">
        <v>670</v>
      </c>
      <c r="L27" s="82" t="s">
        <v>585</v>
      </c>
      <c r="M27" t="s">
        <v>624</v>
      </c>
      <c r="N27" t="s">
        <v>671</v>
      </c>
      <c r="P27" t="s">
        <v>672</v>
      </c>
      <c r="Q27" t="s">
        <v>673</v>
      </c>
      <c r="R27" t="s">
        <v>674</v>
      </c>
      <c r="S27" t="s">
        <v>675</v>
      </c>
      <c r="T27" t="s">
        <v>676</v>
      </c>
      <c r="U27" t="s">
        <v>677</v>
      </c>
      <c r="V27" s="83"/>
    </row>
    <row r="28" spans="2:22" hidden="1">
      <c r="E28" t="s">
        <v>572</v>
      </c>
      <c r="F28" t="s">
        <v>678</v>
      </c>
      <c r="L28" s="82" t="s">
        <v>587</v>
      </c>
      <c r="M28" t="s">
        <v>634</v>
      </c>
      <c r="N28" t="s">
        <v>679</v>
      </c>
      <c r="P28" t="s">
        <v>680</v>
      </c>
      <c r="Q28" t="s">
        <v>681</v>
      </c>
      <c r="R28" t="s">
        <v>682</v>
      </c>
      <c r="S28" t="s">
        <v>683</v>
      </c>
      <c r="T28" t="s">
        <v>684</v>
      </c>
      <c r="V28" s="83"/>
    </row>
    <row r="29" spans="2:22" hidden="1">
      <c r="E29" t="s">
        <v>572</v>
      </c>
      <c r="F29" t="s">
        <v>685</v>
      </c>
      <c r="L29" s="85" t="s">
        <v>590</v>
      </c>
      <c r="M29" s="86" t="s">
        <v>644</v>
      </c>
      <c r="N29" s="86" t="s">
        <v>686</v>
      </c>
      <c r="O29" s="86"/>
      <c r="P29" s="86" t="s">
        <v>687</v>
      </c>
      <c r="Q29" s="86" t="s">
        <v>688</v>
      </c>
      <c r="R29" s="86" t="s">
        <v>689</v>
      </c>
      <c r="S29" s="86" t="s">
        <v>690</v>
      </c>
      <c r="T29" s="86" t="s">
        <v>691</v>
      </c>
      <c r="U29" s="86"/>
      <c r="V29" s="87"/>
    </row>
    <row r="30" spans="2:22" hidden="1">
      <c r="E30" t="s">
        <v>572</v>
      </c>
      <c r="F30" t="s">
        <v>692</v>
      </c>
      <c r="M30" t="s">
        <v>654</v>
      </c>
      <c r="N30" t="s">
        <v>693</v>
      </c>
      <c r="P30" t="s">
        <v>694</v>
      </c>
      <c r="R30" t="s">
        <v>695</v>
      </c>
      <c r="S30" t="s">
        <v>696</v>
      </c>
      <c r="T30" t="s">
        <v>697</v>
      </c>
    </row>
    <row r="31" spans="2:22" hidden="1">
      <c r="E31" t="s">
        <v>572</v>
      </c>
      <c r="F31" t="s">
        <v>698</v>
      </c>
      <c r="M31" t="s">
        <v>662</v>
      </c>
      <c r="N31" t="s">
        <v>699</v>
      </c>
      <c r="P31" t="s">
        <v>700</v>
      </c>
      <c r="R31" t="s">
        <v>701</v>
      </c>
      <c r="S31" t="s">
        <v>702</v>
      </c>
    </row>
    <row r="32" spans="2:22" hidden="1">
      <c r="E32" t="s">
        <v>572</v>
      </c>
      <c r="F32" t="s">
        <v>703</v>
      </c>
      <c r="M32" t="s">
        <v>670</v>
      </c>
      <c r="P32" t="s">
        <v>704</v>
      </c>
      <c r="R32" t="s">
        <v>705</v>
      </c>
      <c r="S32" t="s">
        <v>706</v>
      </c>
    </row>
    <row r="33" spans="5:18" hidden="1">
      <c r="E33" t="s">
        <v>572</v>
      </c>
      <c r="F33" t="s">
        <v>707</v>
      </c>
      <c r="M33" t="s">
        <v>678</v>
      </c>
      <c r="R33" t="s">
        <v>708</v>
      </c>
    </row>
    <row r="34" spans="5:18" hidden="1">
      <c r="E34" t="s">
        <v>572</v>
      </c>
      <c r="F34" t="s">
        <v>709</v>
      </c>
      <c r="M34" t="s">
        <v>685</v>
      </c>
      <c r="R34" t="s">
        <v>710</v>
      </c>
    </row>
    <row r="35" spans="5:18" hidden="1">
      <c r="E35" t="s">
        <v>575</v>
      </c>
      <c r="F35" t="s">
        <v>605</v>
      </c>
      <c r="M35" t="s">
        <v>692</v>
      </c>
      <c r="R35" t="s">
        <v>711</v>
      </c>
    </row>
    <row r="36" spans="5:18" hidden="1">
      <c r="E36" t="s">
        <v>575</v>
      </c>
      <c r="F36" t="s">
        <v>615</v>
      </c>
      <c r="M36" t="s">
        <v>698</v>
      </c>
      <c r="R36" t="s">
        <v>712</v>
      </c>
    </row>
    <row r="37" spans="5:18" hidden="1">
      <c r="E37" t="s">
        <v>575</v>
      </c>
      <c r="F37" t="s">
        <v>625</v>
      </c>
      <c r="M37" t="s">
        <v>703</v>
      </c>
    </row>
    <row r="38" spans="5:18" hidden="1">
      <c r="E38" t="s">
        <v>575</v>
      </c>
      <c r="F38" t="s">
        <v>635</v>
      </c>
      <c r="M38" t="s">
        <v>707</v>
      </c>
    </row>
    <row r="39" spans="5:18" hidden="1">
      <c r="E39" t="s">
        <v>575</v>
      </c>
      <c r="F39" t="s">
        <v>645</v>
      </c>
      <c r="M39" t="s">
        <v>709</v>
      </c>
    </row>
    <row r="40" spans="5:18" hidden="1">
      <c r="E40" t="s">
        <v>575</v>
      </c>
      <c r="F40" t="s">
        <v>655</v>
      </c>
    </row>
    <row r="41" spans="5:18" hidden="1">
      <c r="E41" t="s">
        <v>575</v>
      </c>
      <c r="F41" t="s">
        <v>663</v>
      </c>
    </row>
    <row r="42" spans="5:18">
      <c r="E42" t="s">
        <v>575</v>
      </c>
      <c r="F42" t="s">
        <v>671</v>
      </c>
    </row>
    <row r="43" spans="5:18">
      <c r="E43" t="s">
        <v>575</v>
      </c>
      <c r="F43" t="s">
        <v>679</v>
      </c>
    </row>
    <row r="44" spans="5:18">
      <c r="E44" t="s">
        <v>575</v>
      </c>
      <c r="F44" t="s">
        <v>686</v>
      </c>
    </row>
    <row r="45" spans="5:18">
      <c r="E45" t="s">
        <v>575</v>
      </c>
      <c r="F45" t="s">
        <v>693</v>
      </c>
    </row>
    <row r="46" spans="5:18">
      <c r="E46" t="s">
        <v>575</v>
      </c>
      <c r="F46" t="s">
        <v>699</v>
      </c>
    </row>
    <row r="47" spans="5:18">
      <c r="E47" t="s">
        <v>554</v>
      </c>
      <c r="F47" t="s">
        <v>606</v>
      </c>
    </row>
    <row r="48" spans="5:18">
      <c r="E48" t="s">
        <v>554</v>
      </c>
      <c r="F48" t="s">
        <v>616</v>
      </c>
    </row>
    <row r="49" spans="5:6">
      <c r="E49" t="s">
        <v>554</v>
      </c>
      <c r="F49" t="s">
        <v>626</v>
      </c>
    </row>
    <row r="50" spans="5:6">
      <c r="E50" t="s">
        <v>554</v>
      </c>
      <c r="F50" t="s">
        <v>636</v>
      </c>
    </row>
    <row r="51" spans="5:6">
      <c r="E51" t="s">
        <v>554</v>
      </c>
      <c r="F51" t="s">
        <v>646</v>
      </c>
    </row>
    <row r="52" spans="5:6">
      <c r="E52" t="s">
        <v>580</v>
      </c>
      <c r="F52" t="s">
        <v>607</v>
      </c>
    </row>
    <row r="53" spans="5:6">
      <c r="E53" t="s">
        <v>580</v>
      </c>
      <c r="F53" t="s">
        <v>617</v>
      </c>
    </row>
    <row r="54" spans="5:6">
      <c r="E54" t="s">
        <v>580</v>
      </c>
      <c r="F54" t="s">
        <v>627</v>
      </c>
    </row>
    <row r="55" spans="5:6">
      <c r="E55" t="s">
        <v>580</v>
      </c>
      <c r="F55" t="s">
        <v>637</v>
      </c>
    </row>
    <row r="56" spans="5:6">
      <c r="E56" t="s">
        <v>580</v>
      </c>
      <c r="F56" t="s">
        <v>647</v>
      </c>
    </row>
    <row r="57" spans="5:6">
      <c r="E57" t="s">
        <v>580</v>
      </c>
      <c r="F57" t="s">
        <v>656</v>
      </c>
    </row>
    <row r="58" spans="5:6">
      <c r="E58" t="s">
        <v>580</v>
      </c>
      <c r="F58" t="s">
        <v>664</v>
      </c>
    </row>
    <row r="59" spans="5:6">
      <c r="E59" t="s">
        <v>580</v>
      </c>
      <c r="F59" t="s">
        <v>672</v>
      </c>
    </row>
    <row r="60" spans="5:6">
      <c r="E60" t="s">
        <v>580</v>
      </c>
      <c r="F60" t="s">
        <v>680</v>
      </c>
    </row>
    <row r="61" spans="5:6">
      <c r="E61" t="s">
        <v>580</v>
      </c>
      <c r="F61" t="s">
        <v>687</v>
      </c>
    </row>
    <row r="62" spans="5:6">
      <c r="E62" t="s">
        <v>580</v>
      </c>
      <c r="F62" t="s">
        <v>694</v>
      </c>
    </row>
    <row r="63" spans="5:6">
      <c r="E63" t="s">
        <v>580</v>
      </c>
      <c r="F63" t="s">
        <v>700</v>
      </c>
    </row>
    <row r="64" spans="5:6">
      <c r="E64" t="s">
        <v>580</v>
      </c>
      <c r="F64" t="s">
        <v>704</v>
      </c>
    </row>
    <row r="65" spans="5:6">
      <c r="E65" t="s">
        <v>583</v>
      </c>
      <c r="F65" t="s">
        <v>608</v>
      </c>
    </row>
    <row r="66" spans="5:6">
      <c r="E66" t="s">
        <v>583</v>
      </c>
      <c r="F66" t="s">
        <v>618</v>
      </c>
    </row>
    <row r="67" spans="5:6">
      <c r="E67" t="s">
        <v>583</v>
      </c>
      <c r="F67" t="s">
        <v>628</v>
      </c>
    </row>
    <row r="68" spans="5:6">
      <c r="E68" t="s">
        <v>583</v>
      </c>
      <c r="F68" t="s">
        <v>638</v>
      </c>
    </row>
    <row r="69" spans="5:6">
      <c r="E69" t="s">
        <v>583</v>
      </c>
      <c r="F69" t="s">
        <v>648</v>
      </c>
    </row>
    <row r="70" spans="5:6">
      <c r="E70" t="s">
        <v>583</v>
      </c>
      <c r="F70" t="s">
        <v>657</v>
      </c>
    </row>
    <row r="71" spans="5:6">
      <c r="E71" t="s">
        <v>583</v>
      </c>
      <c r="F71" t="s">
        <v>665</v>
      </c>
    </row>
    <row r="72" spans="5:6">
      <c r="E72" t="s">
        <v>583</v>
      </c>
      <c r="F72" t="s">
        <v>673</v>
      </c>
    </row>
    <row r="73" spans="5:6">
      <c r="E73" t="s">
        <v>583</v>
      </c>
      <c r="F73" t="s">
        <v>681</v>
      </c>
    </row>
    <row r="74" spans="5:6">
      <c r="E74" t="s">
        <v>583</v>
      </c>
      <c r="F74" t="s">
        <v>688</v>
      </c>
    </row>
    <row r="75" spans="5:6">
      <c r="E75" t="s">
        <v>586</v>
      </c>
      <c r="F75" t="s">
        <v>609</v>
      </c>
    </row>
    <row r="76" spans="5:6">
      <c r="E76" t="s">
        <v>586</v>
      </c>
      <c r="F76" t="s">
        <v>619</v>
      </c>
    </row>
    <row r="77" spans="5:6">
      <c r="E77" t="s">
        <v>586</v>
      </c>
      <c r="F77" t="s">
        <v>629</v>
      </c>
    </row>
    <row r="78" spans="5:6">
      <c r="E78" t="s">
        <v>586</v>
      </c>
      <c r="F78" t="s">
        <v>639</v>
      </c>
    </row>
    <row r="79" spans="5:6">
      <c r="E79" t="s">
        <v>586</v>
      </c>
      <c r="F79" t="s">
        <v>649</v>
      </c>
    </row>
    <row r="80" spans="5:6">
      <c r="E80" t="s">
        <v>586</v>
      </c>
      <c r="F80" t="s">
        <v>658</v>
      </c>
    </row>
    <row r="81" spans="5:6">
      <c r="E81" t="s">
        <v>586</v>
      </c>
      <c r="F81" t="s">
        <v>666</v>
      </c>
    </row>
    <row r="82" spans="5:6">
      <c r="E82" t="s">
        <v>586</v>
      </c>
      <c r="F82" t="s">
        <v>674</v>
      </c>
    </row>
    <row r="83" spans="5:6">
      <c r="E83" t="s">
        <v>586</v>
      </c>
      <c r="F83" t="s">
        <v>682</v>
      </c>
    </row>
    <row r="84" spans="5:6">
      <c r="E84" t="s">
        <v>586</v>
      </c>
      <c r="F84" t="s">
        <v>689</v>
      </c>
    </row>
    <row r="85" spans="5:6">
      <c r="E85" t="s">
        <v>586</v>
      </c>
      <c r="F85" t="s">
        <v>695</v>
      </c>
    </row>
    <row r="86" spans="5:6">
      <c r="E86" t="s">
        <v>586</v>
      </c>
      <c r="F86" t="s">
        <v>701</v>
      </c>
    </row>
    <row r="87" spans="5:6">
      <c r="E87" t="s">
        <v>586</v>
      </c>
      <c r="F87" t="s">
        <v>705</v>
      </c>
    </row>
    <row r="88" spans="5:6">
      <c r="E88" t="s">
        <v>586</v>
      </c>
      <c r="F88" t="s">
        <v>708</v>
      </c>
    </row>
    <row r="89" spans="5:6">
      <c r="E89" t="s">
        <v>586</v>
      </c>
      <c r="F89" t="s">
        <v>710</v>
      </c>
    </row>
    <row r="90" spans="5:6">
      <c r="E90" t="s">
        <v>586</v>
      </c>
      <c r="F90" t="s">
        <v>711</v>
      </c>
    </row>
    <row r="91" spans="5:6">
      <c r="E91" t="s">
        <v>586</v>
      </c>
      <c r="F91" t="s">
        <v>712</v>
      </c>
    </row>
    <row r="92" spans="5:6">
      <c r="E92" t="s">
        <v>588</v>
      </c>
      <c r="F92" t="s">
        <v>610</v>
      </c>
    </row>
    <row r="93" spans="5:6">
      <c r="E93" t="s">
        <v>588</v>
      </c>
      <c r="F93" t="s">
        <v>620</v>
      </c>
    </row>
    <row r="94" spans="5:6">
      <c r="E94" t="s">
        <v>588</v>
      </c>
      <c r="F94" t="s">
        <v>630</v>
      </c>
    </row>
    <row r="95" spans="5:6">
      <c r="E95" t="s">
        <v>588</v>
      </c>
      <c r="F95" t="s">
        <v>640</v>
      </c>
    </row>
    <row r="96" spans="5:6">
      <c r="E96" t="s">
        <v>588</v>
      </c>
      <c r="F96" t="s">
        <v>650</v>
      </c>
    </row>
    <row r="97" spans="5:6">
      <c r="E97" t="s">
        <v>588</v>
      </c>
      <c r="F97" t="s">
        <v>659</v>
      </c>
    </row>
    <row r="98" spans="5:6">
      <c r="E98" t="s">
        <v>588</v>
      </c>
      <c r="F98" t="s">
        <v>667</v>
      </c>
    </row>
    <row r="99" spans="5:6">
      <c r="E99" t="s">
        <v>588</v>
      </c>
      <c r="F99" t="s">
        <v>675</v>
      </c>
    </row>
    <row r="100" spans="5:6">
      <c r="E100" t="s">
        <v>588</v>
      </c>
      <c r="F100" t="s">
        <v>683</v>
      </c>
    </row>
    <row r="101" spans="5:6">
      <c r="E101" t="s">
        <v>588</v>
      </c>
      <c r="F101" t="s">
        <v>690</v>
      </c>
    </row>
    <row r="102" spans="5:6">
      <c r="E102" t="s">
        <v>588</v>
      </c>
      <c r="F102" t="s">
        <v>696</v>
      </c>
    </row>
    <row r="103" spans="5:6">
      <c r="E103" t="s">
        <v>588</v>
      </c>
      <c r="F103" t="s">
        <v>702</v>
      </c>
    </row>
    <row r="104" spans="5:6">
      <c r="E104" t="s">
        <v>588</v>
      </c>
      <c r="F104" t="s">
        <v>706</v>
      </c>
    </row>
    <row r="105" spans="5:6">
      <c r="E105" t="s">
        <v>591</v>
      </c>
      <c r="F105" t="s">
        <v>611</v>
      </c>
    </row>
    <row r="106" spans="5:6">
      <c r="E106" t="s">
        <v>591</v>
      </c>
      <c r="F106" t="s">
        <v>621</v>
      </c>
    </row>
    <row r="107" spans="5:6">
      <c r="E107" t="s">
        <v>591</v>
      </c>
      <c r="F107" t="s">
        <v>631</v>
      </c>
    </row>
    <row r="108" spans="5:6">
      <c r="E108" t="s">
        <v>591</v>
      </c>
      <c r="F108" t="s">
        <v>641</v>
      </c>
    </row>
    <row r="109" spans="5:6">
      <c r="E109" t="s">
        <v>591</v>
      </c>
      <c r="F109" t="s">
        <v>651</v>
      </c>
    </row>
    <row r="110" spans="5:6">
      <c r="E110" t="s">
        <v>591</v>
      </c>
      <c r="F110" t="s">
        <v>660</v>
      </c>
    </row>
    <row r="111" spans="5:6">
      <c r="E111" t="s">
        <v>591</v>
      </c>
      <c r="F111" t="s">
        <v>668</v>
      </c>
    </row>
    <row r="112" spans="5:6">
      <c r="E112" t="s">
        <v>591</v>
      </c>
      <c r="F112" t="s">
        <v>676</v>
      </c>
    </row>
    <row r="113" spans="5:6">
      <c r="E113" t="s">
        <v>591</v>
      </c>
      <c r="F113" t="s">
        <v>684</v>
      </c>
    </row>
    <row r="114" spans="5:6">
      <c r="E114" t="s">
        <v>591</v>
      </c>
      <c r="F114" t="s">
        <v>691</v>
      </c>
    </row>
    <row r="115" spans="5:6">
      <c r="E115" t="s">
        <v>591</v>
      </c>
      <c r="F115" t="s">
        <v>697</v>
      </c>
    </row>
    <row r="116" spans="5:6">
      <c r="E116" t="s">
        <v>594</v>
      </c>
      <c r="F116" t="s">
        <v>612</v>
      </c>
    </row>
    <row r="117" spans="5:6">
      <c r="E117" t="s">
        <v>594</v>
      </c>
      <c r="F117" t="s">
        <v>622</v>
      </c>
    </row>
    <row r="118" spans="5:6">
      <c r="E118" t="s">
        <v>594</v>
      </c>
      <c r="F118" t="s">
        <v>632</v>
      </c>
    </row>
    <row r="119" spans="5:6">
      <c r="E119" t="s">
        <v>594</v>
      </c>
      <c r="F119" t="s">
        <v>642</v>
      </c>
    </row>
    <row r="120" spans="5:6">
      <c r="E120" t="s">
        <v>594</v>
      </c>
      <c r="F120" t="s">
        <v>652</v>
      </c>
    </row>
    <row r="121" spans="5:6">
      <c r="E121" t="s">
        <v>594</v>
      </c>
      <c r="F121" t="s">
        <v>661</v>
      </c>
    </row>
    <row r="122" spans="5:6">
      <c r="E122" t="s">
        <v>594</v>
      </c>
      <c r="F122" t="s">
        <v>669</v>
      </c>
    </row>
    <row r="123" spans="5:6">
      <c r="E123" t="s">
        <v>594</v>
      </c>
      <c r="F123" t="s">
        <v>677</v>
      </c>
    </row>
    <row r="124" spans="5:6">
      <c r="E124" t="s">
        <v>597</v>
      </c>
      <c r="F124" t="s">
        <v>613</v>
      </c>
    </row>
    <row r="125" spans="5:6">
      <c r="E125" t="s">
        <v>597</v>
      </c>
      <c r="F125" t="s">
        <v>623</v>
      </c>
    </row>
    <row r="126" spans="5:6">
      <c r="E126" t="s">
        <v>597</v>
      </c>
      <c r="F126" t="s">
        <v>633</v>
      </c>
    </row>
    <row r="127" spans="5:6">
      <c r="E127" t="s">
        <v>597</v>
      </c>
      <c r="F127" t="s">
        <v>643</v>
      </c>
    </row>
    <row r="128" spans="5:6">
      <c r="E128" t="s">
        <v>597</v>
      </c>
      <c r="F128" t="s">
        <v>653</v>
      </c>
    </row>
  </sheetData>
  <mergeCells count="3">
    <mergeCell ref="K2:K3"/>
    <mergeCell ref="L2:P2"/>
    <mergeCell ref="Q2:AA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V100"/>
  <sheetViews>
    <sheetView topLeftCell="A24" zoomScale="101" zoomScaleNormal="85" workbookViewId="0">
      <selection activeCell="D73" sqref="D73"/>
    </sheetView>
  </sheetViews>
  <sheetFormatPr defaultColWidth="10.42578125" defaultRowHeight="14.25"/>
  <cols>
    <col min="1" max="1" width="28.42578125" style="21" customWidth="1"/>
    <col min="2" max="5" width="13.42578125" style="21" customWidth="1"/>
    <col min="6" max="6" width="13.140625" style="21" customWidth="1"/>
    <col min="7" max="9" width="13.85546875" style="21" customWidth="1"/>
    <col min="10" max="10" width="14.140625" style="21" customWidth="1"/>
    <col min="11" max="11" width="15.140625" style="23" customWidth="1"/>
    <col min="12" max="12" width="17" style="23" customWidth="1"/>
    <col min="13" max="13" width="14.140625" style="21" customWidth="1"/>
    <col min="14" max="14" width="21.42578125" style="21" bestFit="1" customWidth="1"/>
    <col min="15" max="15" width="32.140625" style="21" customWidth="1"/>
    <col min="16" max="16" width="11.42578125" style="21" customWidth="1"/>
    <col min="17" max="23" width="0" style="21" hidden="1" customWidth="1"/>
    <col min="24" max="24" width="15.42578125" style="21" bestFit="1" customWidth="1"/>
    <col min="25" max="25" width="17.42578125" style="21" bestFit="1" customWidth="1"/>
    <col min="26" max="33" width="0" style="21" hidden="1" customWidth="1"/>
    <col min="34" max="16384" width="10.42578125" style="21"/>
  </cols>
  <sheetData>
    <row r="1" spans="1:33" ht="15">
      <c r="B1" s="49"/>
      <c r="C1" s="49"/>
      <c r="D1" s="49"/>
      <c r="E1" s="49"/>
      <c r="F1" s="49"/>
      <c r="G1" s="49"/>
      <c r="H1" s="49"/>
      <c r="I1" s="49"/>
      <c r="J1" s="49"/>
      <c r="K1" s="49"/>
      <c r="L1" s="49"/>
      <c r="M1" s="49"/>
      <c r="N1"/>
      <c r="O1"/>
    </row>
    <row r="2" spans="1:33">
      <c r="C2" s="1078" t="s">
        <v>713</v>
      </c>
      <c r="D2" s="1078"/>
      <c r="E2" s="1078"/>
      <c r="F2" s="1078"/>
      <c r="K2" s="24"/>
      <c r="L2" s="24"/>
      <c r="M2" s="24"/>
      <c r="N2" s="24"/>
      <c r="O2" s="24"/>
    </row>
    <row r="3" spans="1:33">
      <c r="C3" s="21" t="s">
        <v>714</v>
      </c>
      <c r="D3" s="21" t="e" vm="1">
        <v>#VALUE!</v>
      </c>
      <c r="F3" s="23"/>
      <c r="G3" s="23"/>
      <c r="M3"/>
      <c r="N3"/>
      <c r="O3"/>
    </row>
    <row r="4" spans="1:33">
      <c r="A4" s="21" t="s">
        <v>302</v>
      </c>
      <c r="B4" s="1078" t="s">
        <v>715</v>
      </c>
      <c r="C4" s="1078"/>
      <c r="D4" s="1078"/>
      <c r="E4" s="1078"/>
      <c r="F4" s="1078"/>
      <c r="G4" s="1078"/>
      <c r="K4" s="21"/>
      <c r="L4" s="21"/>
      <c r="N4"/>
      <c r="O4"/>
    </row>
    <row r="5" spans="1:33" ht="15">
      <c r="A5" s="49" t="s">
        <v>497</v>
      </c>
      <c r="B5" s="294">
        <v>2023</v>
      </c>
      <c r="C5" s="294">
        <f>B5-1</f>
        <v>2022</v>
      </c>
      <c r="D5" s="294">
        <f t="shared" ref="D5:M5" si="0">C5-1</f>
        <v>2021</v>
      </c>
      <c r="E5" s="294">
        <f t="shared" si="0"/>
        <v>2020</v>
      </c>
      <c r="F5" s="294">
        <f t="shared" si="0"/>
        <v>2019</v>
      </c>
      <c r="G5" s="294">
        <f t="shared" si="0"/>
        <v>2018</v>
      </c>
      <c r="H5" s="294">
        <f t="shared" si="0"/>
        <v>2017</v>
      </c>
      <c r="I5" s="294">
        <f t="shared" si="0"/>
        <v>2016</v>
      </c>
      <c r="J5" s="294">
        <f t="shared" si="0"/>
        <v>2015</v>
      </c>
      <c r="K5" s="294">
        <f t="shared" si="0"/>
        <v>2014</v>
      </c>
      <c r="L5" s="294">
        <f t="shared" si="0"/>
        <v>2013</v>
      </c>
      <c r="M5" s="294">
        <f t="shared" si="0"/>
        <v>2012</v>
      </c>
      <c r="N5"/>
      <c r="O5"/>
      <c r="Q5" s="9" t="s">
        <v>716</v>
      </c>
      <c r="R5" s="1079" t="s">
        <v>717</v>
      </c>
      <c r="S5" s="1079"/>
      <c r="T5" s="21" t="s">
        <v>718</v>
      </c>
      <c r="Z5" s="49">
        <v>2016</v>
      </c>
      <c r="AA5" s="49">
        <v>2015</v>
      </c>
      <c r="AB5" s="49">
        <v>2014</v>
      </c>
      <c r="AC5" s="49">
        <v>2013</v>
      </c>
      <c r="AD5" s="49">
        <v>2012</v>
      </c>
      <c r="AE5" s="49">
        <v>2011</v>
      </c>
      <c r="AF5" s="49">
        <v>2010</v>
      </c>
      <c r="AG5" s="49">
        <v>2009</v>
      </c>
    </row>
    <row r="6" spans="1:33">
      <c r="A6" s="25" t="s">
        <v>112</v>
      </c>
      <c r="B6" s="219">
        <v>173212.07675797</v>
      </c>
      <c r="C6" s="219">
        <v>137339.98518776</v>
      </c>
      <c r="D6" s="219">
        <v>136404.70000000001</v>
      </c>
      <c r="E6" s="219">
        <v>103307.6</v>
      </c>
      <c r="F6" s="219">
        <v>96210.7</v>
      </c>
      <c r="G6" s="219">
        <v>99230</v>
      </c>
      <c r="H6" s="295">
        <v>101169.48880000001</v>
      </c>
      <c r="I6" s="219">
        <v>98615.702400000009</v>
      </c>
      <c r="J6" s="219">
        <v>76033.142500000002</v>
      </c>
      <c r="K6" s="219">
        <v>62599.104200000002</v>
      </c>
      <c r="L6" s="219">
        <v>56784.314299999998</v>
      </c>
      <c r="M6" s="219">
        <v>43159.9666</v>
      </c>
      <c r="N6" s="27" t="s">
        <v>719</v>
      </c>
      <c r="O6" t="s">
        <v>720</v>
      </c>
      <c r="P6"/>
      <c r="Q6" s="21" t="s">
        <v>721</v>
      </c>
      <c r="R6" s="21" t="s">
        <v>721</v>
      </c>
      <c r="X6" s="28"/>
      <c r="Y6" s="28"/>
      <c r="Z6" s="26">
        <v>38537</v>
      </c>
      <c r="AA6" s="26">
        <v>47011</v>
      </c>
      <c r="AB6" s="26">
        <v>55184</v>
      </c>
      <c r="AC6" s="26">
        <v>55656</v>
      </c>
      <c r="AD6" s="26">
        <v>65875</v>
      </c>
      <c r="AE6" s="26">
        <v>60138</v>
      </c>
      <c r="AF6" s="26">
        <v>42588</v>
      </c>
      <c r="AG6" s="26">
        <v>32396</v>
      </c>
    </row>
    <row r="7" spans="1:33">
      <c r="A7" s="25" t="s">
        <v>506</v>
      </c>
      <c r="B7" s="219">
        <v>32438.9</v>
      </c>
      <c r="C7" s="219">
        <v>26600.7</v>
      </c>
      <c r="D7" s="219">
        <v>22037.200000000001</v>
      </c>
      <c r="E7" s="219">
        <v>17776.599999999999</v>
      </c>
      <c r="F7" s="219">
        <v>16187.6</v>
      </c>
      <c r="G7" s="219">
        <v>17366.099999999999</v>
      </c>
      <c r="H7" s="296">
        <v>19122.887416669997</v>
      </c>
      <c r="I7" s="297">
        <v>24238.35365415</v>
      </c>
      <c r="J7" s="219">
        <v>19162.21728347</v>
      </c>
      <c r="K7" s="219">
        <v>17339.011536279999</v>
      </c>
      <c r="L7" s="219">
        <v>16246.319682179999</v>
      </c>
      <c r="M7" s="219">
        <v>10003.700000000001</v>
      </c>
      <c r="N7" s="27" t="s">
        <v>719</v>
      </c>
      <c r="O7" t="str">
        <f>+A7</f>
        <v>Gross Profit</v>
      </c>
      <c r="P7"/>
      <c r="Q7" s="21" t="s">
        <v>721</v>
      </c>
      <c r="R7" s="21" t="s">
        <v>722</v>
      </c>
      <c r="Z7" s="30">
        <f>Z6-28044</f>
        <v>10493</v>
      </c>
      <c r="AA7" s="30">
        <f>AA6-33546</f>
        <v>13465</v>
      </c>
      <c r="AB7" s="30">
        <f>AB6-40718</f>
        <v>14466</v>
      </c>
      <c r="AC7" s="30">
        <f>AC6-40727</f>
        <v>14929</v>
      </c>
      <c r="AD7" s="31">
        <f>+AD6-47055</f>
        <v>18820</v>
      </c>
      <c r="AE7" s="31">
        <f>+AE6-43578</f>
        <v>16560</v>
      </c>
      <c r="AF7" s="31">
        <f>+AF6-30367</f>
        <v>12221</v>
      </c>
      <c r="AG7" s="31">
        <f>+AG6-23886</f>
        <v>8510</v>
      </c>
    </row>
    <row r="8" spans="1:33">
      <c r="A8" s="25" t="s">
        <v>278</v>
      </c>
      <c r="B8" s="219">
        <v>6314.1</v>
      </c>
      <c r="C8" s="219">
        <v>4808</v>
      </c>
      <c r="D8" s="219">
        <v>4811.3999999999996</v>
      </c>
      <c r="E8" s="219">
        <v>5192.2</v>
      </c>
      <c r="F8" s="219">
        <v>4410.3</v>
      </c>
      <c r="G8" s="219">
        <v>5518.9</v>
      </c>
      <c r="H8" s="296">
        <v>5868.5</v>
      </c>
      <c r="I8" s="297">
        <v>12226.5</v>
      </c>
      <c r="J8" s="297">
        <v>9321.7000000000007</v>
      </c>
      <c r="K8" s="297">
        <v>9082.5</v>
      </c>
      <c r="L8" s="297">
        <v>9525</v>
      </c>
      <c r="M8" s="297">
        <v>6538.8</v>
      </c>
      <c r="N8" s="27" t="s">
        <v>719</v>
      </c>
      <c r="O8" t="s">
        <v>278</v>
      </c>
      <c r="P8"/>
      <c r="Q8" s="21" t="s">
        <v>721</v>
      </c>
      <c r="R8" s="32" t="s">
        <v>723</v>
      </c>
      <c r="Z8" s="30">
        <f>Z7-4383</f>
        <v>6110</v>
      </c>
      <c r="AA8" s="30">
        <f>AA7-4951</f>
        <v>8514</v>
      </c>
      <c r="AB8" s="30">
        <f>AB7-6529</f>
        <v>7937</v>
      </c>
      <c r="AC8" s="30">
        <f>AC7-5547</f>
        <v>9382</v>
      </c>
      <c r="AD8" s="31">
        <f>AD7-5919-2466-797-580-485</f>
        <v>8573</v>
      </c>
      <c r="AE8" s="31">
        <f>+AE7-5203-2297-826-1081</f>
        <v>7153</v>
      </c>
      <c r="AF8" s="31">
        <f>+AF7-4248-1905-914-1191</f>
        <v>3963</v>
      </c>
      <c r="AG8" s="31">
        <f>+AG7-3645-1421-1045-1822</f>
        <v>577</v>
      </c>
    </row>
    <row r="9" spans="1:33">
      <c r="A9" s="25" t="s">
        <v>510</v>
      </c>
      <c r="B9" s="219">
        <f>-1.2</f>
        <v>-1.2</v>
      </c>
      <c r="C9" s="219">
        <f>13.1</f>
        <v>13.1</v>
      </c>
      <c r="D9" s="219">
        <f>-1</f>
        <v>-1</v>
      </c>
      <c r="E9" s="219">
        <f>0</f>
        <v>0</v>
      </c>
      <c r="F9" s="219">
        <f>-33.8</f>
        <v>-33.799999999999997</v>
      </c>
      <c r="G9" s="219">
        <f>-40.4</f>
        <v>-40.4</v>
      </c>
      <c r="H9" s="219">
        <f>-16.3</f>
        <v>-16.3</v>
      </c>
      <c r="I9" s="219">
        <f>-2.8</f>
        <v>-2.8</v>
      </c>
      <c r="J9" s="219">
        <f>-1.1</f>
        <v>-1.1000000000000001</v>
      </c>
      <c r="K9" s="219">
        <f>-0.3</f>
        <v>-0.3</v>
      </c>
      <c r="L9" s="219">
        <f>-8.5</f>
        <v>-8.5</v>
      </c>
      <c r="M9" s="219">
        <f>-29.7</f>
        <v>-29.7</v>
      </c>
      <c r="N9" s="27" t="s">
        <v>719</v>
      </c>
      <c r="O9" t="s">
        <v>724</v>
      </c>
      <c r="P9"/>
      <c r="Q9" s="21" t="s">
        <v>721</v>
      </c>
      <c r="R9" s="21" t="s">
        <v>725</v>
      </c>
      <c r="S9" s="21" t="s">
        <v>726</v>
      </c>
      <c r="T9" s="21" t="s">
        <v>727</v>
      </c>
      <c r="U9" s="21" t="s">
        <v>728</v>
      </c>
      <c r="V9" s="21" t="s">
        <v>729</v>
      </c>
      <c r="Z9" s="30">
        <f>1853+596+595+1904+6+8</f>
        <v>4962</v>
      </c>
      <c r="AA9" s="30">
        <f>2119+587+2023+11</f>
        <v>4740</v>
      </c>
      <c r="AB9" s="30">
        <f>2380+624+1619-8+16</f>
        <v>4631</v>
      </c>
      <c r="AC9" s="30">
        <f>2046+727+981+6+14</f>
        <v>3774</v>
      </c>
      <c r="AD9" s="31">
        <f>-14+41</f>
        <v>27</v>
      </c>
      <c r="AE9" s="30">
        <v>53</v>
      </c>
      <c r="AF9" s="30">
        <f>58+24</f>
        <v>82</v>
      </c>
      <c r="AG9" s="30">
        <f>12-68</f>
        <v>-56</v>
      </c>
    </row>
    <row r="10" spans="1:33">
      <c r="A10" s="25" t="s">
        <v>279</v>
      </c>
      <c r="B10" s="219">
        <f>1509.9</f>
        <v>1509.9</v>
      </c>
      <c r="C10" s="219">
        <f>3998.6</f>
        <v>3998.6</v>
      </c>
      <c r="D10" s="219">
        <v>2670.8</v>
      </c>
      <c r="E10" s="219">
        <v>1035.0999999999999</v>
      </c>
      <c r="F10" s="219">
        <v>690.2</v>
      </c>
      <c r="G10" s="219">
        <v>958.2</v>
      </c>
      <c r="H10" s="296">
        <v>364.4</v>
      </c>
      <c r="I10" s="297">
        <v>256.60000000000002</v>
      </c>
      <c r="J10" s="219">
        <v>366.9</v>
      </c>
      <c r="K10" s="219">
        <v>557.6</v>
      </c>
      <c r="L10" s="219">
        <v>394.7</v>
      </c>
      <c r="M10" s="219">
        <v>302.3</v>
      </c>
      <c r="N10" s="27" t="s">
        <v>719</v>
      </c>
      <c r="O10" s="10" t="s">
        <v>730</v>
      </c>
      <c r="P10"/>
      <c r="Q10" s="21" t="s">
        <v>721</v>
      </c>
      <c r="R10" s="21" t="s">
        <v>731</v>
      </c>
      <c r="Z10" s="30">
        <f>505+518</f>
        <v>1023</v>
      </c>
      <c r="AA10" s="30">
        <f>507-161</f>
        <v>346</v>
      </c>
      <c r="AB10" s="30">
        <f>484-322</f>
        <v>162</v>
      </c>
      <c r="AC10" s="30">
        <f>465+35</f>
        <v>500</v>
      </c>
      <c r="AD10" s="31">
        <f>467-130</f>
        <v>337</v>
      </c>
      <c r="AE10" s="30">
        <f>396+32</f>
        <v>428</v>
      </c>
      <c r="AF10" s="30">
        <f>343-130</f>
        <v>213</v>
      </c>
      <c r="AG10" s="30">
        <f>389-381</f>
        <v>8</v>
      </c>
    </row>
    <row r="11" spans="1:33">
      <c r="A11" s="25" t="s">
        <v>280</v>
      </c>
      <c r="B11" s="219">
        <v>-801.2</v>
      </c>
      <c r="C11" s="219">
        <v>-553.70000000000005</v>
      </c>
      <c r="D11" s="219">
        <v>-757.1</v>
      </c>
      <c r="E11" s="219">
        <v>-864.8</v>
      </c>
      <c r="F11" s="219">
        <v>-569.79999999999995</v>
      </c>
      <c r="G11" s="219">
        <v>-1229.4000000000001</v>
      </c>
      <c r="H11" s="296">
        <v>-1189.5999999999999</v>
      </c>
      <c r="I11" s="297">
        <v>-1929.1</v>
      </c>
      <c r="J11" s="219">
        <v>-1628.2</v>
      </c>
      <c r="K11" s="219">
        <v>-1598.9</v>
      </c>
      <c r="L11" s="219">
        <v>-1687.6</v>
      </c>
      <c r="M11" s="219">
        <v>-1119</v>
      </c>
      <c r="N11" s="27" t="s">
        <v>719</v>
      </c>
      <c r="O11" t="s">
        <v>280</v>
      </c>
      <c r="P11"/>
      <c r="Q11" s="21" t="s">
        <v>721</v>
      </c>
      <c r="R11" s="21" t="s">
        <v>732</v>
      </c>
      <c r="Z11" s="26">
        <v>192</v>
      </c>
      <c r="AA11" s="26">
        <v>916</v>
      </c>
      <c r="AB11" s="26">
        <v>692</v>
      </c>
      <c r="AC11" s="26">
        <v>1319</v>
      </c>
      <c r="AD11" s="29">
        <f>2528</f>
        <v>2528</v>
      </c>
      <c r="AE11" s="26">
        <f>1720</f>
        <v>1720</v>
      </c>
      <c r="AF11" s="26">
        <f>968</f>
        <v>968</v>
      </c>
      <c r="AG11" s="26">
        <f>-270</f>
        <v>-270</v>
      </c>
    </row>
    <row r="12" spans="1:33">
      <c r="A12" s="25" t="s">
        <v>57</v>
      </c>
      <c r="B12" s="219">
        <v>7021.6</v>
      </c>
      <c r="C12" s="219">
        <v>8266</v>
      </c>
      <c r="D12" s="219">
        <v>6726.1</v>
      </c>
      <c r="E12" s="219">
        <v>5362.5</v>
      </c>
      <c r="F12" s="219">
        <v>4496.8999999999996</v>
      </c>
      <c r="G12" s="219">
        <v>5207.3</v>
      </c>
      <c r="H12" s="295">
        <v>5027</v>
      </c>
      <c r="I12" s="219">
        <v>10551.2</v>
      </c>
      <c r="J12" s="219">
        <v>8059.3</v>
      </c>
      <c r="K12" s="219">
        <v>8041.5</v>
      </c>
      <c r="L12" s="219">
        <v>8223.6</v>
      </c>
      <c r="M12" s="219">
        <v>5692.4</v>
      </c>
      <c r="N12" s="27" t="s">
        <v>719</v>
      </c>
      <c r="O12" t="s">
        <v>57</v>
      </c>
      <c r="P12"/>
      <c r="Q12" s="21" t="s">
        <v>733</v>
      </c>
      <c r="R12" s="21" t="s">
        <v>734</v>
      </c>
      <c r="Z12" s="26">
        <v>-67</v>
      </c>
      <c r="AA12" s="26">
        <v>2512</v>
      </c>
      <c r="AB12" s="26">
        <v>2452</v>
      </c>
      <c r="AC12" s="26">
        <v>3789</v>
      </c>
      <c r="AD12" s="26">
        <v>5681</v>
      </c>
      <c r="AE12" s="26">
        <f>4928+24</f>
        <v>4952</v>
      </c>
      <c r="AF12" s="26">
        <v>2700</v>
      </c>
      <c r="AG12" s="26">
        <v>895</v>
      </c>
    </row>
    <row r="13" spans="1:33">
      <c r="B13" s="298">
        <f>SUM(B8:B11)</f>
        <v>7021.6000000000013</v>
      </c>
      <c r="C13" s="298">
        <f t="shared" ref="C13:M13" si="1">SUM(C8:C11)</f>
        <v>8266</v>
      </c>
      <c r="D13" s="298">
        <f t="shared" si="1"/>
        <v>6724.0999999999995</v>
      </c>
      <c r="E13" s="298">
        <f t="shared" si="1"/>
        <v>5362.4999999999991</v>
      </c>
      <c r="F13" s="298">
        <f t="shared" si="1"/>
        <v>4496.8999999999996</v>
      </c>
      <c r="G13" s="298">
        <f t="shared" si="1"/>
        <v>5207.2999999999993</v>
      </c>
      <c r="H13" s="298">
        <f t="shared" si="1"/>
        <v>5027</v>
      </c>
      <c r="I13" s="298">
        <f t="shared" si="1"/>
        <v>10551.2</v>
      </c>
      <c r="J13" s="298">
        <f t="shared" si="1"/>
        <v>8059.3</v>
      </c>
      <c r="K13" s="298">
        <f t="shared" si="1"/>
        <v>8040.9000000000015</v>
      </c>
      <c r="L13" s="298">
        <f t="shared" si="1"/>
        <v>8223.6</v>
      </c>
      <c r="M13" s="298">
        <f t="shared" si="1"/>
        <v>5692.4000000000005</v>
      </c>
      <c r="N13"/>
      <c r="O13"/>
      <c r="P13"/>
      <c r="Z13" s="23">
        <f t="shared" ref="Z13:AG13" si="2">Z8-Z10-Z9-Z11</f>
        <v>-67</v>
      </c>
      <c r="AA13" s="23">
        <f t="shared" si="2"/>
        <v>2512</v>
      </c>
      <c r="AB13" s="23">
        <f t="shared" si="2"/>
        <v>2452</v>
      </c>
      <c r="AC13" s="23">
        <f t="shared" si="2"/>
        <v>3789</v>
      </c>
      <c r="AD13" s="23">
        <f t="shared" si="2"/>
        <v>5681</v>
      </c>
      <c r="AE13" s="23">
        <f t="shared" si="2"/>
        <v>4952</v>
      </c>
      <c r="AF13" s="23">
        <f t="shared" si="2"/>
        <v>2700</v>
      </c>
      <c r="AG13" s="23">
        <f t="shared" si="2"/>
        <v>895</v>
      </c>
    </row>
    <row r="14" spans="1:33" ht="15">
      <c r="A14" s="49" t="s">
        <v>735</v>
      </c>
      <c r="B14" s="299">
        <f>B12-B13</f>
        <v>0</v>
      </c>
      <c r="C14" s="299">
        <f t="shared" ref="C14:M14" si="3">C12-C13</f>
        <v>0</v>
      </c>
      <c r="D14" s="299">
        <f t="shared" si="3"/>
        <v>2.0000000000009095</v>
      </c>
      <c r="E14" s="299">
        <f t="shared" si="3"/>
        <v>0</v>
      </c>
      <c r="F14" s="299">
        <f t="shared" si="3"/>
        <v>0</v>
      </c>
      <c r="G14" s="299">
        <f t="shared" si="3"/>
        <v>0</v>
      </c>
      <c r="H14" s="299">
        <f t="shared" si="3"/>
        <v>0</v>
      </c>
      <c r="I14" s="299">
        <f t="shared" si="3"/>
        <v>0</v>
      </c>
      <c r="J14" s="299">
        <f t="shared" si="3"/>
        <v>0</v>
      </c>
      <c r="K14" s="299">
        <f t="shared" si="3"/>
        <v>0.59999999999854481</v>
      </c>
      <c r="L14" s="299">
        <f t="shared" si="3"/>
        <v>0</v>
      </c>
      <c r="M14" s="299">
        <f t="shared" si="3"/>
        <v>0</v>
      </c>
      <c r="N14"/>
      <c r="O14"/>
      <c r="P14"/>
      <c r="Z14" s="34">
        <f t="shared" ref="Z14:AG14" si="4">Z12-Z13</f>
        <v>0</v>
      </c>
      <c r="AA14" s="34">
        <f t="shared" si="4"/>
        <v>0</v>
      </c>
      <c r="AB14" s="34">
        <f t="shared" si="4"/>
        <v>0</v>
      </c>
      <c r="AC14" s="34">
        <f t="shared" si="4"/>
        <v>0</v>
      </c>
      <c r="AD14" s="34">
        <f t="shared" si="4"/>
        <v>0</v>
      </c>
      <c r="AE14" s="34">
        <f t="shared" si="4"/>
        <v>0</v>
      </c>
      <c r="AF14" s="34">
        <f t="shared" si="4"/>
        <v>0</v>
      </c>
      <c r="AG14" s="34">
        <f t="shared" si="4"/>
        <v>0</v>
      </c>
    </row>
    <row r="15" spans="1:33">
      <c r="A15"/>
      <c r="B15" s="303"/>
      <c r="C15" s="303"/>
      <c r="D15" s="303"/>
      <c r="E15" s="303"/>
      <c r="F15" s="303"/>
      <c r="G15" s="303"/>
      <c r="H15" s="303"/>
      <c r="I15" s="303"/>
      <c r="J15" s="303"/>
      <c r="K15" s="303"/>
      <c r="L15" s="303"/>
      <c r="M15" s="303"/>
      <c r="N15"/>
      <c r="O15"/>
      <c r="P15"/>
      <c r="Z15" s="26"/>
      <c r="AA15" s="26"/>
      <c r="AB15" s="26"/>
      <c r="AC15" s="26"/>
      <c r="AD15" s="26"/>
      <c r="AE15" s="26"/>
      <c r="AF15" s="26"/>
      <c r="AG15" s="26"/>
    </row>
    <row r="16" spans="1:33">
      <c r="A16" s="25" t="s">
        <v>736</v>
      </c>
      <c r="B16" s="300"/>
      <c r="C16" s="300"/>
      <c r="D16" s="300"/>
      <c r="E16" s="300"/>
      <c r="F16" s="300"/>
      <c r="G16" s="300"/>
      <c r="H16" s="301"/>
      <c r="I16" s="300"/>
      <c r="J16" s="300"/>
      <c r="K16" s="300"/>
      <c r="L16" s="300"/>
      <c r="M16" s="300"/>
      <c r="N16" s="27"/>
      <c r="O16"/>
      <c r="P16"/>
      <c r="Z16" s="26"/>
      <c r="AA16" s="26"/>
      <c r="AB16" s="26"/>
      <c r="AC16" s="26"/>
      <c r="AD16" s="26"/>
      <c r="AE16" s="26"/>
      <c r="AF16" s="26"/>
      <c r="AG16" s="26"/>
    </row>
    <row r="17" spans="1:152">
      <c r="A17" s="25" t="s">
        <v>737</v>
      </c>
      <c r="B17" s="300"/>
      <c r="C17" s="300"/>
      <c r="D17" s="300"/>
      <c r="E17" s="300"/>
      <c r="F17" s="300"/>
      <c r="G17" s="300"/>
      <c r="H17" s="301"/>
      <c r="I17" s="300"/>
      <c r="J17" s="300"/>
      <c r="K17" s="300"/>
      <c r="L17" s="300"/>
      <c r="M17" s="300"/>
      <c r="N17" s="27"/>
      <c r="O17"/>
      <c r="P17"/>
      <c r="Z17" s="26"/>
      <c r="AA17" s="26"/>
      <c r="AB17" s="26"/>
      <c r="AC17" s="26"/>
      <c r="AD17" s="26"/>
      <c r="AE17" s="26"/>
      <c r="AF17" s="26"/>
      <c r="AG17" s="26"/>
    </row>
    <row r="18" spans="1:152" customFormat="1" ht="12.75">
      <c r="B18" s="303"/>
      <c r="C18" s="303"/>
      <c r="D18" s="303"/>
      <c r="E18" s="303"/>
      <c r="F18" s="303"/>
      <c r="G18" s="303"/>
      <c r="H18" s="303"/>
      <c r="I18" s="303"/>
      <c r="J18" s="303"/>
      <c r="K18" s="303"/>
      <c r="L18" s="303"/>
      <c r="M18" s="303"/>
    </row>
    <row r="19" spans="1:152">
      <c r="A19" s="25" t="s">
        <v>738</v>
      </c>
      <c r="B19" s="219"/>
      <c r="C19" s="219"/>
      <c r="D19" s="219"/>
      <c r="E19" s="219"/>
      <c r="F19" s="219"/>
      <c r="G19" s="219"/>
      <c r="H19" s="295"/>
      <c r="I19" s="219"/>
      <c r="J19" s="219"/>
      <c r="K19" s="219"/>
      <c r="L19" s="219"/>
      <c r="M19" s="219"/>
      <c r="N19" s="27"/>
      <c r="O19"/>
      <c r="P19"/>
      <c r="Z19" s="26"/>
      <c r="AA19" s="26"/>
      <c r="AB19" s="26"/>
      <c r="AC19" s="26"/>
      <c r="AD19" s="26"/>
      <c r="AE19" s="26"/>
      <c r="AF19" s="26"/>
      <c r="AG19" s="26"/>
    </row>
    <row r="20" spans="1:152" ht="15">
      <c r="A20" s="9" t="s">
        <v>739</v>
      </c>
      <c r="B20" s="219"/>
      <c r="C20" s="219"/>
      <c r="D20" s="219"/>
      <c r="E20" s="219"/>
      <c r="F20" s="219"/>
      <c r="G20" s="219"/>
      <c r="H20" s="295"/>
      <c r="I20" s="219"/>
      <c r="J20" s="219"/>
      <c r="K20" s="219"/>
      <c r="L20" s="219"/>
      <c r="M20" s="219"/>
      <c r="N20" s="27"/>
      <c r="O20"/>
      <c r="P20"/>
      <c r="Z20" s="26"/>
      <c r="AA20" s="26"/>
      <c r="AB20" s="26"/>
      <c r="AC20" s="26"/>
      <c r="AD20" s="26"/>
      <c r="AE20" s="26"/>
      <c r="AF20" s="26"/>
      <c r="AG20" s="26"/>
    </row>
    <row r="21" spans="1:152" customFormat="1" ht="12.75">
      <c r="B21" s="303"/>
      <c r="C21" s="303"/>
      <c r="D21" s="303"/>
      <c r="E21" s="303"/>
      <c r="F21" s="303"/>
      <c r="G21" s="303"/>
      <c r="H21" s="303"/>
      <c r="I21" s="303"/>
      <c r="J21" s="303"/>
      <c r="K21" s="303"/>
      <c r="L21" s="303"/>
      <c r="M21" s="303"/>
    </row>
    <row r="22" spans="1:152">
      <c r="A22" s="21" t="s">
        <v>511</v>
      </c>
      <c r="B22" s="298">
        <f t="shared" ref="B22:J22" si="5">B23-C23</f>
        <v>-7653.5999999999985</v>
      </c>
      <c r="C22" s="298">
        <f t="shared" si="5"/>
        <v>5159.5999999999913</v>
      </c>
      <c r="D22" s="298">
        <f>D23-E23</f>
        <v>-18584.899999999998</v>
      </c>
      <c r="E22" s="298">
        <f t="shared" si="5"/>
        <v>-2883.1999999999898</v>
      </c>
      <c r="F22" s="298">
        <f t="shared" si="5"/>
        <v>-8428.4000000000087</v>
      </c>
      <c r="G22" s="298">
        <f t="shared" si="5"/>
        <v>-5447.4000000000033</v>
      </c>
      <c r="H22" s="298">
        <f t="shared" si="5"/>
        <v>-1281.9999999999973</v>
      </c>
      <c r="I22" s="298">
        <f>I23-J23</f>
        <v>2388.8000000000038</v>
      </c>
      <c r="J22" s="298">
        <f t="shared" si="5"/>
        <v>-992.29999999999745</v>
      </c>
      <c r="K22" s="298">
        <f>K23-L23</f>
        <v>3423.399999999996</v>
      </c>
      <c r="L22" s="298">
        <f>L23-M23</f>
        <v>1731.1000000000004</v>
      </c>
      <c r="M22" s="298">
        <f>M23-N23</f>
        <v>933</v>
      </c>
      <c r="N22" s="33" t="s">
        <v>740</v>
      </c>
      <c r="O22" t="s">
        <v>741</v>
      </c>
      <c r="P22"/>
      <c r="Q22" s="21" t="s">
        <v>733</v>
      </c>
      <c r="Z22" s="26"/>
      <c r="AA22" s="26"/>
      <c r="AB22" s="26"/>
      <c r="AC22" s="26"/>
      <c r="AD22" s="29"/>
      <c r="AE22" s="26"/>
      <c r="AF22" s="26"/>
      <c r="AG22" s="26"/>
    </row>
    <row r="23" spans="1:152">
      <c r="A23" s="25" t="s">
        <v>742</v>
      </c>
      <c r="B23" s="219">
        <f t="shared" ref="B23" si="6">B27-B42-B28</f>
        <v>-31635.9</v>
      </c>
      <c r="C23" s="219">
        <f t="shared" ref="C23:M23" si="7">C27-C42-C28</f>
        <v>-23982.300000000003</v>
      </c>
      <c r="D23" s="219">
        <f t="shared" si="7"/>
        <v>-29141.899999999994</v>
      </c>
      <c r="E23" s="219">
        <f t="shared" si="7"/>
        <v>-10556.999999999996</v>
      </c>
      <c r="F23" s="219">
        <f t="shared" si="7"/>
        <v>-7673.8000000000065</v>
      </c>
      <c r="G23" s="219">
        <f t="shared" si="7"/>
        <v>754.60000000000218</v>
      </c>
      <c r="H23" s="219">
        <f t="shared" si="7"/>
        <v>6202.0000000000055</v>
      </c>
      <c r="I23" s="219">
        <f t="shared" si="7"/>
        <v>7484.0000000000027</v>
      </c>
      <c r="J23" s="219">
        <f t="shared" si="7"/>
        <v>5095.1999999999989</v>
      </c>
      <c r="K23" s="219">
        <f t="shared" si="7"/>
        <v>6087.4999999999964</v>
      </c>
      <c r="L23" s="219">
        <f t="shared" si="7"/>
        <v>2664.1000000000004</v>
      </c>
      <c r="M23" s="219">
        <f t="shared" si="7"/>
        <v>933</v>
      </c>
      <c r="N23" s="33"/>
      <c r="O23"/>
      <c r="P23"/>
      <c r="Z23" s="26"/>
      <c r="AA23" s="26"/>
      <c r="AB23" s="26"/>
      <c r="AC23" s="26"/>
      <c r="AD23" s="29"/>
      <c r="AE23" s="26"/>
      <c r="AF23" s="26"/>
      <c r="AG23" s="26"/>
    </row>
    <row r="24" spans="1:152">
      <c r="A24" s="7">
        <v>2625</v>
      </c>
      <c r="B24" s="304">
        <v>2625</v>
      </c>
      <c r="C24" s="304">
        <v>2625</v>
      </c>
      <c r="D24" s="304">
        <v>2625</v>
      </c>
      <c r="E24" s="304">
        <v>2625</v>
      </c>
      <c r="F24" s="304">
        <v>2625</v>
      </c>
      <c r="G24" s="304">
        <v>2625</v>
      </c>
      <c r="H24" s="304">
        <v>2625</v>
      </c>
      <c r="I24" s="304">
        <v>2625</v>
      </c>
      <c r="J24" s="304">
        <v>2625</v>
      </c>
      <c r="K24" s="304">
        <v>2625</v>
      </c>
      <c r="L24" s="304">
        <v>2625</v>
      </c>
      <c r="M24" s="304">
        <v>2625</v>
      </c>
      <c r="N24" s="7">
        <v>2625</v>
      </c>
      <c r="O24"/>
      <c r="P24"/>
      <c r="Q24" s="21" t="s">
        <v>733</v>
      </c>
      <c r="R24" s="21" t="s">
        <v>743</v>
      </c>
      <c r="T24" s="21" t="s">
        <v>744</v>
      </c>
      <c r="Z24" s="26">
        <v>1799</v>
      </c>
      <c r="AA24" s="26">
        <v>1757</v>
      </c>
      <c r="AB24" s="26">
        <v>1620</v>
      </c>
      <c r="AC24" s="26">
        <v>1111</v>
      </c>
      <c r="AD24" s="26">
        <v>1617</v>
      </c>
      <c r="AE24" s="26">
        <v>1159</v>
      </c>
      <c r="AF24" s="26">
        <v>1084</v>
      </c>
      <c r="AG24" s="26">
        <v>1029</v>
      </c>
    </row>
    <row r="25" spans="1:152" ht="15">
      <c r="A25" s="49" t="s">
        <v>337</v>
      </c>
      <c r="B25" s="304">
        <v>2625</v>
      </c>
      <c r="C25" s="304">
        <v>2625</v>
      </c>
      <c r="D25" s="304">
        <v>2625</v>
      </c>
      <c r="E25" s="304">
        <v>2625</v>
      </c>
      <c r="F25" s="304">
        <v>2625</v>
      </c>
      <c r="G25" s="304">
        <v>2625</v>
      </c>
      <c r="H25" s="304">
        <v>2625</v>
      </c>
      <c r="I25" s="304">
        <v>2625</v>
      </c>
      <c r="J25" s="304">
        <v>2625</v>
      </c>
      <c r="K25" s="304">
        <v>2625</v>
      </c>
      <c r="L25" s="304">
        <v>2625</v>
      </c>
      <c r="M25" s="304">
        <v>2625</v>
      </c>
      <c r="N25" s="7">
        <v>2625</v>
      </c>
      <c r="O25"/>
      <c r="P25"/>
      <c r="Q25" s="21" t="s">
        <v>733</v>
      </c>
      <c r="R25" s="21" t="s">
        <v>745</v>
      </c>
      <c r="S25" s="21" t="s">
        <v>746</v>
      </c>
      <c r="T25" s="21" t="s">
        <v>747</v>
      </c>
      <c r="Z25" s="26">
        <v>23</v>
      </c>
      <c r="AA25" s="26">
        <f>-33+2025</f>
        <v>1992</v>
      </c>
      <c r="AB25" s="26">
        <v>3817</v>
      </c>
      <c r="AC25" s="26">
        <v>1776</v>
      </c>
      <c r="AD25" s="26">
        <v>-244</v>
      </c>
      <c r="AE25" s="26">
        <v>-312</v>
      </c>
      <c r="AF25" s="26">
        <v>-449</v>
      </c>
      <c r="AG25" s="26">
        <v>-110</v>
      </c>
    </row>
    <row r="26" spans="1:152" ht="15">
      <c r="A26" s="95" t="s">
        <v>748</v>
      </c>
      <c r="B26" s="362"/>
      <c r="C26" s="362"/>
      <c r="D26" s="362"/>
      <c r="E26" s="362"/>
      <c r="F26" s="362"/>
      <c r="G26" s="362"/>
      <c r="H26" s="362"/>
      <c r="I26" s="362"/>
      <c r="J26" s="362"/>
      <c r="K26" s="362"/>
      <c r="L26" s="362"/>
      <c r="M26" s="362"/>
      <c r="N26" s="7">
        <v>1922</v>
      </c>
      <c r="O26" s="7">
        <v>2625</v>
      </c>
      <c r="P26"/>
      <c r="Z26" s="26"/>
      <c r="AA26" s="26"/>
      <c r="AB26" s="26"/>
      <c r="AC26" s="26"/>
      <c r="AD26" s="26"/>
      <c r="AE26" s="26"/>
      <c r="AF26" s="26"/>
      <c r="AG26" s="26"/>
    </row>
    <row r="27" spans="1:152" ht="15">
      <c r="A27" s="9" t="s">
        <v>749</v>
      </c>
      <c r="B27" s="218">
        <v>118583.8</v>
      </c>
      <c r="C27" s="218">
        <v>107680.7</v>
      </c>
      <c r="D27" s="218">
        <v>108365.6</v>
      </c>
      <c r="E27" s="218">
        <v>99399</v>
      </c>
      <c r="F27" s="218">
        <v>68502.2</v>
      </c>
      <c r="G27" s="218">
        <v>66126.3</v>
      </c>
      <c r="H27" s="218">
        <v>69293.3</v>
      </c>
      <c r="I27" s="218">
        <v>53928</v>
      </c>
      <c r="J27" s="218">
        <v>40390</v>
      </c>
      <c r="K27" s="218">
        <v>35313.699999999997</v>
      </c>
      <c r="L27" s="218">
        <v>31026.2</v>
      </c>
      <c r="M27" s="218">
        <v>25847.7</v>
      </c>
      <c r="N27" s="7"/>
      <c r="O27" s="7"/>
      <c r="P27"/>
      <c r="Z27" s="26"/>
      <c r="AA27" s="26"/>
      <c r="AB27" s="26"/>
      <c r="AC27" s="26"/>
      <c r="AD27" s="26"/>
      <c r="AE27" s="26"/>
      <c r="AF27" s="26"/>
      <c r="AG27" s="26"/>
    </row>
    <row r="28" spans="1:152" ht="15">
      <c r="A28" s="92" t="s">
        <v>283</v>
      </c>
      <c r="B28" s="219">
        <v>39384.6</v>
      </c>
      <c r="C28" s="219">
        <v>35861</v>
      </c>
      <c r="D28" s="219">
        <v>41910.5</v>
      </c>
      <c r="E28" s="219">
        <v>28790.3</v>
      </c>
      <c r="F28" s="219">
        <v>21576.2</v>
      </c>
      <c r="G28" s="219">
        <v>10992.3</v>
      </c>
      <c r="H28" s="219">
        <v>4210.1000000000004</v>
      </c>
      <c r="I28" s="219">
        <v>3191.8</v>
      </c>
      <c r="J28" s="219">
        <v>3508.4</v>
      </c>
      <c r="K28" s="219">
        <v>3081.5</v>
      </c>
      <c r="L28" s="219">
        <v>5522.6</v>
      </c>
      <c r="M28" s="219">
        <v>5595.5</v>
      </c>
      <c r="N28" s="36" t="s">
        <v>750</v>
      </c>
      <c r="O28" t="s">
        <v>283</v>
      </c>
      <c r="P28"/>
      <c r="Z28" s="35"/>
      <c r="AA28" s="35"/>
      <c r="AB28" s="35"/>
      <c r="AC28" s="35"/>
      <c r="AD28" s="35"/>
      <c r="AE28" s="34"/>
      <c r="AF28" s="34"/>
      <c r="AG28" s="34"/>
    </row>
    <row r="29" spans="1:152" ht="15">
      <c r="A29" s="93" t="s">
        <v>520</v>
      </c>
      <c r="B29" s="219">
        <v>7193.2</v>
      </c>
      <c r="C29" s="219">
        <v>6611.2</v>
      </c>
      <c r="D29" s="219">
        <v>5422</v>
      </c>
      <c r="E29" s="219">
        <v>3936.2</v>
      </c>
      <c r="F29" s="219">
        <v>3193.2</v>
      </c>
      <c r="G29" s="219">
        <v>3343.2</v>
      </c>
      <c r="H29" s="219">
        <v>49948.6</v>
      </c>
      <c r="I29" s="219">
        <v>40304.199999999997</v>
      </c>
      <c r="J29" s="219">
        <v>28837.7</v>
      </c>
      <c r="K29" s="219">
        <v>24082.5</v>
      </c>
      <c r="L29" s="219">
        <v>18204.599999999999</v>
      </c>
      <c r="M29" s="219">
        <v>15482.4</v>
      </c>
      <c r="N29" s="36" t="s">
        <v>750</v>
      </c>
      <c r="O29" t="s">
        <v>520</v>
      </c>
      <c r="P29"/>
      <c r="Z29" s="35"/>
      <c r="AA29" s="35"/>
      <c r="AB29" s="35"/>
      <c r="AC29" s="35"/>
      <c r="AD29" s="35"/>
      <c r="AE29" s="34"/>
      <c r="AF29" s="34"/>
      <c r="AG29" s="34"/>
    </row>
    <row r="30" spans="1:152">
      <c r="A30" s="92" t="s">
        <v>285</v>
      </c>
      <c r="B30" s="219">
        <v>26627.8</v>
      </c>
      <c r="C30" s="219">
        <v>22374.5</v>
      </c>
      <c r="D30" s="219">
        <v>13966.4</v>
      </c>
      <c r="E30" s="219">
        <v>7497.6</v>
      </c>
      <c r="F30" s="219">
        <v>6237.2</v>
      </c>
      <c r="G30" s="219">
        <v>4445.1000000000004</v>
      </c>
      <c r="H30" s="219">
        <v>5574.8</v>
      </c>
      <c r="I30" s="219">
        <v>6061.1</v>
      </c>
      <c r="J30" s="219">
        <v>4119.8</v>
      </c>
      <c r="K30" s="219">
        <v>3470.4</v>
      </c>
      <c r="L30" s="219">
        <v>2763.9</v>
      </c>
      <c r="M30" s="219">
        <v>2776.7</v>
      </c>
      <c r="N30" s="36" t="s">
        <v>750</v>
      </c>
      <c r="O30" t="s">
        <v>285</v>
      </c>
      <c r="P30"/>
      <c r="Q30" s="21" t="s">
        <v>751</v>
      </c>
      <c r="R30" s="21" t="s">
        <v>752</v>
      </c>
      <c r="Z30" s="26">
        <v>7168</v>
      </c>
      <c r="AA30" s="26">
        <v>6460</v>
      </c>
      <c r="AB30" s="26">
        <v>7341</v>
      </c>
      <c r="AC30" s="26">
        <v>6081</v>
      </c>
      <c r="AD30" s="26">
        <v>5490</v>
      </c>
      <c r="AE30" s="26">
        <v>3057</v>
      </c>
      <c r="AF30" s="26">
        <v>3592</v>
      </c>
      <c r="AG30" s="26">
        <v>4867</v>
      </c>
    </row>
    <row r="31" spans="1:152" s="22" customFormat="1">
      <c r="A31" s="92" t="s">
        <v>753</v>
      </c>
      <c r="B31" s="219">
        <f t="shared" ref="B31" si="8">B27-SUM(B28:B30)</f>
        <v>45378.200000000012</v>
      </c>
      <c r="C31" s="219">
        <f t="shared" ref="C31:M31" si="9">C27-SUM(C28:C30)</f>
        <v>42834</v>
      </c>
      <c r="D31" s="219">
        <f t="shared" si="9"/>
        <v>47066.700000000004</v>
      </c>
      <c r="E31" s="219">
        <f t="shared" si="9"/>
        <v>59174.9</v>
      </c>
      <c r="F31" s="219">
        <f t="shared" si="9"/>
        <v>37495.599999999991</v>
      </c>
      <c r="G31" s="219">
        <f t="shared" si="9"/>
        <v>47345.700000000004</v>
      </c>
      <c r="H31" s="219">
        <f t="shared" si="9"/>
        <v>9559.8000000000029</v>
      </c>
      <c r="I31" s="219">
        <f t="shared" si="9"/>
        <v>4370.9000000000015</v>
      </c>
      <c r="J31" s="219">
        <f t="shared" si="9"/>
        <v>3924.0999999999985</v>
      </c>
      <c r="K31" s="219">
        <f t="shared" si="9"/>
        <v>4679.2999999999956</v>
      </c>
      <c r="L31" s="219">
        <f t="shared" si="9"/>
        <v>4535.1000000000022</v>
      </c>
      <c r="M31" s="219">
        <f t="shared" si="9"/>
        <v>1993.0999999999985</v>
      </c>
      <c r="N31" s="36" t="s">
        <v>750</v>
      </c>
      <c r="O31" t="s">
        <v>285</v>
      </c>
      <c r="P31"/>
      <c r="Q31" s="21" t="s">
        <v>751</v>
      </c>
      <c r="R31" s="21" t="s">
        <v>754</v>
      </c>
      <c r="S31" s="21" t="s">
        <v>755</v>
      </c>
      <c r="T31" s="21" t="s">
        <v>756</v>
      </c>
      <c r="U31" s="21"/>
      <c r="V31" s="21"/>
      <c r="W31" s="21"/>
      <c r="X31" s="21"/>
      <c r="Y31" s="21"/>
      <c r="Z31" s="30">
        <f>5981+8522+1029+13556</f>
        <v>29088</v>
      </c>
      <c r="AA31" s="30">
        <f>6695+8991+1170+13651</f>
        <v>30507</v>
      </c>
      <c r="AB31" s="30">
        <f>7737+9027+1364+14644</f>
        <v>32772</v>
      </c>
      <c r="AC31" s="30">
        <v>33499</v>
      </c>
      <c r="AD31" s="30">
        <v>33911</v>
      </c>
      <c r="AE31" s="30">
        <v>31031</v>
      </c>
      <c r="AF31" s="30">
        <v>28849</v>
      </c>
      <c r="AG31" s="30">
        <v>27162</v>
      </c>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c r="EP31" s="21"/>
      <c r="EQ31" s="21"/>
      <c r="ER31" s="21"/>
      <c r="ES31" s="21"/>
      <c r="ET31" s="21"/>
      <c r="EU31" s="21"/>
      <c r="EV31" s="21"/>
    </row>
    <row r="32" spans="1:152" s="22" customFormat="1" ht="15">
      <c r="A32" s="9" t="s">
        <v>757</v>
      </c>
      <c r="B32" s="218">
        <f t="shared" ref="B32:M32" si="10">B38-B27</f>
        <v>82686.499999999985</v>
      </c>
      <c r="C32" s="218">
        <f t="shared" si="10"/>
        <v>77676.599999999991</v>
      </c>
      <c r="D32" s="218">
        <f t="shared" si="10"/>
        <v>67042.399999999994</v>
      </c>
      <c r="E32" s="218">
        <f t="shared" si="10"/>
        <v>54612.5</v>
      </c>
      <c r="F32" s="218">
        <f t="shared" si="10"/>
        <v>44594.2</v>
      </c>
      <c r="G32" s="218">
        <f t="shared" si="10"/>
        <v>45674.099999999991</v>
      </c>
      <c r="H32" s="218">
        <f t="shared" si="10"/>
        <v>41254.099999999991</v>
      </c>
      <c r="I32" s="218">
        <f t="shared" si="10"/>
        <v>38381.199999999997</v>
      </c>
      <c r="J32" s="218">
        <f t="shared" si="10"/>
        <v>31520.600000000006</v>
      </c>
      <c r="K32" s="218">
        <f t="shared" si="10"/>
        <v>26031.600000000006</v>
      </c>
      <c r="L32" s="218">
        <f t="shared" si="10"/>
        <v>21578.600000000002</v>
      </c>
      <c r="M32" s="218">
        <f t="shared" si="10"/>
        <v>16721.7</v>
      </c>
      <c r="N32" s="36"/>
      <c r="O32"/>
      <c r="P32"/>
      <c r="Q32" s="21"/>
      <c r="R32" s="21"/>
      <c r="S32" s="21"/>
      <c r="T32" s="21"/>
      <c r="U32" s="21"/>
      <c r="V32" s="21"/>
      <c r="W32" s="21"/>
      <c r="X32" s="21"/>
      <c r="Y32" s="21"/>
      <c r="Z32" s="30"/>
      <c r="AA32" s="30"/>
      <c r="AB32" s="30"/>
      <c r="AC32" s="30"/>
      <c r="AD32" s="30"/>
      <c r="AE32" s="30"/>
      <c r="AF32" s="30"/>
      <c r="AG32" s="30"/>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c r="EP32" s="21"/>
      <c r="EQ32" s="21"/>
      <c r="ER32" s="21"/>
      <c r="ES32" s="21"/>
      <c r="ET32" s="21"/>
      <c r="EU32" s="21"/>
      <c r="EV32" s="21"/>
    </row>
    <row r="33" spans="1:33">
      <c r="A33" s="94" t="s">
        <v>521</v>
      </c>
      <c r="B33" s="219">
        <v>40435.199999999997</v>
      </c>
      <c r="C33" s="219">
        <v>39338.800000000003</v>
      </c>
      <c r="D33" s="219">
        <v>35218.699999999997</v>
      </c>
      <c r="E33" s="219">
        <v>34632.6</v>
      </c>
      <c r="F33" s="219">
        <v>35038.699999999997</v>
      </c>
      <c r="G33" s="219">
        <v>36289.1</v>
      </c>
      <c r="H33" s="219">
        <v>35654.9</v>
      </c>
      <c r="I33" s="219">
        <v>32638.799999999999</v>
      </c>
      <c r="J33" s="219">
        <v>28446.1</v>
      </c>
      <c r="K33" s="219">
        <v>25283.5</v>
      </c>
      <c r="L33" s="219">
        <v>21037.200000000001</v>
      </c>
      <c r="M33" s="219">
        <v>16195.8</v>
      </c>
      <c r="N33" s="36"/>
      <c r="O33"/>
      <c r="P33"/>
      <c r="Q33" s="21" t="s">
        <v>751</v>
      </c>
      <c r="R33" s="21" t="s">
        <v>758</v>
      </c>
      <c r="Z33" s="26">
        <v>8614</v>
      </c>
      <c r="AA33" s="26">
        <v>9700</v>
      </c>
      <c r="AB33" s="26">
        <v>12205</v>
      </c>
      <c r="AC33" s="26">
        <v>12625</v>
      </c>
      <c r="AD33" s="26">
        <v>15547</v>
      </c>
      <c r="AE33" s="26">
        <v>14544</v>
      </c>
      <c r="AF33" s="26">
        <v>9587</v>
      </c>
      <c r="AG33" s="26">
        <v>6360</v>
      </c>
    </row>
    <row r="34" spans="1:33">
      <c r="A34" s="94" t="s">
        <v>759</v>
      </c>
      <c r="B34" s="219">
        <v>2912.5</v>
      </c>
      <c r="C34" s="219">
        <v>2610.4</v>
      </c>
      <c r="D34" s="219">
        <v>249.3</v>
      </c>
      <c r="E34" s="219"/>
      <c r="F34" s="219">
        <v>892.3</v>
      </c>
      <c r="G34" s="219">
        <v>222.3</v>
      </c>
      <c r="H34" s="219"/>
      <c r="I34" s="219"/>
      <c r="J34" s="219"/>
      <c r="K34" s="219"/>
      <c r="L34" s="219"/>
      <c r="M34" s="219"/>
      <c r="N34" s="36"/>
      <c r="O34"/>
      <c r="P34"/>
      <c r="Z34" s="26"/>
      <c r="AA34" s="26"/>
      <c r="AB34" s="26"/>
      <c r="AC34" s="26"/>
      <c r="AD34" s="26"/>
      <c r="AE34" s="26"/>
      <c r="AF34" s="26"/>
      <c r="AG34" s="26"/>
    </row>
    <row r="35" spans="1:33">
      <c r="A35" s="94" t="s">
        <v>760</v>
      </c>
      <c r="B35" s="219">
        <v>2578.4</v>
      </c>
      <c r="C35" s="219">
        <v>2037.7</v>
      </c>
      <c r="D35" s="219">
        <v>1197.7</v>
      </c>
      <c r="E35" s="219">
        <v>357.8</v>
      </c>
      <c r="F35" s="219">
        <v>399.9</v>
      </c>
      <c r="G35" s="219">
        <v>6077.9</v>
      </c>
      <c r="H35" s="219">
        <v>4562.3999999999996</v>
      </c>
      <c r="I35" s="219">
        <v>3212.1</v>
      </c>
      <c r="J35" s="219">
        <v>589.70000000000005</v>
      </c>
      <c r="K35" s="219">
        <v>114.1</v>
      </c>
      <c r="L35" s="219">
        <v>13.3</v>
      </c>
      <c r="M35" s="219">
        <v>13.5</v>
      </c>
      <c r="N35" s="36"/>
      <c r="O35"/>
      <c r="P35"/>
      <c r="Z35" s="26"/>
      <c r="AA35" s="26"/>
      <c r="AB35" s="26"/>
      <c r="AC35" s="26"/>
      <c r="AD35" s="26"/>
      <c r="AE35" s="26"/>
      <c r="AF35" s="26"/>
      <c r="AG35" s="26"/>
    </row>
    <row r="36" spans="1:33">
      <c r="A36" s="94" t="s">
        <v>761</v>
      </c>
      <c r="B36" s="219">
        <f t="shared" ref="B36" si="11">B32-SUM(B33:B35)</f>
        <v>36760.399999999987</v>
      </c>
      <c r="C36" s="219">
        <f t="shared" ref="C36" si="12">C32-SUM(C33:C35)</f>
        <v>33689.69999999999</v>
      </c>
      <c r="D36" s="219">
        <f t="shared" ref="D36" si="13">D32-SUM(D33:D35)</f>
        <v>30376.699999999997</v>
      </c>
      <c r="E36" s="219">
        <f>E32-SUM(E33:E35)</f>
        <v>19622.099999999999</v>
      </c>
      <c r="F36" s="219">
        <f t="shared" ref="F36" si="14">F32-SUM(F33:F35)</f>
        <v>8263.2999999999956</v>
      </c>
      <c r="G36" s="219">
        <f t="shared" ref="G36" si="15">G32-SUM(G33:G35)</f>
        <v>3084.7999999999884</v>
      </c>
      <c r="H36" s="219">
        <f t="shared" ref="H36" si="16">H32-SUM(H33:H35)</f>
        <v>1036.7999999999884</v>
      </c>
      <c r="I36" s="219">
        <f t="shared" ref="I36" si="17">I32-SUM(I33:I35)</f>
        <v>2530.2999999999956</v>
      </c>
      <c r="J36" s="219">
        <f t="shared" ref="J36" si="18">J32-SUM(J33:J35)</f>
        <v>2484.8000000000065</v>
      </c>
      <c r="K36" s="219">
        <f t="shared" ref="K36" si="19">K32-SUM(K33:K35)</f>
        <v>634.00000000000728</v>
      </c>
      <c r="L36" s="219">
        <f t="shared" ref="L36" si="20">L32-SUM(L33:L35)</f>
        <v>528.10000000000218</v>
      </c>
      <c r="M36" s="219">
        <f t="shared" ref="M36" si="21">M32-SUM(M33:M35)</f>
        <v>512.40000000000146</v>
      </c>
      <c r="N36" s="36" t="s">
        <v>750</v>
      </c>
      <c r="O36" t="s">
        <v>521</v>
      </c>
      <c r="P36"/>
      <c r="Z36" s="26"/>
      <c r="AA36" s="26"/>
      <c r="AB36" s="26"/>
      <c r="AC36" s="26"/>
      <c r="AD36" s="26"/>
      <c r="AE36" s="26"/>
      <c r="AF36" s="26"/>
      <c r="AG36" s="26"/>
    </row>
    <row r="37" spans="1:33">
      <c r="A37" s="21" t="s">
        <v>522</v>
      </c>
      <c r="B37" s="298">
        <f>B31+B36</f>
        <v>82138.600000000006</v>
      </c>
      <c r="C37" s="298">
        <f>C31+C36</f>
        <v>76523.699999999983</v>
      </c>
      <c r="D37" s="298">
        <f t="shared" ref="D37:M37" si="22">D31+D36</f>
        <v>77443.399999999994</v>
      </c>
      <c r="E37" s="298">
        <f t="shared" si="22"/>
        <v>78797</v>
      </c>
      <c r="F37" s="298">
        <f t="shared" si="22"/>
        <v>45758.899999999987</v>
      </c>
      <c r="G37" s="298">
        <f t="shared" si="22"/>
        <v>50430.499999999993</v>
      </c>
      <c r="H37" s="298">
        <f t="shared" si="22"/>
        <v>10596.599999999991</v>
      </c>
      <c r="I37" s="298">
        <f t="shared" si="22"/>
        <v>6901.1999999999971</v>
      </c>
      <c r="J37" s="298">
        <f t="shared" si="22"/>
        <v>6408.9000000000051</v>
      </c>
      <c r="K37" s="298">
        <f t="shared" si="22"/>
        <v>5313.3000000000029</v>
      </c>
      <c r="L37" s="298">
        <f t="shared" si="22"/>
        <v>5063.2000000000044</v>
      </c>
      <c r="M37" s="298">
        <f t="shared" si="22"/>
        <v>2505.5</v>
      </c>
      <c r="N37" s="36" t="s">
        <v>750</v>
      </c>
      <c r="O37"/>
      <c r="P37"/>
      <c r="Z37" s="26"/>
      <c r="AA37" s="26"/>
      <c r="AB37" s="26"/>
      <c r="AC37" s="26"/>
      <c r="AD37" s="26"/>
      <c r="AE37" s="26"/>
      <c r="AF37" s="26"/>
      <c r="AG37" s="26"/>
    </row>
    <row r="38" spans="1:33" ht="15">
      <c r="A38" s="9" t="s">
        <v>34</v>
      </c>
      <c r="B38" s="218">
        <v>201270.3</v>
      </c>
      <c r="C38" s="218">
        <v>185357.3</v>
      </c>
      <c r="D38" s="218">
        <v>175408</v>
      </c>
      <c r="E38" s="218">
        <v>154011.5</v>
      </c>
      <c r="F38" s="218">
        <v>113096.4</v>
      </c>
      <c r="G38" s="218">
        <v>111800.4</v>
      </c>
      <c r="H38" s="218">
        <v>110547.4</v>
      </c>
      <c r="I38" s="218">
        <v>92309.2</v>
      </c>
      <c r="J38" s="218">
        <v>71910.600000000006</v>
      </c>
      <c r="K38" s="218">
        <v>61345.3</v>
      </c>
      <c r="L38" s="218">
        <v>52604.800000000003</v>
      </c>
      <c r="M38" s="218">
        <v>42569.4</v>
      </c>
      <c r="N38" s="36" t="s">
        <v>750</v>
      </c>
      <c r="O38" t="s">
        <v>34</v>
      </c>
      <c r="P38"/>
      <c r="Q38" s="21" t="s">
        <v>751</v>
      </c>
      <c r="R38" s="21" t="s">
        <v>762</v>
      </c>
      <c r="Z38" s="26">
        <v>15322</v>
      </c>
      <c r="AA38" s="26">
        <v>16090</v>
      </c>
      <c r="AB38" s="26">
        <f>16577</f>
        <v>16577</v>
      </c>
      <c r="AC38" s="26">
        <v>17075</v>
      </c>
      <c r="AD38" s="26">
        <v>16461</v>
      </c>
      <c r="AE38" s="26">
        <v>14395</v>
      </c>
      <c r="AF38" s="26">
        <v>12539</v>
      </c>
      <c r="AG38" s="26">
        <v>12386</v>
      </c>
    </row>
    <row r="39" spans="1:33">
      <c r="B39" s="298"/>
      <c r="C39" s="298"/>
      <c r="D39" s="298"/>
      <c r="E39" s="298"/>
      <c r="F39" s="298"/>
      <c r="G39" s="298"/>
      <c r="H39" s="298"/>
      <c r="I39" s="298"/>
      <c r="J39" s="298"/>
      <c r="K39" s="298"/>
      <c r="L39" s="298"/>
      <c r="M39" s="298"/>
      <c r="N39" s="36" t="s">
        <v>750</v>
      </c>
      <c r="O39"/>
      <c r="P39"/>
      <c r="Z39" s="23">
        <f t="shared" ref="Z39:AG39" si="23">Z40-SUM(Z30:Z38)</f>
        <v>14512</v>
      </c>
      <c r="AA39" s="23">
        <f t="shared" si="23"/>
        <v>15585</v>
      </c>
      <c r="AB39" s="23">
        <f t="shared" si="23"/>
        <v>15786</v>
      </c>
      <c r="AC39" s="23">
        <f t="shared" si="23"/>
        <v>15616</v>
      </c>
      <c r="AD39" s="23">
        <f t="shared" si="23"/>
        <v>17947</v>
      </c>
      <c r="AE39" s="23">
        <f t="shared" si="23"/>
        <v>18419</v>
      </c>
      <c r="AF39" s="23">
        <f t="shared" si="23"/>
        <v>9453</v>
      </c>
      <c r="AG39" s="23">
        <f t="shared" si="23"/>
        <v>9263</v>
      </c>
    </row>
    <row r="40" spans="1:33" ht="15">
      <c r="B40" s="298"/>
      <c r="C40" s="298"/>
      <c r="D40" s="298"/>
      <c r="E40" s="298"/>
      <c r="F40" s="298"/>
      <c r="G40" s="298"/>
      <c r="H40" s="298"/>
      <c r="I40" s="298"/>
      <c r="J40" s="298"/>
      <c r="K40" s="298"/>
      <c r="L40" s="298"/>
      <c r="M40" s="298"/>
      <c r="N40" s="36" t="s">
        <v>750</v>
      </c>
      <c r="O40"/>
      <c r="P40"/>
      <c r="Q40" s="21" t="s">
        <v>751</v>
      </c>
      <c r="R40" s="21" t="s">
        <v>763</v>
      </c>
      <c r="Z40" s="37">
        <v>74704</v>
      </c>
      <c r="AA40" s="37">
        <v>78342</v>
      </c>
      <c r="AB40" s="37">
        <v>84681</v>
      </c>
      <c r="AC40" s="37">
        <v>84896</v>
      </c>
      <c r="AD40" s="37">
        <v>89356</v>
      </c>
      <c r="AE40" s="37">
        <v>81446</v>
      </c>
      <c r="AF40" s="37">
        <v>64020</v>
      </c>
      <c r="AG40" s="37">
        <v>60038</v>
      </c>
    </row>
    <row r="41" spans="1:33" ht="15">
      <c r="A41" s="95" t="s">
        <v>764</v>
      </c>
      <c r="B41" s="218"/>
      <c r="C41" s="218"/>
      <c r="D41" s="218"/>
      <c r="E41" s="218"/>
      <c r="F41" s="218"/>
      <c r="G41" s="218"/>
      <c r="H41" s="218"/>
      <c r="I41" s="218"/>
      <c r="J41" s="218"/>
      <c r="K41" s="218"/>
      <c r="L41" s="218"/>
      <c r="M41" s="218"/>
      <c r="N41" s="36" t="s">
        <v>750</v>
      </c>
      <c r="O41"/>
      <c r="P41"/>
      <c r="Z41" s="28"/>
      <c r="AA41" s="28"/>
      <c r="AB41" s="28"/>
      <c r="AC41" s="28"/>
      <c r="AD41" s="28"/>
      <c r="AE41" s="28"/>
      <c r="AF41" s="28"/>
      <c r="AG41" s="28"/>
    </row>
    <row r="42" spans="1:33" ht="15">
      <c r="A42" s="9" t="s">
        <v>289</v>
      </c>
      <c r="B42" s="218">
        <v>110835.1</v>
      </c>
      <c r="C42" s="218">
        <v>95802</v>
      </c>
      <c r="D42" s="218">
        <v>95597</v>
      </c>
      <c r="E42" s="218">
        <v>81165.7</v>
      </c>
      <c r="F42" s="218">
        <v>54599.8</v>
      </c>
      <c r="G42" s="218">
        <v>54379.4</v>
      </c>
      <c r="H42" s="218">
        <v>58881.2</v>
      </c>
      <c r="I42" s="218">
        <v>43252.2</v>
      </c>
      <c r="J42" s="218">
        <v>31786.400000000001</v>
      </c>
      <c r="K42" s="218">
        <v>26144.7</v>
      </c>
      <c r="L42" s="218">
        <v>22839.5</v>
      </c>
      <c r="M42" s="218">
        <v>19319.2</v>
      </c>
      <c r="N42" s="36" t="s">
        <v>750</v>
      </c>
      <c r="O42" t="s">
        <v>289</v>
      </c>
      <c r="P42"/>
      <c r="Z42" s="28"/>
      <c r="AA42" s="28"/>
      <c r="AB42" s="28"/>
      <c r="AC42" s="28"/>
      <c r="AD42" s="28"/>
      <c r="AE42" s="28"/>
      <c r="AF42" s="28"/>
      <c r="AG42" s="28"/>
    </row>
    <row r="43" spans="1:33" ht="15">
      <c r="A43" s="92" t="s">
        <v>765</v>
      </c>
      <c r="B43" s="219">
        <v>59494.400000000001</v>
      </c>
      <c r="C43" s="219">
        <v>44977.599999999999</v>
      </c>
      <c r="D43" s="219">
        <v>51646.2</v>
      </c>
      <c r="E43" s="219">
        <v>44975.9</v>
      </c>
      <c r="F43" s="219">
        <v>33175.300000000003</v>
      </c>
      <c r="G43" s="219">
        <v>33736.1</v>
      </c>
      <c r="H43" s="219">
        <v>36158.1</v>
      </c>
      <c r="I43" s="219">
        <v>25007.3</v>
      </c>
      <c r="J43" s="219">
        <v>15603.3</v>
      </c>
      <c r="K43" s="219">
        <v>14093.2</v>
      </c>
      <c r="L43" s="219">
        <v>10712.2</v>
      </c>
      <c r="M43" s="219">
        <v>8697.4</v>
      </c>
      <c r="N43" s="36"/>
      <c r="O43"/>
      <c r="P43"/>
      <c r="Z43" s="35"/>
      <c r="AA43" s="35"/>
      <c r="AB43" s="35"/>
      <c r="AC43" s="35"/>
      <c r="AD43" s="35"/>
      <c r="AE43" s="34"/>
      <c r="AF43" s="34"/>
      <c r="AG43" s="34"/>
    </row>
    <row r="44" spans="1:33" s="9" customFormat="1" ht="15">
      <c r="A44" s="25" t="s">
        <v>524</v>
      </c>
      <c r="B44" s="219">
        <v>40515.4</v>
      </c>
      <c r="C44" s="219">
        <v>40888.300000000003</v>
      </c>
      <c r="D44" s="219">
        <v>35681.599999999999</v>
      </c>
      <c r="E44" s="219">
        <v>27473.9</v>
      </c>
      <c r="F44" s="219">
        <v>16395.5</v>
      </c>
      <c r="G44" s="219">
        <v>17005.2</v>
      </c>
      <c r="H44" s="219">
        <v>16967.2</v>
      </c>
      <c r="I44" s="219">
        <v>4415</v>
      </c>
      <c r="J44" s="219">
        <v>5863.8</v>
      </c>
      <c r="K44" s="219">
        <v>4213.8</v>
      </c>
      <c r="L44" s="219">
        <v>4791</v>
      </c>
      <c r="M44" s="219">
        <v>4393.3999999999996</v>
      </c>
      <c r="N44" s="36" t="s">
        <v>750</v>
      </c>
      <c r="O44" t="s">
        <v>766</v>
      </c>
      <c r="P44"/>
      <c r="Q44" s="21" t="s">
        <v>751</v>
      </c>
      <c r="R44" s="9" t="s">
        <v>767</v>
      </c>
      <c r="Z44" s="37">
        <v>26132</v>
      </c>
      <c r="AA44" s="37">
        <v>26242</v>
      </c>
      <c r="AB44" s="37">
        <v>27877</v>
      </c>
      <c r="AC44" s="37">
        <v>27297</v>
      </c>
      <c r="AD44" s="37">
        <v>29415</v>
      </c>
      <c r="AE44" s="37">
        <f>93+3895+8161+3386+2410+2691+298+1967+558+5102</f>
        <v>28561</v>
      </c>
      <c r="AF44" s="37">
        <f>204+3852+5856+2880+1670+1831+281+1521+495+3430</f>
        <v>22020</v>
      </c>
      <c r="AG44" s="37">
        <f>433+3650+2993+3351+797+1217+262+888+302+5399</f>
        <v>19292</v>
      </c>
    </row>
    <row r="45" spans="1:33" s="9" customFormat="1" ht="15">
      <c r="A45" s="25" t="s">
        <v>525</v>
      </c>
      <c r="B45" s="219"/>
      <c r="C45" s="219"/>
      <c r="D45" s="219"/>
      <c r="E45" s="219"/>
      <c r="F45" s="219"/>
      <c r="G45" s="219"/>
      <c r="H45" s="219"/>
      <c r="I45" s="219"/>
      <c r="J45" s="219"/>
      <c r="K45" s="219"/>
      <c r="L45" s="219"/>
      <c r="M45" s="219"/>
      <c r="N45" s="36"/>
      <c r="O45"/>
      <c r="P45"/>
      <c r="Q45" s="21"/>
      <c r="Z45" s="37"/>
      <c r="AA45" s="37"/>
      <c r="AB45" s="37"/>
      <c r="AC45" s="37"/>
      <c r="AD45" s="37"/>
      <c r="AE45" s="37"/>
      <c r="AF45" s="37"/>
      <c r="AG45" s="37"/>
    </row>
    <row r="46" spans="1:33">
      <c r="A46" s="92" t="s">
        <v>526</v>
      </c>
      <c r="B46" s="219">
        <v>10825.4</v>
      </c>
      <c r="C46" s="219">
        <f t="shared" ref="C46:M46" si="24">C42-SUM(C43:C45)</f>
        <v>9936.1000000000058</v>
      </c>
      <c r="D46" s="219">
        <f t="shared" si="24"/>
        <v>8269.2000000000116</v>
      </c>
      <c r="E46" s="219">
        <f t="shared" si="24"/>
        <v>8715.8999999999942</v>
      </c>
      <c r="F46" s="219">
        <f>F42-SUM(F43:F45)</f>
        <v>5029</v>
      </c>
      <c r="G46" s="219">
        <f t="shared" si="24"/>
        <v>3638.0999999999985</v>
      </c>
      <c r="H46" s="219">
        <f t="shared" si="24"/>
        <v>5755.8999999999942</v>
      </c>
      <c r="I46" s="219">
        <f t="shared" si="24"/>
        <v>13829.899999999998</v>
      </c>
      <c r="J46" s="219">
        <f t="shared" si="24"/>
        <v>10319.300000000003</v>
      </c>
      <c r="K46" s="219">
        <f t="shared" si="24"/>
        <v>7837.7000000000007</v>
      </c>
      <c r="L46" s="219">
        <f t="shared" si="24"/>
        <v>7336.2999999999993</v>
      </c>
      <c r="M46" s="219">
        <f t="shared" si="24"/>
        <v>6228.4000000000015</v>
      </c>
      <c r="N46" s="36" t="s">
        <v>750</v>
      </c>
      <c r="O46"/>
      <c r="P46"/>
      <c r="R46" s="21" t="s">
        <v>768</v>
      </c>
      <c r="Z46" s="30">
        <v>7303</v>
      </c>
      <c r="AA46" s="30">
        <v>6967</v>
      </c>
      <c r="AB46" s="30">
        <v>4708</v>
      </c>
      <c r="AC46" s="30">
        <v>3679</v>
      </c>
      <c r="AD46" s="30">
        <v>5287</v>
      </c>
      <c r="AE46" s="30">
        <v>5660</v>
      </c>
      <c r="AF46" s="30">
        <v>3925</v>
      </c>
      <c r="AG46" s="30">
        <v>5701</v>
      </c>
    </row>
    <row r="47" spans="1:33" ht="15">
      <c r="A47" s="9" t="s">
        <v>527</v>
      </c>
      <c r="B47" s="218">
        <f t="shared" ref="B47:M47" si="25">B51-B42</f>
        <v>21926.399999999994</v>
      </c>
      <c r="C47" s="218">
        <f t="shared" si="25"/>
        <v>24339.399999999994</v>
      </c>
      <c r="D47" s="218">
        <f t="shared" si="25"/>
        <v>17682.5</v>
      </c>
      <c r="E47" s="218">
        <f t="shared" si="25"/>
        <v>15504</v>
      </c>
      <c r="F47" s="218">
        <f t="shared" si="25"/>
        <v>4097.3999999999942</v>
      </c>
      <c r="G47" s="218">
        <f t="shared" si="25"/>
        <v>4732.3999999999942</v>
      </c>
      <c r="H47" s="218">
        <f t="shared" si="25"/>
        <v>2407.9000000000015</v>
      </c>
      <c r="I47" s="218">
        <f t="shared" si="25"/>
        <v>1703.3000000000029</v>
      </c>
      <c r="J47" s="218">
        <f t="shared" si="25"/>
        <v>1737.2999999999956</v>
      </c>
      <c r="K47" s="218">
        <f t="shared" si="25"/>
        <v>1682.0999999999985</v>
      </c>
      <c r="L47" s="218">
        <f t="shared" si="25"/>
        <v>1757.2999999999993</v>
      </c>
      <c r="M47" s="218">
        <f t="shared" si="25"/>
        <v>1606.7999999999993</v>
      </c>
      <c r="N47" s="36" t="s">
        <v>750</v>
      </c>
      <c r="O47" t="s">
        <v>769</v>
      </c>
      <c r="P47"/>
      <c r="Z47" s="30"/>
      <c r="AA47" s="30"/>
      <c r="AB47" s="30"/>
      <c r="AC47" s="30"/>
      <c r="AD47" s="30"/>
      <c r="AE47" s="30"/>
      <c r="AF47" s="30"/>
      <c r="AG47" s="30"/>
    </row>
    <row r="48" spans="1:33">
      <c r="A48" s="25" t="s">
        <v>528</v>
      </c>
      <c r="B48" s="219">
        <v>16749.099999999999</v>
      </c>
      <c r="C48" s="219">
        <v>18916.900000000001</v>
      </c>
      <c r="D48" s="219">
        <v>12132.4</v>
      </c>
      <c r="E48" s="219">
        <v>10777.2</v>
      </c>
      <c r="F48" s="219">
        <v>1205.7</v>
      </c>
      <c r="G48" s="219">
        <v>2157.8000000000002</v>
      </c>
      <c r="H48" s="219">
        <v>423.8</v>
      </c>
      <c r="I48" s="219">
        <v>49.8</v>
      </c>
      <c r="J48" s="219">
        <v>50</v>
      </c>
      <c r="K48" s="219">
        <v>0</v>
      </c>
      <c r="L48" s="219">
        <v>0</v>
      </c>
      <c r="M48" s="219">
        <v>0</v>
      </c>
      <c r="N48" s="36" t="s">
        <v>750</v>
      </c>
      <c r="O48" t="s">
        <v>770</v>
      </c>
      <c r="P48"/>
      <c r="Z48" s="23">
        <f t="shared" ref="Z48:AG48" si="26">Z44-Z46</f>
        <v>18829</v>
      </c>
      <c r="AA48" s="23">
        <f t="shared" si="26"/>
        <v>19275</v>
      </c>
      <c r="AB48" s="23">
        <f t="shared" si="26"/>
        <v>23169</v>
      </c>
      <c r="AC48" s="23">
        <f t="shared" si="26"/>
        <v>23618</v>
      </c>
      <c r="AD48" s="23">
        <f t="shared" si="26"/>
        <v>24128</v>
      </c>
      <c r="AE48" s="23">
        <f t="shared" si="26"/>
        <v>22901</v>
      </c>
      <c r="AF48" s="23">
        <f t="shared" si="26"/>
        <v>18095</v>
      </c>
      <c r="AG48" s="23">
        <f t="shared" si="26"/>
        <v>13591</v>
      </c>
    </row>
    <row r="49" spans="1:33" s="9" customFormat="1" ht="15">
      <c r="A49" s="25" t="s">
        <v>529</v>
      </c>
      <c r="B49" s="219">
        <v>661.6</v>
      </c>
      <c r="C49" s="219">
        <v>978.7</v>
      </c>
      <c r="D49" s="219">
        <v>475.9</v>
      </c>
      <c r="E49" s="219">
        <v>495.3</v>
      </c>
      <c r="F49" s="219">
        <v>59.2</v>
      </c>
      <c r="G49" s="219">
        <v>0</v>
      </c>
      <c r="H49" s="219">
        <v>0</v>
      </c>
      <c r="I49" s="219">
        <v>0</v>
      </c>
      <c r="J49" s="219">
        <v>0</v>
      </c>
      <c r="K49" s="219">
        <v>0</v>
      </c>
      <c r="L49" s="219">
        <v>0</v>
      </c>
      <c r="M49" s="219">
        <v>0</v>
      </c>
      <c r="N49" s="36"/>
      <c r="O49"/>
      <c r="P49"/>
      <c r="Q49" s="21" t="s">
        <v>751</v>
      </c>
      <c r="R49" s="9" t="s">
        <v>771</v>
      </c>
      <c r="Z49" s="37">
        <f>61491-Z44</f>
        <v>35359</v>
      </c>
      <c r="AA49" s="37">
        <f>63457-AA44</f>
        <v>37215</v>
      </c>
      <c r="AB49" s="37">
        <f>67855-AB44</f>
        <v>39978</v>
      </c>
      <c r="AC49" s="37">
        <v>36721</v>
      </c>
      <c r="AD49" s="37">
        <v>41973</v>
      </c>
      <c r="AE49" s="37">
        <f>8415+16529+10956+3583</f>
        <v>39483</v>
      </c>
      <c r="AF49" s="37">
        <f>4505+15932+7584+2654</f>
        <v>30675</v>
      </c>
      <c r="AG49" s="37">
        <f>5652+16195+7420+2179</f>
        <v>31446</v>
      </c>
    </row>
    <row r="50" spans="1:33">
      <c r="A50" s="92" t="s">
        <v>530</v>
      </c>
      <c r="B50" s="219">
        <f t="shared" ref="B50" si="27">B47-SUM(B48:B49)</f>
        <v>4515.6999999999971</v>
      </c>
      <c r="C50" s="219">
        <f t="shared" ref="C50:M50" si="28">C47-SUM(C48:C49)</f>
        <v>4443.799999999992</v>
      </c>
      <c r="D50" s="219">
        <f t="shared" si="28"/>
        <v>5074.2000000000007</v>
      </c>
      <c r="E50" s="219">
        <f t="shared" si="28"/>
        <v>4231.5</v>
      </c>
      <c r="F50" s="219">
        <f t="shared" si="28"/>
        <v>2832.4999999999941</v>
      </c>
      <c r="G50" s="219">
        <f t="shared" si="28"/>
        <v>2574.599999999994</v>
      </c>
      <c r="H50" s="219">
        <f t="shared" si="28"/>
        <v>1984.1000000000015</v>
      </c>
      <c r="I50" s="219">
        <f t="shared" si="28"/>
        <v>1653.500000000003</v>
      </c>
      <c r="J50" s="219">
        <f t="shared" si="28"/>
        <v>1687.2999999999956</v>
      </c>
      <c r="K50" s="219">
        <f>K47-SUM(K48:K49)</f>
        <v>1682.0999999999985</v>
      </c>
      <c r="L50" s="219">
        <f t="shared" si="28"/>
        <v>1757.2999999999993</v>
      </c>
      <c r="M50" s="219">
        <f t="shared" si="28"/>
        <v>1606.7999999999993</v>
      </c>
      <c r="N50" s="36" t="s">
        <v>750</v>
      </c>
      <c r="O50" t="s">
        <v>772</v>
      </c>
      <c r="P50"/>
      <c r="R50" s="21" t="s">
        <v>773</v>
      </c>
      <c r="Z50" s="26">
        <v>22818</v>
      </c>
      <c r="AA50" s="26">
        <v>25169</v>
      </c>
      <c r="AB50" s="26">
        <v>27784</v>
      </c>
      <c r="AC50" s="26">
        <v>26719</v>
      </c>
      <c r="AD50" s="26">
        <v>27752</v>
      </c>
      <c r="AE50" s="26">
        <v>24944</v>
      </c>
      <c r="AF50" s="26">
        <v>20437</v>
      </c>
      <c r="AG50" s="26">
        <v>21847</v>
      </c>
    </row>
    <row r="51" spans="1:33" ht="15">
      <c r="A51" s="9" t="s">
        <v>40</v>
      </c>
      <c r="B51" s="218">
        <v>132761.5</v>
      </c>
      <c r="C51" s="218">
        <v>120141.4</v>
      </c>
      <c r="D51" s="218">
        <v>113279.5</v>
      </c>
      <c r="E51" s="218">
        <v>96669.7</v>
      </c>
      <c r="F51" s="218">
        <v>58697.2</v>
      </c>
      <c r="G51" s="218">
        <v>59111.799999999996</v>
      </c>
      <c r="H51" s="218">
        <v>61289.1</v>
      </c>
      <c r="I51" s="218">
        <v>44955.5</v>
      </c>
      <c r="J51" s="218">
        <v>33523.699999999997</v>
      </c>
      <c r="K51" s="218">
        <v>27826.799999999999</v>
      </c>
      <c r="L51" s="218">
        <v>24596.799999999999</v>
      </c>
      <c r="M51" s="218">
        <v>20926</v>
      </c>
      <c r="N51" s="36" t="s">
        <v>750</v>
      </c>
      <c r="O51" t="s">
        <v>40</v>
      </c>
      <c r="P51"/>
      <c r="Z51" s="26"/>
      <c r="AA51" s="26"/>
      <c r="AB51" s="26"/>
      <c r="AC51" s="26"/>
      <c r="AD51" s="26"/>
      <c r="AE51" s="26"/>
      <c r="AF51" s="26"/>
      <c r="AG51" s="26"/>
    </row>
    <row r="52" spans="1:33">
      <c r="B52" s="298"/>
      <c r="C52" s="298"/>
      <c r="D52" s="298"/>
      <c r="E52" s="298"/>
      <c r="F52" s="298"/>
      <c r="G52" s="298"/>
      <c r="H52" s="298"/>
      <c r="I52" s="298"/>
      <c r="J52" s="298"/>
      <c r="K52" s="298"/>
      <c r="L52" s="298"/>
      <c r="M52" s="298"/>
      <c r="N52" s="36" t="s">
        <v>750</v>
      </c>
      <c r="O52"/>
      <c r="P52"/>
      <c r="Z52" s="23">
        <f t="shared" ref="Z52:AG52" si="29">Z49-Z50</f>
        <v>12541</v>
      </c>
      <c r="AA52" s="23">
        <f t="shared" si="29"/>
        <v>12046</v>
      </c>
      <c r="AB52" s="23">
        <f t="shared" si="29"/>
        <v>12194</v>
      </c>
      <c r="AC52" s="23">
        <f t="shared" si="29"/>
        <v>10002</v>
      </c>
      <c r="AD52" s="23">
        <f t="shared" si="29"/>
        <v>14221</v>
      </c>
      <c r="AE52" s="23">
        <f t="shared" si="29"/>
        <v>14539</v>
      </c>
      <c r="AF52" s="23">
        <f t="shared" si="29"/>
        <v>10238</v>
      </c>
      <c r="AG52" s="23">
        <f t="shared" si="29"/>
        <v>9599</v>
      </c>
    </row>
    <row r="53" spans="1:33" s="9" customFormat="1" ht="15">
      <c r="A53" s="21"/>
      <c r="B53" s="298"/>
      <c r="C53" s="298"/>
      <c r="D53" s="298"/>
      <c r="E53" s="298"/>
      <c r="F53" s="298"/>
      <c r="G53" s="298"/>
      <c r="H53" s="298"/>
      <c r="I53" s="298"/>
      <c r="J53" s="298"/>
      <c r="K53" s="298"/>
      <c r="L53" s="298"/>
      <c r="M53" s="298"/>
      <c r="N53" s="36" t="s">
        <v>750</v>
      </c>
      <c r="O53"/>
      <c r="P53"/>
      <c r="Z53" s="34">
        <f>+Z49+Z44</f>
        <v>61491</v>
      </c>
      <c r="AA53" s="34">
        <f>+AA49+AA44</f>
        <v>63457</v>
      </c>
      <c r="AB53" s="34">
        <f>+AB49+AB44</f>
        <v>67855</v>
      </c>
      <c r="AC53" s="34">
        <f>AC44+AC49</f>
        <v>64018</v>
      </c>
      <c r="AD53" s="34">
        <f>AD49+AD44</f>
        <v>71388</v>
      </c>
      <c r="AE53" s="34">
        <f>AE49+AE44</f>
        <v>68044</v>
      </c>
      <c r="AF53" s="34">
        <f>AF49+AF44</f>
        <v>52695</v>
      </c>
      <c r="AG53" s="34">
        <f>AG49+AG44</f>
        <v>50738</v>
      </c>
    </row>
    <row r="54" spans="1:33" ht="15">
      <c r="A54" s="38" t="s">
        <v>532</v>
      </c>
      <c r="B54" s="302">
        <v>8.1999999999999993</v>
      </c>
      <c r="C54" s="302">
        <v>14.7</v>
      </c>
      <c r="D54" s="302">
        <v>4.0999999999999996</v>
      </c>
      <c r="E54" s="302">
        <v>0</v>
      </c>
      <c r="F54" s="302">
        <v>0</v>
      </c>
      <c r="G54" s="302">
        <v>163.80000000000001</v>
      </c>
      <c r="H54" s="302">
        <v>123.4</v>
      </c>
      <c r="I54" s="302">
        <v>58.8</v>
      </c>
      <c r="J54" s="302">
        <v>56</v>
      </c>
      <c r="K54" s="302">
        <v>66.599999999999994</v>
      </c>
      <c r="L54" s="302">
        <v>12.1</v>
      </c>
      <c r="M54" s="302">
        <v>129.1</v>
      </c>
      <c r="N54" s="36" t="s">
        <v>750</v>
      </c>
      <c r="O54" t="s">
        <v>532</v>
      </c>
      <c r="P54"/>
    </row>
    <row r="55" spans="1:33">
      <c r="B55" s="298"/>
      <c r="C55" s="298"/>
      <c r="D55" s="298"/>
      <c r="E55" s="298"/>
      <c r="F55" s="298"/>
      <c r="G55" s="298"/>
      <c r="H55" s="298"/>
      <c r="I55" s="298"/>
      <c r="J55" s="298"/>
      <c r="K55" s="298"/>
      <c r="L55" s="298"/>
      <c r="M55" s="298"/>
      <c r="N55" s="36" t="s">
        <v>750</v>
      </c>
      <c r="O55"/>
      <c r="P55"/>
    </row>
    <row r="56" spans="1:33" s="9" customFormat="1" ht="15">
      <c r="A56" s="9" t="s">
        <v>533</v>
      </c>
      <c r="B56" s="218">
        <f t="shared" ref="B56" si="30">B38-B51-B54</f>
        <v>68500.599999999991</v>
      </c>
      <c r="C56" s="218">
        <f t="shared" ref="C56:M56" si="31">C38-C51-C54</f>
        <v>65201.2</v>
      </c>
      <c r="D56" s="218">
        <f t="shared" si="31"/>
        <v>62124.4</v>
      </c>
      <c r="E56" s="218">
        <f>E38-E51-E54</f>
        <v>57341.8</v>
      </c>
      <c r="F56" s="218">
        <f t="shared" si="31"/>
        <v>54399.199999999997</v>
      </c>
      <c r="G56" s="218">
        <f t="shared" si="31"/>
        <v>52524.799999999996</v>
      </c>
      <c r="H56" s="218">
        <f t="shared" si="31"/>
        <v>49134.899999999994</v>
      </c>
      <c r="I56" s="218">
        <f t="shared" si="31"/>
        <v>47294.899999999994</v>
      </c>
      <c r="J56" s="218">
        <f>J38-J51-J54</f>
        <v>38330.900000000009</v>
      </c>
      <c r="K56" s="218">
        <f>K38-K51-K54</f>
        <v>33451.9</v>
      </c>
      <c r="L56" s="218">
        <f t="shared" si="31"/>
        <v>27995.900000000005</v>
      </c>
      <c r="M56" s="218">
        <f t="shared" si="31"/>
        <v>21514.300000000003</v>
      </c>
      <c r="N56" s="36" t="s">
        <v>750</v>
      </c>
      <c r="O56"/>
      <c r="P56"/>
      <c r="Q56" s="21" t="s">
        <v>751</v>
      </c>
      <c r="R56" s="9" t="s">
        <v>774</v>
      </c>
    </row>
    <row r="57" spans="1:33" ht="15">
      <c r="A57" s="9"/>
      <c r="B57" s="218"/>
      <c r="C57" s="218"/>
      <c r="D57" s="218"/>
      <c r="E57" s="218"/>
      <c r="F57" s="218"/>
      <c r="G57" s="218"/>
      <c r="H57" s="218"/>
      <c r="I57" s="218"/>
      <c r="J57" s="218"/>
      <c r="K57" s="218"/>
      <c r="L57" s="218"/>
      <c r="M57" s="218"/>
      <c r="N57" s="36"/>
      <c r="O57"/>
      <c r="P57"/>
    </row>
    <row r="58" spans="1:33" ht="15">
      <c r="A58" s="49" t="s">
        <v>775</v>
      </c>
      <c r="B58" s="218"/>
      <c r="C58" s="218"/>
      <c r="D58" s="218"/>
      <c r="E58" s="218"/>
      <c r="F58" s="218"/>
      <c r="G58" s="218"/>
      <c r="H58" s="218"/>
      <c r="I58" s="218"/>
      <c r="J58" s="218"/>
      <c r="K58" s="218"/>
      <c r="L58" s="218"/>
      <c r="M58" s="218"/>
      <c r="N58" s="36"/>
      <c r="O58"/>
      <c r="P58"/>
    </row>
    <row r="59" spans="1:33" ht="15">
      <c r="A59" s="9" t="s">
        <v>118</v>
      </c>
      <c r="B59" s="218">
        <v>16025.5</v>
      </c>
      <c r="C59" s="218">
        <v>12206</v>
      </c>
      <c r="D59" s="218">
        <v>35327.699999999997</v>
      </c>
      <c r="E59" s="218">
        <v>5602.4</v>
      </c>
      <c r="F59" s="218">
        <v>13893.4</v>
      </c>
      <c r="G59" s="218">
        <v>19413</v>
      </c>
      <c r="H59" s="218">
        <v>-1090.7</v>
      </c>
      <c r="I59" s="218">
        <v>7134.5</v>
      </c>
      <c r="J59" s="218">
        <v>10138.700000000001</v>
      </c>
      <c r="K59" s="218">
        <v>6097.5</v>
      </c>
      <c r="L59" s="218">
        <v>9087.7000000000007</v>
      </c>
      <c r="M59" s="218">
        <v>4412.7</v>
      </c>
      <c r="N59" s="36"/>
      <c r="O59"/>
      <c r="P59"/>
    </row>
    <row r="60" spans="1:33">
      <c r="A60" s="25" t="s">
        <v>57</v>
      </c>
      <c r="B60" s="219">
        <f t="shared" ref="B60:M60" si="32">B12</f>
        <v>7021.6</v>
      </c>
      <c r="C60" s="219">
        <f t="shared" si="32"/>
        <v>8266</v>
      </c>
      <c r="D60" s="219">
        <f t="shared" si="32"/>
        <v>6726.1</v>
      </c>
      <c r="E60" s="219">
        <f t="shared" si="32"/>
        <v>5362.5</v>
      </c>
      <c r="F60" s="219">
        <f t="shared" si="32"/>
        <v>4496.8999999999996</v>
      </c>
      <c r="G60" s="219">
        <f t="shared" si="32"/>
        <v>5207.3</v>
      </c>
      <c r="H60" s="219">
        <f t="shared" si="32"/>
        <v>5027</v>
      </c>
      <c r="I60" s="219">
        <f t="shared" si="32"/>
        <v>10551.2</v>
      </c>
      <c r="J60" s="219">
        <f t="shared" si="32"/>
        <v>8059.3</v>
      </c>
      <c r="K60" s="219">
        <f t="shared" si="32"/>
        <v>8041.5</v>
      </c>
      <c r="L60" s="219">
        <f t="shared" si="32"/>
        <v>8223.6</v>
      </c>
      <c r="M60" s="219">
        <f t="shared" si="32"/>
        <v>5692.4</v>
      </c>
      <c r="N60" s="36"/>
      <c r="O60"/>
      <c r="P60"/>
    </row>
    <row r="61" spans="1:33">
      <c r="A61" s="92" t="s">
        <v>49</v>
      </c>
      <c r="B61" s="219">
        <v>7673</v>
      </c>
      <c r="C61" s="219">
        <v>6520.1</v>
      </c>
      <c r="D61" s="219">
        <v>5509.1</v>
      </c>
      <c r="E61" s="219">
        <v>4759.3999999999996</v>
      </c>
      <c r="F61" s="219">
        <v>4576.5</v>
      </c>
      <c r="G61" s="219">
        <v>3804.7</v>
      </c>
      <c r="H61" s="219">
        <v>3188.5</v>
      </c>
      <c r="I61" s="219">
        <v>2551.9</v>
      </c>
      <c r="J61" s="219">
        <v>1980.9</v>
      </c>
      <c r="K61" s="219">
        <v>1683.8</v>
      </c>
      <c r="L61" s="219">
        <v>1164.5</v>
      </c>
      <c r="M61" s="219">
        <v>949.2</v>
      </c>
      <c r="N61" s="36"/>
      <c r="O61"/>
      <c r="P61"/>
    </row>
    <row r="62" spans="1:33">
      <c r="A62" s="92" t="s">
        <v>776</v>
      </c>
      <c r="B62" s="219">
        <v>3520.6</v>
      </c>
      <c r="C62" s="219">
        <v>-1909.1</v>
      </c>
      <c r="D62" s="219">
        <v>24153.599999999999</v>
      </c>
      <c r="E62" s="219">
        <v>-4137.8</v>
      </c>
      <c r="F62" s="219">
        <v>4541.3</v>
      </c>
      <c r="G62" s="219">
        <v>9624.7000000000007</v>
      </c>
      <c r="H62" s="219">
        <v>-9618.2999999999993</v>
      </c>
      <c r="I62" s="219">
        <v>-4342.2</v>
      </c>
      <c r="J62" s="219">
        <v>145.19999999999999</v>
      </c>
      <c r="K62" s="219">
        <v>-3528.6</v>
      </c>
      <c r="L62" s="219">
        <v>-291</v>
      </c>
      <c r="M62" s="219">
        <v>-2222.1999999999998</v>
      </c>
      <c r="N62" s="36"/>
      <c r="O62"/>
      <c r="P62"/>
    </row>
    <row r="63" spans="1:33">
      <c r="A63" s="92" t="s">
        <v>777</v>
      </c>
      <c r="B63" s="219">
        <f t="shared" ref="B63" si="33">B59-B60-B61-B62</f>
        <v>-2189.7000000000003</v>
      </c>
      <c r="C63" s="219">
        <f t="shared" ref="C63" si="34">C59-C60-C61-C62</f>
        <v>-671.00000000000045</v>
      </c>
      <c r="D63" s="219">
        <f>D59-D60-D61-D62</f>
        <v>-1061.0999999999985</v>
      </c>
      <c r="E63" s="219">
        <f t="shared" ref="E63:M63" si="35">E59-E60-E61-E62</f>
        <v>-381.69999999999982</v>
      </c>
      <c r="F63" s="219">
        <f t="shared" si="35"/>
        <v>278.69999999999982</v>
      </c>
      <c r="G63" s="219">
        <f t="shared" si="35"/>
        <v>776.29999999999927</v>
      </c>
      <c r="H63" s="219">
        <f t="shared" si="35"/>
        <v>312.09999999999854</v>
      </c>
      <c r="I63" s="219">
        <f t="shared" si="35"/>
        <v>-1626.4000000000005</v>
      </c>
      <c r="J63" s="219">
        <f t="shared" si="35"/>
        <v>-46.699999999999534</v>
      </c>
      <c r="K63" s="219">
        <f t="shared" si="35"/>
        <v>-99.200000000000273</v>
      </c>
      <c r="L63" s="219">
        <f t="shared" si="35"/>
        <v>-9.3999999999996362</v>
      </c>
      <c r="M63" s="219">
        <f t="shared" si="35"/>
        <v>-6.6999999999998181</v>
      </c>
      <c r="N63" s="36"/>
      <c r="O63"/>
      <c r="P63"/>
    </row>
    <row r="64" spans="1:33" ht="15">
      <c r="A64" s="9" t="s">
        <v>119</v>
      </c>
      <c r="B64" s="218">
        <v>-11619.4</v>
      </c>
      <c r="C64" s="218">
        <v>-10983.9</v>
      </c>
      <c r="D64" s="218">
        <v>-11726.6</v>
      </c>
      <c r="E64" s="218">
        <v>-12254</v>
      </c>
      <c r="F64" s="218">
        <v>-15905.9</v>
      </c>
      <c r="G64" s="218">
        <v>-10246.1</v>
      </c>
      <c r="H64" s="218">
        <f>3192.5</f>
        <v>3192.5</v>
      </c>
      <c r="I64" s="218">
        <v>-8404.2999999999993</v>
      </c>
      <c r="J64" s="218">
        <v>-6626</v>
      </c>
      <c r="K64" s="218">
        <v>-7222.8</v>
      </c>
      <c r="L64" s="218">
        <v>-6739.5</v>
      </c>
      <c r="M64" s="218">
        <v>-3956.7</v>
      </c>
      <c r="N64" s="36"/>
      <c r="O64"/>
      <c r="P64"/>
    </row>
    <row r="65" spans="1:16">
      <c r="A65" s="92" t="s">
        <v>120</v>
      </c>
      <c r="B65" s="219">
        <v>-16229.1</v>
      </c>
      <c r="C65" s="219">
        <v>-15859.3</v>
      </c>
      <c r="D65" s="219">
        <v>-12473</v>
      </c>
      <c r="E65" s="219">
        <v>-7779.9</v>
      </c>
      <c r="F65" s="219">
        <v>-6785.1</v>
      </c>
      <c r="G65" s="219">
        <v>-6246.7</v>
      </c>
      <c r="H65" s="219">
        <v>-5757.3</v>
      </c>
      <c r="I65" s="219">
        <v>-6678.6</v>
      </c>
      <c r="J65" s="219">
        <v>-5838.4</v>
      </c>
      <c r="K65" s="219">
        <v>-7222.9</v>
      </c>
      <c r="L65" s="219">
        <v>-7057.5</v>
      </c>
      <c r="M65" s="219">
        <v>-4265.5</v>
      </c>
      <c r="N65" s="36"/>
      <c r="O65"/>
      <c r="P65"/>
    </row>
    <row r="66" spans="1:16">
      <c r="A66" s="92" t="s">
        <v>121</v>
      </c>
      <c r="B66" s="219"/>
      <c r="C66" s="219"/>
      <c r="D66" s="219"/>
      <c r="E66" s="219"/>
      <c r="F66" s="219">
        <v>-4818.3</v>
      </c>
      <c r="G66" s="219">
        <v>69.099999999999994</v>
      </c>
      <c r="H66" s="219"/>
      <c r="I66" s="219">
        <v>-12.1</v>
      </c>
      <c r="J66" s="219"/>
      <c r="K66" s="219"/>
      <c r="L66" s="219"/>
      <c r="M66" s="219"/>
      <c r="N66" s="36"/>
      <c r="O66"/>
      <c r="P66"/>
    </row>
    <row r="67" spans="1:16">
      <c r="A67" s="92" t="s">
        <v>778</v>
      </c>
      <c r="B67" s="219">
        <f>B64-B65-B66</f>
        <v>4609.7000000000007</v>
      </c>
      <c r="C67" s="219">
        <f>C64-C65-C66</f>
        <v>4875.3999999999996</v>
      </c>
      <c r="D67" s="219">
        <f>D64-D65-D66</f>
        <v>746.39999999999964</v>
      </c>
      <c r="E67" s="219">
        <f t="shared" ref="E67" si="36">E64-E65-E66</f>
        <v>-4474.1000000000004</v>
      </c>
      <c r="F67" s="219">
        <f t="shared" ref="F67:M67" si="37">F64-F65-F66</f>
        <v>-4302.4999999999991</v>
      </c>
      <c r="G67" s="219">
        <f t="shared" si="37"/>
        <v>-4068.5000000000005</v>
      </c>
      <c r="H67" s="219">
        <f t="shared" si="37"/>
        <v>8949.7999999999993</v>
      </c>
      <c r="I67" s="219">
        <f t="shared" si="37"/>
        <v>-1713.599999999999</v>
      </c>
      <c r="J67" s="219">
        <f t="shared" si="37"/>
        <v>-787.60000000000036</v>
      </c>
      <c r="K67" s="219">
        <f t="shared" si="37"/>
        <v>9.9999999999454303E-2</v>
      </c>
      <c r="L67" s="219">
        <f t="shared" si="37"/>
        <v>318</v>
      </c>
      <c r="M67" s="219">
        <f t="shared" si="37"/>
        <v>308.80000000000018</v>
      </c>
      <c r="N67" s="686">
        <f>AVERAGE(B67:M67)</f>
        <v>371.82499999999999</v>
      </c>
      <c r="O67"/>
      <c r="P67"/>
    </row>
    <row r="68" spans="1:16" ht="15">
      <c r="A68" s="9" t="s">
        <v>122</v>
      </c>
      <c r="B68" s="218">
        <v>3949</v>
      </c>
      <c r="C68" s="218">
        <v>-2548.6999999999998</v>
      </c>
      <c r="D68" s="218">
        <v>-9092.2000000000007</v>
      </c>
      <c r="E68" s="218">
        <v>11612.1</v>
      </c>
      <c r="F68" s="218">
        <v>4127.1000000000004</v>
      </c>
      <c r="G68" s="218">
        <v>-6010.3</v>
      </c>
      <c r="H68" s="218">
        <v>6240.2</v>
      </c>
      <c r="I68" s="218">
        <v>621.4</v>
      </c>
      <c r="J68" s="218">
        <v>-4107.8999999999996</v>
      </c>
      <c r="K68" s="218">
        <v>-1298</v>
      </c>
      <c r="L68" s="218">
        <v>-2410.1999999999998</v>
      </c>
      <c r="M68" s="218">
        <v>-1159</v>
      </c>
      <c r="N68" s="36"/>
      <c r="O68"/>
      <c r="P68"/>
    </row>
    <row r="69" spans="1:16">
      <c r="A69" s="92" t="s">
        <v>779</v>
      </c>
      <c r="B69" s="219">
        <v>526.20000000000005</v>
      </c>
      <c r="C69" s="219">
        <v>8925.2000000000007</v>
      </c>
      <c r="D69" s="219">
        <v>-92.2</v>
      </c>
      <c r="E69" s="219">
        <v>13816.7</v>
      </c>
      <c r="F69" s="219">
        <v>6685.9</v>
      </c>
      <c r="G69" s="219">
        <v>-4378.5</v>
      </c>
      <c r="H69" s="219">
        <v>10111.700000000001</v>
      </c>
      <c r="I69" s="219">
        <v>-300.2</v>
      </c>
      <c r="J69" s="219">
        <v>-30.6</v>
      </c>
      <c r="K69" s="219">
        <v>-13.5</v>
      </c>
      <c r="L69" s="219">
        <v>182.2</v>
      </c>
      <c r="M69" s="219">
        <v>1</v>
      </c>
      <c r="N69" s="36"/>
      <c r="O69"/>
      <c r="P69"/>
    </row>
    <row r="70" spans="1:16">
      <c r="A70" s="92" t="s">
        <v>780</v>
      </c>
      <c r="B70" s="219"/>
      <c r="C70" s="219"/>
      <c r="D70" s="219"/>
      <c r="E70" s="219"/>
      <c r="F70" s="219"/>
      <c r="G70" s="219"/>
      <c r="H70" s="219"/>
      <c r="I70" s="219"/>
      <c r="J70" s="219"/>
      <c r="K70" s="219"/>
      <c r="L70" s="219"/>
      <c r="M70" s="219"/>
      <c r="N70" s="36"/>
      <c r="O70"/>
      <c r="P70"/>
    </row>
    <row r="71" spans="1:16">
      <c r="A71" s="92" t="s">
        <v>781</v>
      </c>
      <c r="B71" s="219"/>
      <c r="C71" s="219"/>
      <c r="D71" s="219"/>
      <c r="E71" s="219"/>
      <c r="F71" s="219"/>
      <c r="G71" s="219"/>
      <c r="H71" s="219"/>
      <c r="I71" s="219"/>
      <c r="J71" s="219"/>
      <c r="K71" s="219"/>
      <c r="L71" s="219"/>
      <c r="M71" s="219"/>
      <c r="N71" s="36"/>
      <c r="O71"/>
      <c r="P71"/>
    </row>
    <row r="72" spans="1:16">
      <c r="A72" s="92" t="s">
        <v>782</v>
      </c>
      <c r="B72" s="219"/>
      <c r="C72" s="219"/>
      <c r="D72" s="219"/>
      <c r="E72" s="219"/>
      <c r="F72" s="219"/>
      <c r="G72" s="219"/>
      <c r="H72" s="219"/>
      <c r="I72" s="219"/>
      <c r="J72" s="219"/>
      <c r="K72" s="219"/>
      <c r="L72" s="219"/>
      <c r="M72" s="219"/>
      <c r="N72" s="36"/>
      <c r="O72"/>
      <c r="P72"/>
    </row>
    <row r="73" spans="1:16">
      <c r="A73" s="92" t="s">
        <v>123</v>
      </c>
      <c r="B73" s="219">
        <v>-641.6</v>
      </c>
      <c r="C73" s="219">
        <v>-641.6</v>
      </c>
      <c r="D73" s="219">
        <v>-5338.1</v>
      </c>
      <c r="E73" s="219">
        <v>-2293.8000000000002</v>
      </c>
      <c r="F73" s="219">
        <v>-2646.9</v>
      </c>
      <c r="G73" s="219">
        <v>-1551.6</v>
      </c>
      <c r="H73" s="295">
        <v>-3194.5</v>
      </c>
      <c r="I73" s="219">
        <v>0</v>
      </c>
      <c r="J73" s="295">
        <v>-3194.7</v>
      </c>
      <c r="K73" s="219">
        <v>-2494.6</v>
      </c>
      <c r="L73" s="219">
        <v>-1734.2</v>
      </c>
      <c r="M73" s="219">
        <v>-972.3</v>
      </c>
      <c r="N73" s="33" t="s">
        <v>783</v>
      </c>
      <c r="O73" t="s">
        <v>784</v>
      </c>
      <c r="P73"/>
    </row>
    <row r="74" spans="1:16">
      <c r="A74" s="92" t="s">
        <v>515</v>
      </c>
      <c r="B74" s="219">
        <v>-681.6</v>
      </c>
      <c r="C74" s="219">
        <v>-357.3</v>
      </c>
      <c r="D74" s="219">
        <v>-807.3</v>
      </c>
      <c r="E74" s="219">
        <v>-215.5</v>
      </c>
      <c r="F74" s="219">
        <v>-20</v>
      </c>
      <c r="G74" s="219">
        <v>0</v>
      </c>
      <c r="H74" s="295">
        <v>65</v>
      </c>
      <c r="I74" s="219">
        <v>0</v>
      </c>
      <c r="J74" s="295">
        <v>0</v>
      </c>
      <c r="K74" s="219">
        <v>55</v>
      </c>
      <c r="L74" s="219">
        <v>0</v>
      </c>
      <c r="M74" s="219">
        <v>0</v>
      </c>
      <c r="N74" s="33" t="s">
        <v>783</v>
      </c>
      <c r="O74" t="str">
        <f>+A74</f>
        <v>Share buyback</v>
      </c>
      <c r="P74"/>
    </row>
    <row r="75" spans="1:16">
      <c r="A75" s="92" t="s">
        <v>785</v>
      </c>
      <c r="B75" s="219">
        <f t="shared" ref="B75" si="38">B68-B69-B70-B71-B72-B73-B74</f>
        <v>4746</v>
      </c>
      <c r="C75" s="219">
        <f t="shared" ref="C75:M75" si="39">C68-C69-C70-C71-C72-C73-C74</f>
        <v>-10475.000000000002</v>
      </c>
      <c r="D75" s="219">
        <f t="shared" si="39"/>
        <v>-2854.5999999999995</v>
      </c>
      <c r="E75" s="219">
        <f t="shared" si="39"/>
        <v>304.69999999999982</v>
      </c>
      <c r="F75" s="219">
        <f t="shared" si="39"/>
        <v>108.10000000000082</v>
      </c>
      <c r="G75" s="219">
        <f t="shared" si="39"/>
        <v>-80.200000000000273</v>
      </c>
      <c r="H75" s="219">
        <f t="shared" si="39"/>
        <v>-742.00000000000091</v>
      </c>
      <c r="I75" s="219">
        <f t="shared" si="39"/>
        <v>921.59999999999991</v>
      </c>
      <c r="J75" s="219">
        <f t="shared" si="39"/>
        <v>-882.59999999999991</v>
      </c>
      <c r="K75" s="219">
        <f t="shared" si="39"/>
        <v>1155.0999999999999</v>
      </c>
      <c r="L75" s="219">
        <f t="shared" si="39"/>
        <v>-858.19999999999959</v>
      </c>
      <c r="M75" s="219">
        <f t="shared" si="39"/>
        <v>-187.70000000000005</v>
      </c>
      <c r="N75" s="36"/>
      <c r="O75"/>
      <c r="P75"/>
    </row>
    <row r="76" spans="1:16" ht="15">
      <c r="A76" s="9" t="s">
        <v>126</v>
      </c>
      <c r="B76" s="218">
        <v>18.399999999999999</v>
      </c>
      <c r="C76" s="218">
        <v>317.39999999999998</v>
      </c>
      <c r="D76" s="218">
        <v>-192.5</v>
      </c>
      <c r="E76" s="218">
        <v>-146.19999999999999</v>
      </c>
      <c r="F76" s="218">
        <v>48.1</v>
      </c>
      <c r="G76" s="218">
        <v>-386</v>
      </c>
      <c r="H76" s="218">
        <v>-4.7</v>
      </c>
      <c r="I76" s="218">
        <v>81.900000000000006</v>
      </c>
      <c r="J76" s="218">
        <v>-27.9</v>
      </c>
      <c r="K76" s="218">
        <v>-17.8</v>
      </c>
      <c r="L76" s="218">
        <v>10.9</v>
      </c>
      <c r="M76" s="218">
        <v>-7.7</v>
      </c>
      <c r="N76" s="36"/>
      <c r="O76"/>
      <c r="P76"/>
    </row>
    <row r="77" spans="1:16" ht="15">
      <c r="A77" s="9" t="s">
        <v>534</v>
      </c>
      <c r="B77" s="218">
        <f t="shared" ref="B77" si="40">B59+B64+B68+B76</f>
        <v>8373.5</v>
      </c>
      <c r="C77" s="218">
        <f t="shared" ref="C77:M77" si="41">C59+C64+C68+C76</f>
        <v>-1009.1999999999995</v>
      </c>
      <c r="D77" s="218">
        <f t="shared" si="41"/>
        <v>14316.399999999998</v>
      </c>
      <c r="E77" s="218">
        <f t="shared" si="41"/>
        <v>4814.3</v>
      </c>
      <c r="F77" s="218">
        <f t="shared" si="41"/>
        <v>2162.7000000000003</v>
      </c>
      <c r="G77" s="218">
        <f t="shared" si="41"/>
        <v>2770.5999999999995</v>
      </c>
      <c r="H77" s="218">
        <f t="shared" si="41"/>
        <v>8337.2999999999993</v>
      </c>
      <c r="I77" s="218">
        <f t="shared" si="41"/>
        <v>-566.49999999999932</v>
      </c>
      <c r="J77" s="218">
        <f t="shared" si="41"/>
        <v>-623.09999999999889</v>
      </c>
      <c r="K77" s="218">
        <f t="shared" si="41"/>
        <v>-2441.1000000000004</v>
      </c>
      <c r="L77" s="218">
        <f t="shared" si="41"/>
        <v>-51.099999999999092</v>
      </c>
      <c r="M77" s="218">
        <f t="shared" si="41"/>
        <v>-710.7</v>
      </c>
      <c r="N77" s="36"/>
      <c r="O77"/>
      <c r="P77"/>
    </row>
    <row r="78" spans="1:16">
      <c r="M78" s="23"/>
      <c r="N78"/>
      <c r="O78" t="s">
        <v>786</v>
      </c>
      <c r="P78"/>
    </row>
    <row r="79" spans="1:16" ht="15">
      <c r="A79" s="49" t="s">
        <v>787</v>
      </c>
      <c r="B79" s="49"/>
      <c r="C79" s="49"/>
      <c r="D79" s="49"/>
      <c r="E79" s="1079" t="s">
        <v>542</v>
      </c>
      <c r="F79" s="1079"/>
      <c r="G79" s="1079"/>
      <c r="H79" s="1079" t="s">
        <v>788</v>
      </c>
      <c r="I79" s="1079"/>
      <c r="J79" s="49" t="s">
        <v>544</v>
      </c>
      <c r="K79" s="49" t="s">
        <v>545</v>
      </c>
      <c r="L79" s="49" t="s">
        <v>546</v>
      </c>
      <c r="M79" s="34"/>
      <c r="N79"/>
      <c r="O79"/>
      <c r="P79"/>
    </row>
    <row r="80" spans="1:16">
      <c r="A80" s="25" t="s">
        <v>789</v>
      </c>
      <c r="B80" s="26">
        <v>81902</v>
      </c>
      <c r="C80" s="39" t="s">
        <v>790</v>
      </c>
      <c r="D80" s="23"/>
      <c r="E80" s="1080"/>
      <c r="F80" s="1080"/>
      <c r="G80" s="1080"/>
      <c r="H80" s="1081"/>
      <c r="I80" s="1081"/>
      <c r="J80" s="65"/>
      <c r="K80" s="64"/>
      <c r="L80" s="64"/>
      <c r="M80" s="23"/>
      <c r="N80" s="39" t="s">
        <v>791</v>
      </c>
      <c r="O80"/>
      <c r="P80"/>
    </row>
    <row r="81" spans="1:16">
      <c r="A81" s="25" t="s">
        <v>792</v>
      </c>
      <c r="B81" s="26">
        <v>2318800000</v>
      </c>
      <c r="C81" s="39" t="s">
        <v>793</v>
      </c>
      <c r="D81" s="23"/>
      <c r="E81" s="1080"/>
      <c r="F81" s="1080"/>
      <c r="G81" s="1080"/>
      <c r="H81" s="1081"/>
      <c r="I81" s="1081"/>
      <c r="J81" s="65"/>
      <c r="K81" s="64"/>
      <c r="L81" s="64"/>
      <c r="M81" s="23"/>
      <c r="N81" s="39" t="s">
        <v>791</v>
      </c>
      <c r="O81"/>
      <c r="P81"/>
    </row>
    <row r="82" spans="1:16">
      <c r="A82" s="25" t="s">
        <v>38</v>
      </c>
      <c r="B82" s="544">
        <f>2280800000/B81</f>
        <v>0.98361221321373127</v>
      </c>
      <c r="C82" s="39" t="s">
        <v>793</v>
      </c>
      <c r="D82" s="66"/>
      <c r="E82" s="1080"/>
      <c r="F82" s="1080"/>
      <c r="G82" s="1080"/>
      <c r="H82" s="1081"/>
      <c r="I82" s="1081"/>
      <c r="J82" s="65"/>
      <c r="K82" s="64"/>
      <c r="L82" s="64"/>
      <c r="M82" s="68"/>
      <c r="N82" s="39" t="s">
        <v>791</v>
      </c>
      <c r="O82"/>
      <c r="P82"/>
    </row>
    <row r="83" spans="1:16">
      <c r="A83" s="25" t="s">
        <v>42</v>
      </c>
      <c r="B83" s="545"/>
      <c r="C83" s="39" t="s">
        <v>793</v>
      </c>
      <c r="D83" s="67"/>
      <c r="E83" s="1080"/>
      <c r="F83" s="1080"/>
      <c r="G83" s="1080"/>
      <c r="H83" s="1081"/>
      <c r="I83" s="1081"/>
      <c r="J83" s="65"/>
      <c r="K83" s="64"/>
      <c r="L83" s="64"/>
      <c r="M83" s="68"/>
      <c r="N83" s="39" t="s">
        <v>791</v>
      </c>
      <c r="O83"/>
      <c r="P83"/>
    </row>
    <row r="84" spans="1:16">
      <c r="A84" s="25" t="s">
        <v>538</v>
      </c>
      <c r="B84" s="26"/>
      <c r="C84" s="39" t="s">
        <v>790</v>
      </c>
      <c r="D84" s="23"/>
      <c r="E84" s="1080"/>
      <c r="F84" s="1080"/>
      <c r="G84" s="1080"/>
      <c r="H84" s="1081"/>
      <c r="I84" s="1081"/>
      <c r="J84" s="65"/>
      <c r="K84" s="64"/>
      <c r="L84" s="64"/>
      <c r="M84" s="23"/>
      <c r="N84" s="39" t="s">
        <v>791</v>
      </c>
      <c r="O84"/>
      <c r="P84"/>
    </row>
    <row r="85" spans="1:16">
      <c r="A85" s="25" t="s">
        <v>794</v>
      </c>
      <c r="B85" s="546"/>
      <c r="C85" s="39" t="s">
        <v>793</v>
      </c>
      <c r="D85" s="23"/>
      <c r="E85" s="1080"/>
      <c r="F85" s="1080"/>
      <c r="G85" s="1080"/>
      <c r="H85" s="1081"/>
      <c r="I85" s="1081"/>
      <c r="J85" s="64"/>
      <c r="K85" s="64"/>
      <c r="L85" s="64"/>
      <c r="M85" s="23"/>
      <c r="N85" s="39" t="s">
        <v>791</v>
      </c>
      <c r="O85"/>
    </row>
    <row r="86" spans="1:16">
      <c r="A86" s="25" t="s">
        <v>540</v>
      </c>
      <c r="B86" s="26"/>
      <c r="C86" s="39" t="s">
        <v>795</v>
      </c>
      <c r="D86" s="23"/>
      <c r="E86" s="1080"/>
      <c r="F86" s="1080"/>
      <c r="G86" s="1080"/>
      <c r="H86" s="1081"/>
      <c r="I86" s="1081"/>
      <c r="J86" s="64"/>
      <c r="K86" s="64"/>
      <c r="L86" s="64"/>
      <c r="M86" s="23"/>
      <c r="N86" s="39" t="s">
        <v>791</v>
      </c>
    </row>
    <row r="87" spans="1:16" ht="15">
      <c r="B87" s="49">
        <f>B5</f>
        <v>2023</v>
      </c>
      <c r="C87" s="49">
        <f t="shared" ref="C87:D87" si="42">C5</f>
        <v>2022</v>
      </c>
      <c r="D87" s="49">
        <f t="shared" si="42"/>
        <v>2021</v>
      </c>
      <c r="E87" s="40"/>
      <c r="G87" s="40"/>
      <c r="H87" s="40"/>
      <c r="I87" s="40"/>
      <c r="J87" s="40"/>
      <c r="K87" s="40"/>
      <c r="L87" s="40"/>
      <c r="M87" s="40"/>
      <c r="N87"/>
    </row>
    <row r="88" spans="1:16">
      <c r="A88" s="25" t="s">
        <v>541</v>
      </c>
      <c r="E88" s="39" t="s">
        <v>795</v>
      </c>
      <c r="K88" s="21"/>
      <c r="L88" s="21"/>
      <c r="O88"/>
      <c r="P88"/>
    </row>
    <row r="89" spans="1:16" ht="15">
      <c r="A89" s="25" t="s">
        <v>62</v>
      </c>
      <c r="B89" s="63"/>
      <c r="C89" s="63"/>
      <c r="D89" s="63"/>
      <c r="E89" s="39" t="s">
        <v>795</v>
      </c>
      <c r="K89" s="21"/>
      <c r="L89" s="21"/>
      <c r="O89" s="49"/>
    </row>
    <row r="90" spans="1:16" ht="15">
      <c r="M90"/>
      <c r="N90" s="91"/>
      <c r="O90" s="49"/>
    </row>
    <row r="91" spans="1:16">
      <c r="J91" s="23"/>
      <c r="L91"/>
      <c r="M91"/>
      <c r="N91"/>
    </row>
    <row r="92" spans="1:16">
      <c r="J92" s="23"/>
      <c r="L92"/>
      <c r="M92"/>
      <c r="N92"/>
    </row>
    <row r="93" spans="1:16">
      <c r="J93" s="23"/>
      <c r="L93"/>
      <c r="M93"/>
      <c r="N93"/>
    </row>
    <row r="94" spans="1:16">
      <c r="J94" s="23"/>
      <c r="L94"/>
      <c r="M94"/>
      <c r="N94"/>
    </row>
    <row r="95" spans="1:16">
      <c r="J95" s="23"/>
      <c r="L95"/>
      <c r="M95"/>
      <c r="N95"/>
    </row>
    <row r="96" spans="1:16">
      <c r="J96" s="23"/>
      <c r="L96"/>
      <c r="M96"/>
      <c r="N96"/>
      <c r="O96"/>
    </row>
    <row r="97" spans="1:14">
      <c r="J97" s="23"/>
      <c r="L97"/>
      <c r="M97"/>
      <c r="N97"/>
    </row>
    <row r="98" spans="1:14">
      <c r="G98"/>
      <c r="M98"/>
      <c r="N98"/>
    </row>
    <row r="99" spans="1:14">
      <c r="A99"/>
      <c r="B99"/>
      <c r="C99"/>
      <c r="D99"/>
      <c r="E99"/>
      <c r="F99"/>
      <c r="G99"/>
    </row>
    <row r="100" spans="1:14">
      <c r="A100"/>
      <c r="B100"/>
      <c r="C100"/>
      <c r="D100"/>
      <c r="E100"/>
      <c r="F100"/>
      <c r="G100"/>
    </row>
  </sheetData>
  <mergeCells count="19">
    <mergeCell ref="E85:G85"/>
    <mergeCell ref="E86:G86"/>
    <mergeCell ref="H80:I80"/>
    <mergeCell ref="H81:I81"/>
    <mergeCell ref="H82:I82"/>
    <mergeCell ref="H83:I83"/>
    <mergeCell ref="H84:I84"/>
    <mergeCell ref="H85:I85"/>
    <mergeCell ref="H86:I86"/>
    <mergeCell ref="E80:G80"/>
    <mergeCell ref="E81:G81"/>
    <mergeCell ref="E82:G82"/>
    <mergeCell ref="E83:G83"/>
    <mergeCell ref="E84:G84"/>
    <mergeCell ref="C2:F2"/>
    <mergeCell ref="R5:S5"/>
    <mergeCell ref="H79:I79"/>
    <mergeCell ref="E79:G79"/>
    <mergeCell ref="B4:G4"/>
  </mergeCells>
  <pageMargins left="0.75" right="0.75" top="1" bottom="1" header="0" footer="0"/>
  <pageSetup orientation="portrait" horizontalDpi="4294967292"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37"/>
  <sheetViews>
    <sheetView zoomScale="86" zoomScaleNormal="70" workbookViewId="0">
      <selection activeCell="A4" sqref="A4:M1048576"/>
    </sheetView>
  </sheetViews>
  <sheetFormatPr defaultColWidth="8.85546875" defaultRowHeight="12.75"/>
  <cols>
    <col min="1" max="13" width="8.7109375" style="1084"/>
    <col min="14" max="14" width="1.42578125" style="658" customWidth="1"/>
    <col min="15" max="15" width="8.7109375" customWidth="1"/>
    <col min="16" max="16" width="7" customWidth="1"/>
    <col min="17" max="17" width="15.85546875" customWidth="1"/>
    <col min="18" max="18" width="14" customWidth="1"/>
    <col min="19" max="19" width="11.42578125" customWidth="1"/>
    <col min="20" max="20" width="31.5703125" customWidth="1"/>
    <col min="21" max="21" width="15.85546875" customWidth="1"/>
    <col min="22" max="22" width="9.28515625" customWidth="1"/>
  </cols>
  <sheetData>
    <row r="1" spans="1:22">
      <c r="A1"/>
      <c r="B1"/>
      <c r="C1"/>
      <c r="D1"/>
      <c r="E1"/>
      <c r="F1"/>
      <c r="G1"/>
      <c r="H1"/>
      <c r="I1"/>
      <c r="J1"/>
      <c r="K1"/>
      <c r="L1"/>
      <c r="M1"/>
    </row>
    <row r="2" spans="1:22">
      <c r="A2" s="1082" t="s">
        <v>796</v>
      </c>
      <c r="B2" s="1082"/>
      <c r="C2" s="1082"/>
      <c r="D2" s="1082"/>
      <c r="E2" s="1082"/>
      <c r="F2" s="1082"/>
      <c r="G2" s="1082"/>
      <c r="H2" s="1082"/>
      <c r="I2" s="1082"/>
      <c r="J2" s="1082"/>
      <c r="K2" s="1082"/>
      <c r="L2" s="1082"/>
      <c r="M2" s="1082"/>
    </row>
    <row r="3" spans="1:22">
      <c r="A3" s="657"/>
      <c r="B3"/>
      <c r="C3"/>
      <c r="D3"/>
      <c r="E3"/>
      <c r="F3"/>
      <c r="G3"/>
      <c r="H3"/>
      <c r="I3"/>
      <c r="J3"/>
      <c r="K3"/>
      <c r="L3"/>
      <c r="M3"/>
    </row>
    <row r="4" spans="1:22">
      <c r="A4" s="1083" t="s">
        <v>797</v>
      </c>
      <c r="P4" t="s">
        <v>798</v>
      </c>
      <c r="S4" s="10" t="s">
        <v>799</v>
      </c>
      <c r="T4" s="657" t="s">
        <v>800</v>
      </c>
    </row>
    <row r="6" spans="1:22">
      <c r="P6" t="s">
        <v>801</v>
      </c>
      <c r="Q6" t="s">
        <v>714</v>
      </c>
      <c r="R6" t="s">
        <v>802</v>
      </c>
      <c r="S6" t="s">
        <v>803</v>
      </c>
      <c r="T6" t="s">
        <v>547</v>
      </c>
      <c r="U6" t="s">
        <v>191</v>
      </c>
      <c r="V6" t="s">
        <v>804</v>
      </c>
    </row>
    <row r="7" spans="1:22">
      <c r="P7" s="663">
        <v>1</v>
      </c>
      <c r="Q7" t="s">
        <v>805</v>
      </c>
      <c r="R7" t="s">
        <v>806</v>
      </c>
      <c r="S7" t="s">
        <v>807</v>
      </c>
      <c r="T7" t="s">
        <v>808</v>
      </c>
      <c r="U7" t="s">
        <v>809</v>
      </c>
    </row>
    <row r="8" spans="1:22">
      <c r="P8" s="663">
        <v>2</v>
      </c>
      <c r="Q8" t="s">
        <v>810</v>
      </c>
      <c r="R8" t="s">
        <v>811</v>
      </c>
      <c r="S8" t="s">
        <v>812</v>
      </c>
      <c r="T8" t="s">
        <v>813</v>
      </c>
      <c r="U8" t="s">
        <v>814</v>
      </c>
    </row>
    <row r="9" spans="1:22">
      <c r="P9" s="663">
        <v>3</v>
      </c>
      <c r="Q9" t="s">
        <v>815</v>
      </c>
      <c r="R9" t="s">
        <v>816</v>
      </c>
      <c r="S9" t="s">
        <v>172</v>
      </c>
      <c r="T9" t="s">
        <v>817</v>
      </c>
      <c r="U9" t="s">
        <v>818</v>
      </c>
    </row>
    <row r="10" spans="1:22">
      <c r="P10" s="663">
        <v>4</v>
      </c>
      <c r="Q10" t="s">
        <v>819</v>
      </c>
      <c r="R10" t="s">
        <v>820</v>
      </c>
      <c r="S10" t="s">
        <v>821</v>
      </c>
      <c r="T10" t="s">
        <v>822</v>
      </c>
      <c r="U10" t="s">
        <v>823</v>
      </c>
    </row>
    <row r="11" spans="1:22">
      <c r="P11" s="663">
        <v>5</v>
      </c>
      <c r="Q11" t="s">
        <v>824</v>
      </c>
      <c r="R11" t="s">
        <v>825</v>
      </c>
      <c r="S11" t="s">
        <v>826</v>
      </c>
      <c r="T11" t="s">
        <v>827</v>
      </c>
      <c r="U11" t="s">
        <v>828</v>
      </c>
    </row>
    <row r="12" spans="1:22">
      <c r="P12" s="663">
        <v>6</v>
      </c>
      <c r="Q12" t="s">
        <v>829</v>
      </c>
      <c r="R12" t="s">
        <v>830</v>
      </c>
      <c r="S12" t="s">
        <v>826</v>
      </c>
      <c r="T12" t="s">
        <v>827</v>
      </c>
      <c r="U12" t="s">
        <v>828</v>
      </c>
    </row>
    <row r="13" spans="1:22">
      <c r="P13" s="663">
        <v>7</v>
      </c>
      <c r="Q13" t="s">
        <v>831</v>
      </c>
      <c r="R13" t="s">
        <v>832</v>
      </c>
      <c r="S13" t="s">
        <v>826</v>
      </c>
      <c r="T13" t="s">
        <v>827</v>
      </c>
      <c r="U13" t="s">
        <v>828</v>
      </c>
    </row>
    <row r="14" spans="1:22">
      <c r="P14" s="663">
        <v>8</v>
      </c>
      <c r="Q14" t="s">
        <v>833</v>
      </c>
      <c r="R14" t="s">
        <v>834</v>
      </c>
      <c r="S14" t="s">
        <v>826</v>
      </c>
      <c r="T14" t="s">
        <v>827</v>
      </c>
      <c r="U14" t="s">
        <v>828</v>
      </c>
    </row>
    <row r="15" spans="1:22">
      <c r="P15" s="663">
        <v>9</v>
      </c>
      <c r="Q15" t="s">
        <v>835</v>
      </c>
      <c r="R15" t="s">
        <v>836</v>
      </c>
      <c r="S15" t="s">
        <v>837</v>
      </c>
      <c r="T15" t="s">
        <v>838</v>
      </c>
      <c r="U15" t="s">
        <v>839</v>
      </c>
    </row>
    <row r="16" spans="1:22" hidden="1">
      <c r="P16" s="663"/>
      <c r="Q16" t="s">
        <v>840</v>
      </c>
      <c r="R16" t="s">
        <v>840</v>
      </c>
      <c r="S16" t="s">
        <v>840</v>
      </c>
      <c r="T16" t="s">
        <v>840</v>
      </c>
      <c r="U16" t="s">
        <v>840</v>
      </c>
      <c r="V16" t="s">
        <v>840</v>
      </c>
    </row>
    <row r="17" spans="16:21">
      <c r="P17" s="663">
        <v>10</v>
      </c>
      <c r="Q17" t="s">
        <v>841</v>
      </c>
      <c r="R17" t="s">
        <v>842</v>
      </c>
      <c r="S17" t="s">
        <v>812</v>
      </c>
      <c r="T17" t="s">
        <v>813</v>
      </c>
      <c r="U17" t="s">
        <v>814</v>
      </c>
    </row>
    <row r="18" spans="16:21">
      <c r="P18" s="663">
        <v>11</v>
      </c>
      <c r="Q18" t="s">
        <v>843</v>
      </c>
      <c r="R18" t="s">
        <v>844</v>
      </c>
      <c r="S18" t="s">
        <v>807</v>
      </c>
      <c r="T18" t="s">
        <v>808</v>
      </c>
      <c r="U18" t="s">
        <v>809</v>
      </c>
    </row>
    <row r="19" spans="16:21">
      <c r="P19" s="663">
        <v>12</v>
      </c>
      <c r="Q19" t="s">
        <v>845</v>
      </c>
      <c r="R19" t="s">
        <v>846</v>
      </c>
      <c r="S19" t="s">
        <v>807</v>
      </c>
      <c r="T19" t="s">
        <v>808</v>
      </c>
      <c r="U19" t="s">
        <v>809</v>
      </c>
    </row>
    <row r="20" spans="16:21">
      <c r="P20" s="663">
        <v>13</v>
      </c>
      <c r="Q20" t="s">
        <v>847</v>
      </c>
      <c r="R20" t="s">
        <v>848</v>
      </c>
      <c r="S20" t="s">
        <v>849</v>
      </c>
      <c r="T20" t="s">
        <v>850</v>
      </c>
      <c r="U20" t="s">
        <v>851</v>
      </c>
    </row>
    <row r="21" spans="16:21">
      <c r="P21" s="663">
        <v>14</v>
      </c>
      <c r="Q21" t="s">
        <v>852</v>
      </c>
      <c r="R21" t="s">
        <v>853</v>
      </c>
      <c r="S21" t="s">
        <v>812</v>
      </c>
      <c r="T21" t="s">
        <v>813</v>
      </c>
      <c r="U21" t="s">
        <v>814</v>
      </c>
    </row>
    <row r="22" spans="16:21">
      <c r="P22" s="663">
        <v>15</v>
      </c>
      <c r="Q22" s="27" t="s">
        <v>854</v>
      </c>
      <c r="R22" t="s">
        <v>855</v>
      </c>
      <c r="S22" t="s">
        <v>172</v>
      </c>
      <c r="T22" t="s">
        <v>817</v>
      </c>
      <c r="U22" t="s">
        <v>818</v>
      </c>
    </row>
    <row r="23" spans="16:21">
      <c r="P23" s="663">
        <v>16</v>
      </c>
      <c r="Q23" t="s">
        <v>856</v>
      </c>
      <c r="R23" t="s">
        <v>857</v>
      </c>
      <c r="S23" t="s">
        <v>172</v>
      </c>
      <c r="T23" t="s">
        <v>817</v>
      </c>
      <c r="U23" t="s">
        <v>818</v>
      </c>
    </row>
    <row r="24" spans="16:21">
      <c r="P24" s="663">
        <v>17</v>
      </c>
      <c r="Q24" t="s">
        <v>858</v>
      </c>
      <c r="R24" t="s">
        <v>859</v>
      </c>
      <c r="S24" t="s">
        <v>172</v>
      </c>
      <c r="T24" t="s">
        <v>817</v>
      </c>
      <c r="U24" t="s">
        <v>818</v>
      </c>
    </row>
    <row r="25" spans="16:21">
      <c r="P25" s="663">
        <v>18</v>
      </c>
      <c r="Q25" t="s">
        <v>860</v>
      </c>
      <c r="R25" t="s">
        <v>861</v>
      </c>
      <c r="S25" t="s">
        <v>812</v>
      </c>
      <c r="T25" t="s">
        <v>813</v>
      </c>
      <c r="U25" t="s">
        <v>814</v>
      </c>
    </row>
    <row r="26" spans="16:21">
      <c r="P26" s="663">
        <v>19</v>
      </c>
      <c r="Q26" t="s">
        <v>862</v>
      </c>
      <c r="R26" t="s">
        <v>863</v>
      </c>
      <c r="S26" t="s">
        <v>172</v>
      </c>
      <c r="T26" t="s">
        <v>817</v>
      </c>
      <c r="U26" t="s">
        <v>818</v>
      </c>
    </row>
    <row r="27" spans="16:21">
      <c r="P27" s="663">
        <v>20</v>
      </c>
      <c r="Q27" t="s">
        <v>864</v>
      </c>
      <c r="R27" t="s">
        <v>865</v>
      </c>
      <c r="S27" t="s">
        <v>849</v>
      </c>
      <c r="T27" t="s">
        <v>850</v>
      </c>
      <c r="U27" t="s">
        <v>851</v>
      </c>
    </row>
    <row r="28" spans="16:21">
      <c r="P28" s="663">
        <v>21</v>
      </c>
      <c r="Q28" t="s">
        <v>866</v>
      </c>
      <c r="R28" t="s">
        <v>867</v>
      </c>
      <c r="S28" t="s">
        <v>812</v>
      </c>
      <c r="T28" t="s">
        <v>813</v>
      </c>
      <c r="U28" t="s">
        <v>814</v>
      </c>
    </row>
    <row r="29" spans="16:21">
      <c r="P29" s="663">
        <v>22</v>
      </c>
      <c r="Q29" t="s">
        <v>868</v>
      </c>
      <c r="R29" t="s">
        <v>869</v>
      </c>
      <c r="S29" t="s">
        <v>870</v>
      </c>
      <c r="T29" t="s">
        <v>871</v>
      </c>
      <c r="U29" t="s">
        <v>872</v>
      </c>
    </row>
    <row r="30" spans="16:21">
      <c r="P30" s="663">
        <v>23</v>
      </c>
      <c r="Q30" t="s">
        <v>873</v>
      </c>
      <c r="R30" t="s">
        <v>874</v>
      </c>
      <c r="S30" t="s">
        <v>837</v>
      </c>
      <c r="T30" t="s">
        <v>838</v>
      </c>
      <c r="U30" t="s">
        <v>839</v>
      </c>
    </row>
    <row r="31" spans="16:21">
      <c r="P31" s="663">
        <v>24</v>
      </c>
      <c r="Q31" t="s">
        <v>875</v>
      </c>
      <c r="R31" t="s">
        <v>876</v>
      </c>
      <c r="S31" t="s">
        <v>807</v>
      </c>
      <c r="T31" t="s">
        <v>808</v>
      </c>
      <c r="U31" t="s">
        <v>809</v>
      </c>
    </row>
    <row r="32" spans="16:21">
      <c r="P32" s="663">
        <v>25</v>
      </c>
      <c r="Q32" t="s">
        <v>877</v>
      </c>
      <c r="R32" t="s">
        <v>878</v>
      </c>
      <c r="S32" t="s">
        <v>826</v>
      </c>
      <c r="T32" t="s">
        <v>827</v>
      </c>
      <c r="U32" t="s">
        <v>828</v>
      </c>
    </row>
    <row r="33" spans="16:21">
      <c r="P33" s="663">
        <v>26</v>
      </c>
      <c r="Q33" t="s">
        <v>879</v>
      </c>
      <c r="R33" t="s">
        <v>880</v>
      </c>
      <c r="S33" t="s">
        <v>812</v>
      </c>
      <c r="T33" t="s">
        <v>813</v>
      </c>
      <c r="U33" t="s">
        <v>814</v>
      </c>
    </row>
    <row r="34" spans="16:21">
      <c r="P34" s="663">
        <v>27</v>
      </c>
      <c r="Q34" t="s">
        <v>881</v>
      </c>
      <c r="R34" t="s">
        <v>882</v>
      </c>
      <c r="S34" t="s">
        <v>883</v>
      </c>
      <c r="T34" t="s">
        <v>884</v>
      </c>
      <c r="U34" t="s">
        <v>885</v>
      </c>
    </row>
    <row r="35" spans="16:21">
      <c r="P35" s="663">
        <v>28</v>
      </c>
      <c r="Q35" t="s">
        <v>886</v>
      </c>
      <c r="R35" t="s">
        <v>887</v>
      </c>
      <c r="S35" t="s">
        <v>888</v>
      </c>
      <c r="T35" t="s">
        <v>889</v>
      </c>
      <c r="U35" t="s">
        <v>890</v>
      </c>
    </row>
    <row r="36" spans="16:21">
      <c r="P36" s="663">
        <v>29</v>
      </c>
      <c r="Q36" t="s">
        <v>891</v>
      </c>
      <c r="R36" t="s">
        <v>892</v>
      </c>
      <c r="S36" t="s">
        <v>812</v>
      </c>
      <c r="T36" t="s">
        <v>813</v>
      </c>
      <c r="U36" t="s">
        <v>814</v>
      </c>
    </row>
    <row r="37" spans="16:21">
      <c r="P37" s="663">
        <v>30</v>
      </c>
      <c r="Q37" t="s">
        <v>893</v>
      </c>
      <c r="R37" t="s">
        <v>894</v>
      </c>
      <c r="S37" t="s">
        <v>172</v>
      </c>
      <c r="T37" t="s">
        <v>817</v>
      </c>
      <c r="U37" t="s">
        <v>818</v>
      </c>
    </row>
  </sheetData>
  <mergeCells count="2">
    <mergeCell ref="A2:M2"/>
    <mergeCell ref="A4:M1048576"/>
  </mergeCells>
  <hyperlinks>
    <hyperlink ref="A2" r:id="rId1" xr:uid="{00000000-0004-0000-0B00-000000000000}"/>
    <hyperlink ref="T4" r:id="rId2" xr:uid="{00000000-0004-0000-0B00-000001000000}"/>
  </hyperlinks>
  <pageMargins left="0.7" right="0.7" top="0.75" bottom="0.75" header="0.3" footer="0.3"/>
  <pageSetup paperSize="9" orientation="portrait" r:id="rId3"/>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40"/>
  <sheetViews>
    <sheetView zoomScale="47" workbookViewId="0">
      <selection activeCell="C17" sqref="C17"/>
    </sheetView>
  </sheetViews>
  <sheetFormatPr defaultColWidth="8.85546875" defaultRowHeight="12.75"/>
  <cols>
    <col min="2" max="2" width="10.85546875" customWidth="1"/>
    <col min="3" max="3" width="19.7109375" customWidth="1"/>
    <col min="4" max="5" width="34.28515625" customWidth="1"/>
  </cols>
  <sheetData>
    <row r="1" spans="1:5">
      <c r="A1" t="s">
        <v>111</v>
      </c>
      <c r="B1" t="s">
        <v>112</v>
      </c>
      <c r="C1" t="s">
        <v>393</v>
      </c>
      <c r="D1" t="s">
        <v>394</v>
      </c>
      <c r="E1" t="s">
        <v>395</v>
      </c>
    </row>
    <row r="2" spans="1:5">
      <c r="A2">
        <v>2012</v>
      </c>
      <c r="B2" s="236">
        <v>43159.9666</v>
      </c>
    </row>
    <row r="3" spans="1:5">
      <c r="A3">
        <v>2013</v>
      </c>
      <c r="B3" s="236">
        <v>56784.314299999998</v>
      </c>
    </row>
    <row r="4" spans="1:5">
      <c r="A4">
        <v>2014</v>
      </c>
      <c r="B4" s="236">
        <v>62599.104200000002</v>
      </c>
    </row>
    <row r="5" spans="1:5">
      <c r="A5">
        <v>2015</v>
      </c>
      <c r="B5" s="236">
        <v>76033.142500000002</v>
      </c>
    </row>
    <row r="6" spans="1:5">
      <c r="A6">
        <v>2016</v>
      </c>
      <c r="B6" s="236">
        <v>98615.702400000009</v>
      </c>
    </row>
    <row r="7" spans="1:5">
      <c r="A7">
        <v>2017</v>
      </c>
      <c r="B7" s="236">
        <v>101169.48880000001</v>
      </c>
    </row>
    <row r="8" spans="1:5">
      <c r="A8">
        <v>2018</v>
      </c>
      <c r="B8" s="236">
        <v>99230</v>
      </c>
    </row>
    <row r="9" spans="1:5">
      <c r="A9">
        <v>2019</v>
      </c>
      <c r="B9" s="236">
        <v>96210.7</v>
      </c>
    </row>
    <row r="10" spans="1:5">
      <c r="A10">
        <v>2020</v>
      </c>
      <c r="B10" s="236">
        <v>103307.6</v>
      </c>
    </row>
    <row r="11" spans="1:5">
      <c r="A11">
        <v>2021</v>
      </c>
      <c r="B11" s="236">
        <v>136404.70000000001</v>
      </c>
    </row>
    <row r="12" spans="1:5">
      <c r="A12">
        <v>2022</v>
      </c>
      <c r="B12" s="236">
        <v>137339.98518776</v>
      </c>
    </row>
    <row r="13" spans="1:5">
      <c r="A13">
        <v>2023</v>
      </c>
      <c r="B13" s="236">
        <v>173212.07675797</v>
      </c>
      <c r="C13" s="236"/>
      <c r="D13" s="236"/>
      <c r="E13" s="236"/>
    </row>
    <row r="14" spans="1:5">
      <c r="A14">
        <v>2024</v>
      </c>
      <c r="B14">
        <v>202777</v>
      </c>
      <c r="C14" s="236">
        <f>Table1[[#This Row],[Net Sales]]</f>
        <v>202777</v>
      </c>
      <c r="D14" s="236">
        <f>Table1[[#This Row],[Forecast(Net Sales)]]</f>
        <v>202777</v>
      </c>
      <c r="E14" s="236">
        <f>Table1[[#This Row],[Net Sales]]</f>
        <v>202777</v>
      </c>
    </row>
    <row r="15" spans="1:5">
      <c r="A15">
        <v>2025</v>
      </c>
      <c r="C15" s="236" t="e">
        <f>_xlfn.FORECAST.ETS(A15,$B$2:$B$14,$A$2:$A$14,1,1)</f>
        <v>#N/A</v>
      </c>
      <c r="D15" s="236" t="e">
        <f>C15-_xlfn.FORECAST.ETS.CONFINT(A15,$B$2:$B$14,$A$2:$A$14,0.9,1,1)</f>
        <v>#N/A</v>
      </c>
      <c r="E15" s="236" t="e">
        <f>C15+_xlfn.FORECAST.ETS.CONFINT(A15,$B$2:$B$14,$A$2:$A$14,0.9,1,1)</f>
        <v>#N/A</v>
      </c>
    </row>
    <row r="16" spans="1:5">
      <c r="A16">
        <v>2026</v>
      </c>
      <c r="C16" s="236" t="e">
        <f t="shared" ref="C16:C40" si="0">_xlfn.FORECAST.ETS(A16,$B$2:$B$13,$A$2:$A$13,1,1)</f>
        <v>#N/A</v>
      </c>
      <c r="D16" s="236" t="e">
        <f t="shared" ref="D16:D40" si="1">C16-_xlfn.FORECAST.ETS.CONFINT(A16,$B$2:$B$13,$A$2:$A$13,0.9,1,1)</f>
        <v>#N/A</v>
      </c>
      <c r="E16" s="236" t="e">
        <f t="shared" ref="E16:E40" si="2">C16+_xlfn.FORECAST.ETS.CONFINT(A16,$B$2:$B$13,$A$2:$A$13,0.9,1,1)</f>
        <v>#N/A</v>
      </c>
    </row>
    <row r="17" spans="1:5">
      <c r="A17">
        <v>2027</v>
      </c>
      <c r="C17" s="236" t="e">
        <f t="shared" si="0"/>
        <v>#N/A</v>
      </c>
      <c r="D17" s="236" t="e">
        <f t="shared" si="1"/>
        <v>#N/A</v>
      </c>
      <c r="E17" s="236" t="e">
        <f t="shared" si="2"/>
        <v>#N/A</v>
      </c>
    </row>
    <row r="18" spans="1:5">
      <c r="A18">
        <v>2028</v>
      </c>
      <c r="C18" s="236" t="e">
        <f t="shared" si="0"/>
        <v>#N/A</v>
      </c>
      <c r="D18" s="236" t="e">
        <f t="shared" si="1"/>
        <v>#N/A</v>
      </c>
      <c r="E18" s="236" t="e">
        <f t="shared" si="2"/>
        <v>#N/A</v>
      </c>
    </row>
    <row r="19" spans="1:5">
      <c r="A19">
        <v>2029</v>
      </c>
      <c r="C19" s="236" t="e">
        <f t="shared" si="0"/>
        <v>#N/A</v>
      </c>
      <c r="D19" s="236" t="e">
        <f t="shared" si="1"/>
        <v>#N/A</v>
      </c>
      <c r="E19" s="236" t="e">
        <f t="shared" si="2"/>
        <v>#N/A</v>
      </c>
    </row>
    <row r="20" spans="1:5">
      <c r="A20">
        <v>2030</v>
      </c>
      <c r="C20" s="236" t="e">
        <f t="shared" si="0"/>
        <v>#N/A</v>
      </c>
      <c r="D20" s="236" t="e">
        <f t="shared" si="1"/>
        <v>#N/A</v>
      </c>
      <c r="E20" s="236" t="e">
        <f t="shared" si="2"/>
        <v>#N/A</v>
      </c>
    </row>
    <row r="21" spans="1:5">
      <c r="A21">
        <v>2031</v>
      </c>
      <c r="C21" s="236" t="e">
        <f t="shared" si="0"/>
        <v>#N/A</v>
      </c>
      <c r="D21" s="236" t="e">
        <f t="shared" si="1"/>
        <v>#N/A</v>
      </c>
      <c r="E21" s="236" t="e">
        <f t="shared" si="2"/>
        <v>#N/A</v>
      </c>
    </row>
    <row r="22" spans="1:5">
      <c r="A22">
        <v>2032</v>
      </c>
      <c r="C22" s="236" t="e">
        <f t="shared" si="0"/>
        <v>#N/A</v>
      </c>
      <c r="D22" s="236" t="e">
        <f t="shared" si="1"/>
        <v>#N/A</v>
      </c>
      <c r="E22" s="236" t="e">
        <f t="shared" si="2"/>
        <v>#N/A</v>
      </c>
    </row>
    <row r="23" spans="1:5">
      <c r="A23">
        <v>2033</v>
      </c>
      <c r="C23" s="236" t="e">
        <f t="shared" si="0"/>
        <v>#N/A</v>
      </c>
      <c r="D23" s="236" t="e">
        <f t="shared" si="1"/>
        <v>#N/A</v>
      </c>
      <c r="E23" s="236" t="e">
        <f t="shared" si="2"/>
        <v>#N/A</v>
      </c>
    </row>
    <row r="24" spans="1:5">
      <c r="A24">
        <v>2034</v>
      </c>
      <c r="C24" s="236" t="e">
        <f t="shared" si="0"/>
        <v>#N/A</v>
      </c>
      <c r="D24" s="236" t="e">
        <f t="shared" si="1"/>
        <v>#N/A</v>
      </c>
      <c r="E24" s="236" t="e">
        <f t="shared" si="2"/>
        <v>#N/A</v>
      </c>
    </row>
    <row r="25" spans="1:5">
      <c r="A25">
        <v>2035</v>
      </c>
      <c r="C25" s="236" t="e">
        <f t="shared" si="0"/>
        <v>#N/A</v>
      </c>
      <c r="D25" s="236" t="e">
        <f t="shared" si="1"/>
        <v>#N/A</v>
      </c>
      <c r="E25" s="236" t="e">
        <f t="shared" si="2"/>
        <v>#N/A</v>
      </c>
    </row>
    <row r="26" spans="1:5">
      <c r="A26">
        <v>2036</v>
      </c>
      <c r="C26" s="236" t="e">
        <f t="shared" si="0"/>
        <v>#N/A</v>
      </c>
      <c r="D26" s="236" t="e">
        <f t="shared" si="1"/>
        <v>#N/A</v>
      </c>
      <c r="E26" s="236" t="e">
        <f t="shared" si="2"/>
        <v>#N/A</v>
      </c>
    </row>
    <row r="27" spans="1:5">
      <c r="A27">
        <v>2037</v>
      </c>
      <c r="C27" s="236" t="e">
        <f t="shared" si="0"/>
        <v>#N/A</v>
      </c>
      <c r="D27" s="236" t="e">
        <f t="shared" si="1"/>
        <v>#N/A</v>
      </c>
      <c r="E27" s="236" t="e">
        <f t="shared" si="2"/>
        <v>#N/A</v>
      </c>
    </row>
    <row r="28" spans="1:5">
      <c r="A28">
        <v>2038</v>
      </c>
      <c r="C28" s="236" t="e">
        <f t="shared" si="0"/>
        <v>#N/A</v>
      </c>
      <c r="D28" s="236" t="e">
        <f t="shared" si="1"/>
        <v>#N/A</v>
      </c>
      <c r="E28" s="236" t="e">
        <f t="shared" si="2"/>
        <v>#N/A</v>
      </c>
    </row>
    <row r="29" spans="1:5">
      <c r="A29">
        <v>2039</v>
      </c>
      <c r="C29" s="236" t="e">
        <f t="shared" si="0"/>
        <v>#N/A</v>
      </c>
      <c r="D29" s="236" t="e">
        <f t="shared" si="1"/>
        <v>#N/A</v>
      </c>
      <c r="E29" s="236" t="e">
        <f t="shared" si="2"/>
        <v>#N/A</v>
      </c>
    </row>
    <row r="30" spans="1:5">
      <c r="A30">
        <v>2040</v>
      </c>
      <c r="C30" s="236" t="e">
        <f t="shared" si="0"/>
        <v>#N/A</v>
      </c>
      <c r="D30" s="236" t="e">
        <f t="shared" si="1"/>
        <v>#N/A</v>
      </c>
      <c r="E30" s="236" t="e">
        <f t="shared" si="2"/>
        <v>#N/A</v>
      </c>
    </row>
    <row r="31" spans="1:5">
      <c r="A31">
        <v>2041</v>
      </c>
      <c r="C31" s="236" t="e">
        <f t="shared" si="0"/>
        <v>#N/A</v>
      </c>
      <c r="D31" s="236" t="e">
        <f t="shared" si="1"/>
        <v>#N/A</v>
      </c>
      <c r="E31" s="236" t="e">
        <f t="shared" si="2"/>
        <v>#N/A</v>
      </c>
    </row>
    <row r="32" spans="1:5">
      <c r="A32">
        <v>2042</v>
      </c>
      <c r="C32" s="236" t="e">
        <f t="shared" si="0"/>
        <v>#N/A</v>
      </c>
      <c r="D32" s="236" t="e">
        <f t="shared" si="1"/>
        <v>#N/A</v>
      </c>
      <c r="E32" s="236" t="e">
        <f t="shared" si="2"/>
        <v>#N/A</v>
      </c>
    </row>
    <row r="33" spans="1:5">
      <c r="A33">
        <v>2043</v>
      </c>
      <c r="C33" s="236" t="e">
        <f t="shared" si="0"/>
        <v>#N/A</v>
      </c>
      <c r="D33" s="236" t="e">
        <f t="shared" si="1"/>
        <v>#N/A</v>
      </c>
      <c r="E33" s="236" t="e">
        <f t="shared" si="2"/>
        <v>#N/A</v>
      </c>
    </row>
    <row r="34" spans="1:5">
      <c r="A34">
        <v>2044</v>
      </c>
      <c r="C34" s="236" t="e">
        <f t="shared" si="0"/>
        <v>#N/A</v>
      </c>
      <c r="D34" s="236" t="e">
        <f t="shared" si="1"/>
        <v>#N/A</v>
      </c>
      <c r="E34" s="236" t="e">
        <f t="shared" si="2"/>
        <v>#N/A</v>
      </c>
    </row>
    <row r="35" spans="1:5">
      <c r="A35">
        <v>2045</v>
      </c>
      <c r="C35" s="236" t="e">
        <f t="shared" si="0"/>
        <v>#N/A</v>
      </c>
      <c r="D35" s="236" t="e">
        <f t="shared" si="1"/>
        <v>#N/A</v>
      </c>
      <c r="E35" s="236" t="e">
        <f t="shared" si="2"/>
        <v>#N/A</v>
      </c>
    </row>
    <row r="36" spans="1:5">
      <c r="A36">
        <v>2046</v>
      </c>
      <c r="C36" s="236" t="e">
        <f t="shared" si="0"/>
        <v>#N/A</v>
      </c>
      <c r="D36" s="236" t="e">
        <f t="shared" si="1"/>
        <v>#N/A</v>
      </c>
      <c r="E36" s="236" t="e">
        <f t="shared" si="2"/>
        <v>#N/A</v>
      </c>
    </row>
    <row r="37" spans="1:5">
      <c r="A37">
        <v>2047</v>
      </c>
      <c r="C37" s="236" t="e">
        <f t="shared" si="0"/>
        <v>#N/A</v>
      </c>
      <c r="D37" s="236" t="e">
        <f t="shared" si="1"/>
        <v>#N/A</v>
      </c>
      <c r="E37" s="236" t="e">
        <f t="shared" si="2"/>
        <v>#N/A</v>
      </c>
    </row>
    <row r="38" spans="1:5">
      <c r="A38">
        <v>2048</v>
      </c>
      <c r="C38" s="236" t="e">
        <f t="shared" si="0"/>
        <v>#N/A</v>
      </c>
      <c r="D38" s="236" t="e">
        <f t="shared" si="1"/>
        <v>#N/A</v>
      </c>
      <c r="E38" s="236" t="e">
        <f t="shared" si="2"/>
        <v>#N/A</v>
      </c>
    </row>
    <row r="39" spans="1:5">
      <c r="A39">
        <v>2049</v>
      </c>
      <c r="C39" s="236" t="e">
        <f t="shared" si="0"/>
        <v>#N/A</v>
      </c>
      <c r="D39" s="236" t="e">
        <f t="shared" si="1"/>
        <v>#N/A</v>
      </c>
      <c r="E39" s="236" t="e">
        <f t="shared" si="2"/>
        <v>#N/A</v>
      </c>
    </row>
    <row r="40" spans="1:5">
      <c r="A40">
        <v>2050</v>
      </c>
      <c r="C40" s="236" t="e">
        <f t="shared" si="0"/>
        <v>#N/A</v>
      </c>
      <c r="D40" s="236" t="e">
        <f t="shared" si="1"/>
        <v>#N/A</v>
      </c>
      <c r="E40" s="236" t="e">
        <f t="shared" si="2"/>
        <v>#N/A</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32"/>
  <sheetViews>
    <sheetView zoomScale="55" zoomScaleNormal="55" workbookViewId="0">
      <selection activeCell="E35" sqref="E35"/>
    </sheetView>
  </sheetViews>
  <sheetFormatPr defaultRowHeight="12.75"/>
  <cols>
    <col min="1" max="1" width="7.42578125" bestFit="1" customWidth="1"/>
    <col min="2" max="2" width="40.28515625" bestFit="1" customWidth="1"/>
    <col min="3" max="3" width="45.42578125" bestFit="1" customWidth="1"/>
    <col min="4" max="4" width="11.7109375" bestFit="1" customWidth="1"/>
    <col min="5" max="5" width="28.85546875" bestFit="1" customWidth="1"/>
    <col min="6" max="6" width="25.140625" bestFit="1" customWidth="1"/>
    <col min="7" max="7" width="11" bestFit="1" customWidth="1"/>
  </cols>
  <sheetData>
    <row r="1" spans="1:7">
      <c r="A1" t="s">
        <v>801</v>
      </c>
      <c r="B1" t="s">
        <v>714</v>
      </c>
      <c r="C1" t="s">
        <v>802</v>
      </c>
      <c r="D1" t="s">
        <v>803</v>
      </c>
      <c r="E1" t="s">
        <v>547</v>
      </c>
      <c r="F1" t="s">
        <v>191</v>
      </c>
      <c r="G1" t="s">
        <v>895</v>
      </c>
    </row>
    <row r="2" spans="1:7">
      <c r="A2">
        <v>1</v>
      </c>
      <c r="B2" t="s">
        <v>805</v>
      </c>
      <c r="C2" t="s">
        <v>806</v>
      </c>
      <c r="D2" t="s">
        <v>807</v>
      </c>
      <c r="E2" t="s">
        <v>808</v>
      </c>
      <c r="F2" t="s">
        <v>809</v>
      </c>
    </row>
    <row r="3" spans="1:7">
      <c r="A3">
        <v>2</v>
      </c>
      <c r="B3" t="s">
        <v>810</v>
      </c>
      <c r="C3" t="s">
        <v>811</v>
      </c>
      <c r="D3" t="s">
        <v>812</v>
      </c>
      <c r="E3" t="s">
        <v>813</v>
      </c>
      <c r="F3" t="s">
        <v>814</v>
      </c>
    </row>
    <row r="4" spans="1:7">
      <c r="A4">
        <v>3</v>
      </c>
      <c r="B4" t="s">
        <v>815</v>
      </c>
      <c r="C4" t="s">
        <v>816</v>
      </c>
      <c r="D4" t="s">
        <v>172</v>
      </c>
      <c r="E4" t="s">
        <v>817</v>
      </c>
      <c r="F4" t="s">
        <v>818</v>
      </c>
    </row>
    <row r="5" spans="1:7">
      <c r="A5">
        <v>4</v>
      </c>
      <c r="B5" t="s">
        <v>819</v>
      </c>
      <c r="C5" t="s">
        <v>820</v>
      </c>
      <c r="D5" t="s">
        <v>821</v>
      </c>
      <c r="E5" t="s">
        <v>822</v>
      </c>
      <c r="F5" t="s">
        <v>823</v>
      </c>
    </row>
    <row r="6" spans="1:7">
      <c r="A6">
        <v>5</v>
      </c>
      <c r="B6" t="s">
        <v>824</v>
      </c>
      <c r="C6" t="s">
        <v>825</v>
      </c>
      <c r="D6" t="s">
        <v>826</v>
      </c>
      <c r="E6" t="s">
        <v>827</v>
      </c>
      <c r="F6" t="s">
        <v>828</v>
      </c>
    </row>
    <row r="7" spans="1:7">
      <c r="A7">
        <v>6</v>
      </c>
      <c r="B7" t="s">
        <v>829</v>
      </c>
      <c r="C7" t="s">
        <v>830</v>
      </c>
      <c r="D7" t="s">
        <v>826</v>
      </c>
      <c r="E7" t="s">
        <v>827</v>
      </c>
      <c r="F7" t="s">
        <v>828</v>
      </c>
    </row>
    <row r="8" spans="1:7">
      <c r="A8">
        <v>7</v>
      </c>
      <c r="B8" t="s">
        <v>831</v>
      </c>
      <c r="C8" t="s">
        <v>832</v>
      </c>
      <c r="D8" t="s">
        <v>826</v>
      </c>
      <c r="E8" t="s">
        <v>827</v>
      </c>
      <c r="F8" t="s">
        <v>828</v>
      </c>
    </row>
    <row r="9" spans="1:7">
      <c r="A9">
        <v>8</v>
      </c>
      <c r="B9" t="s">
        <v>833</v>
      </c>
      <c r="C9" t="s">
        <v>834</v>
      </c>
      <c r="D9" t="s">
        <v>826</v>
      </c>
      <c r="E9" t="s">
        <v>827</v>
      </c>
      <c r="F9" t="s">
        <v>828</v>
      </c>
    </row>
    <row r="10" spans="1:7">
      <c r="A10">
        <v>9</v>
      </c>
      <c r="B10" t="s">
        <v>835</v>
      </c>
      <c r="C10" t="s">
        <v>836</v>
      </c>
      <c r="D10" t="s">
        <v>837</v>
      </c>
      <c r="E10" t="s">
        <v>838</v>
      </c>
      <c r="F10" t="s">
        <v>839</v>
      </c>
    </row>
    <row r="11" spans="1:7">
      <c r="B11" t="s">
        <v>840</v>
      </c>
      <c r="C11" t="s">
        <v>840</v>
      </c>
      <c r="D11" t="s">
        <v>840</v>
      </c>
      <c r="E11" t="s">
        <v>840</v>
      </c>
      <c r="F11" t="s">
        <v>840</v>
      </c>
      <c r="G11" t="s">
        <v>840</v>
      </c>
    </row>
    <row r="12" spans="1:7">
      <c r="A12">
        <v>10</v>
      </c>
      <c r="B12" t="s">
        <v>841</v>
      </c>
      <c r="C12" t="s">
        <v>842</v>
      </c>
      <c r="D12" t="s">
        <v>812</v>
      </c>
      <c r="E12" t="s">
        <v>813</v>
      </c>
      <c r="F12" t="s">
        <v>814</v>
      </c>
    </row>
    <row r="13" spans="1:7">
      <c r="A13">
        <v>11</v>
      </c>
      <c r="B13" t="s">
        <v>843</v>
      </c>
      <c r="C13" t="s">
        <v>844</v>
      </c>
      <c r="D13" t="s">
        <v>807</v>
      </c>
      <c r="E13" t="s">
        <v>808</v>
      </c>
      <c r="F13" t="s">
        <v>809</v>
      </c>
    </row>
    <row r="14" spans="1:7">
      <c r="A14">
        <v>12</v>
      </c>
      <c r="B14" t="s">
        <v>845</v>
      </c>
      <c r="C14" t="s">
        <v>846</v>
      </c>
      <c r="D14" t="s">
        <v>807</v>
      </c>
      <c r="E14" t="s">
        <v>808</v>
      </c>
      <c r="F14" t="s">
        <v>809</v>
      </c>
    </row>
    <row r="15" spans="1:7">
      <c r="A15">
        <v>13</v>
      </c>
      <c r="B15" t="s">
        <v>847</v>
      </c>
      <c r="C15" t="s">
        <v>848</v>
      </c>
      <c r="D15" t="s">
        <v>849</v>
      </c>
      <c r="E15" t="s">
        <v>850</v>
      </c>
      <c r="F15" t="s">
        <v>851</v>
      </c>
    </row>
    <row r="16" spans="1:7">
      <c r="A16">
        <v>14</v>
      </c>
      <c r="B16" t="s">
        <v>852</v>
      </c>
      <c r="C16" t="s">
        <v>853</v>
      </c>
      <c r="D16" t="s">
        <v>812</v>
      </c>
      <c r="E16" t="s">
        <v>813</v>
      </c>
      <c r="F16" t="s">
        <v>814</v>
      </c>
    </row>
    <row r="17" spans="1:6">
      <c r="A17">
        <v>15</v>
      </c>
      <c r="B17" t="s">
        <v>854</v>
      </c>
      <c r="C17" t="s">
        <v>855</v>
      </c>
      <c r="D17" t="s">
        <v>172</v>
      </c>
      <c r="E17" t="s">
        <v>817</v>
      </c>
      <c r="F17" t="s">
        <v>818</v>
      </c>
    </row>
    <row r="18" spans="1:6">
      <c r="A18">
        <v>16</v>
      </c>
      <c r="B18" t="s">
        <v>856</v>
      </c>
      <c r="C18" t="s">
        <v>857</v>
      </c>
      <c r="D18" t="s">
        <v>172</v>
      </c>
      <c r="E18" t="s">
        <v>817</v>
      </c>
      <c r="F18" t="s">
        <v>818</v>
      </c>
    </row>
    <row r="19" spans="1:6">
      <c r="A19">
        <v>17</v>
      </c>
      <c r="B19" t="s">
        <v>858</v>
      </c>
      <c r="C19" t="s">
        <v>859</v>
      </c>
      <c r="D19" t="s">
        <v>172</v>
      </c>
      <c r="E19" t="s">
        <v>817</v>
      </c>
      <c r="F19" t="s">
        <v>818</v>
      </c>
    </row>
    <row r="20" spans="1:6">
      <c r="A20">
        <v>18</v>
      </c>
      <c r="B20" t="s">
        <v>860</v>
      </c>
      <c r="C20" t="s">
        <v>861</v>
      </c>
      <c r="D20" t="s">
        <v>812</v>
      </c>
      <c r="E20" t="s">
        <v>813</v>
      </c>
      <c r="F20" t="s">
        <v>814</v>
      </c>
    </row>
    <row r="21" spans="1:6">
      <c r="A21">
        <v>19</v>
      </c>
      <c r="B21" t="s">
        <v>862</v>
      </c>
      <c r="C21" t="s">
        <v>863</v>
      </c>
      <c r="D21" t="s">
        <v>172</v>
      </c>
      <c r="E21" t="s">
        <v>817</v>
      </c>
      <c r="F21" t="s">
        <v>818</v>
      </c>
    </row>
    <row r="22" spans="1:6">
      <c r="A22">
        <v>20</v>
      </c>
      <c r="B22" t="s">
        <v>864</v>
      </c>
      <c r="C22" t="s">
        <v>865</v>
      </c>
      <c r="D22" t="s">
        <v>849</v>
      </c>
      <c r="E22" t="s">
        <v>850</v>
      </c>
      <c r="F22" t="s">
        <v>851</v>
      </c>
    </row>
    <row r="23" spans="1:6">
      <c r="A23">
        <v>21</v>
      </c>
      <c r="B23" t="s">
        <v>866</v>
      </c>
      <c r="C23" t="s">
        <v>867</v>
      </c>
      <c r="D23" t="s">
        <v>812</v>
      </c>
      <c r="E23" t="s">
        <v>813</v>
      </c>
      <c r="F23" t="s">
        <v>814</v>
      </c>
    </row>
    <row r="24" spans="1:6">
      <c r="A24">
        <v>22</v>
      </c>
      <c r="B24" t="s">
        <v>868</v>
      </c>
      <c r="C24" t="s">
        <v>869</v>
      </c>
      <c r="D24" t="s">
        <v>870</v>
      </c>
      <c r="E24" t="s">
        <v>871</v>
      </c>
      <c r="F24" t="s">
        <v>872</v>
      </c>
    </row>
    <row r="25" spans="1:6">
      <c r="A25">
        <v>23</v>
      </c>
      <c r="B25" t="s">
        <v>873</v>
      </c>
      <c r="C25" t="s">
        <v>874</v>
      </c>
      <c r="D25" t="s">
        <v>837</v>
      </c>
      <c r="E25" t="s">
        <v>838</v>
      </c>
      <c r="F25" t="s">
        <v>839</v>
      </c>
    </row>
    <row r="26" spans="1:6">
      <c r="A26">
        <v>24</v>
      </c>
      <c r="B26" t="s">
        <v>875</v>
      </c>
      <c r="C26" t="s">
        <v>876</v>
      </c>
      <c r="D26" t="s">
        <v>807</v>
      </c>
      <c r="E26" t="s">
        <v>808</v>
      </c>
      <c r="F26" t="s">
        <v>809</v>
      </c>
    </row>
    <row r="27" spans="1:6">
      <c r="A27">
        <v>25</v>
      </c>
      <c r="B27" t="s">
        <v>877</v>
      </c>
      <c r="C27" t="s">
        <v>878</v>
      </c>
      <c r="D27" t="s">
        <v>826</v>
      </c>
      <c r="E27" t="s">
        <v>827</v>
      </c>
      <c r="F27" t="s">
        <v>828</v>
      </c>
    </row>
    <row r="28" spans="1:6">
      <c r="A28">
        <v>26</v>
      </c>
      <c r="B28" t="s">
        <v>879</v>
      </c>
      <c r="C28" t="s">
        <v>880</v>
      </c>
      <c r="D28" t="s">
        <v>812</v>
      </c>
      <c r="E28" t="s">
        <v>813</v>
      </c>
      <c r="F28" t="s">
        <v>814</v>
      </c>
    </row>
    <row r="29" spans="1:6">
      <c r="A29">
        <v>27</v>
      </c>
      <c r="B29" t="s">
        <v>881</v>
      </c>
      <c r="C29" t="s">
        <v>882</v>
      </c>
      <c r="D29" t="s">
        <v>883</v>
      </c>
      <c r="E29" t="s">
        <v>884</v>
      </c>
      <c r="F29" t="s">
        <v>885</v>
      </c>
    </row>
    <row r="30" spans="1:6">
      <c r="A30">
        <v>28</v>
      </c>
      <c r="B30" t="s">
        <v>886</v>
      </c>
      <c r="C30" t="s">
        <v>887</v>
      </c>
      <c r="D30" t="s">
        <v>888</v>
      </c>
      <c r="E30" t="s">
        <v>889</v>
      </c>
      <c r="F30" t="s">
        <v>890</v>
      </c>
    </row>
    <row r="31" spans="1:6">
      <c r="A31">
        <v>29</v>
      </c>
      <c r="B31" t="s">
        <v>891</v>
      </c>
      <c r="C31" t="s">
        <v>892</v>
      </c>
      <c r="D31" t="s">
        <v>812</v>
      </c>
      <c r="E31" t="s">
        <v>813</v>
      </c>
      <c r="F31" t="s">
        <v>814</v>
      </c>
    </row>
    <row r="32" spans="1:6">
      <c r="A32">
        <v>30</v>
      </c>
      <c r="B32" t="s">
        <v>893</v>
      </c>
      <c r="C32" t="s">
        <v>894</v>
      </c>
      <c r="D32" t="s">
        <v>172</v>
      </c>
      <c r="E32" t="s">
        <v>817</v>
      </c>
      <c r="F32" t="s">
        <v>818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6ba73c8a-1af7-4183-b158-1cd1291da2b6">
      <Terms xmlns="http://schemas.microsoft.com/office/infopath/2007/PartnerControls"/>
    </lcf76f155ced4ddcb4097134ff3c332f>
    <TaxCatchAll xmlns="8c89d0e4-a8d9-42ba-a773-c59a56f7723e"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162ABDA6886CF6498653E646AB2571ED" ma:contentTypeVersion="16" ma:contentTypeDescription="Create a new document." ma:contentTypeScope="" ma:versionID="235e0e40c567e6394453f2090fab65a6">
  <xsd:schema xmlns:xsd="http://www.w3.org/2001/XMLSchema" xmlns:xs="http://www.w3.org/2001/XMLSchema" xmlns:p="http://schemas.microsoft.com/office/2006/metadata/properties" xmlns:ns2="6ba73c8a-1af7-4183-b158-1cd1291da2b6" xmlns:ns3="8c89d0e4-a8d9-42ba-a773-c59a56f7723e" targetNamespace="http://schemas.microsoft.com/office/2006/metadata/properties" ma:root="true" ma:fieldsID="be2affa39fb2f3cdc665ba7b2e6a6e47" ns2:_="" ns3:_="">
    <xsd:import namespace="6ba73c8a-1af7-4183-b158-1cd1291da2b6"/>
    <xsd:import namespace="8c89d0e4-a8d9-42ba-a773-c59a56f7723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a73c8a-1af7-4183-b158-1cd1291da2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MediaServiceSearchProperties" ma:index="16" nillable="true" ma:displayName="MediaServiceSearchProperties" ma:hidden="true" ma:internalName="MediaServiceSearchProperties" ma:readOnly="true">
      <xsd:simpleType>
        <xsd:restriction base="dms:Note"/>
      </xsd:simpleType>
    </xsd:element>
    <xsd:element name="lcf76f155ced4ddcb4097134ff3c332f" ma:index="18" nillable="true" ma:taxonomy="true" ma:internalName="lcf76f155ced4ddcb4097134ff3c332f" ma:taxonomyFieldName="MediaServiceImageTags" ma:displayName="Image Tags" ma:readOnly="false" ma:fieldId="{5cf76f15-5ced-4ddc-b409-7134ff3c332f}" ma:taxonomyMulti="true" ma:sspId="a48f9566-069b-479b-843d-4f6c74a4a3f0"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c89d0e4-a8d9-42ba-a773-c59a56f7723e"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19" nillable="true" ma:displayName="Taxonomy Catch All Column" ma:hidden="true" ma:list="{b20a6b64-fbb8-4bf5-b941-ddf64427d44d}" ma:internalName="TaxCatchAll" ma:showField="CatchAllData" ma:web="8c89d0e4-a8d9-42ba-a773-c59a56f7723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4E33FEE-1117-4802-A5BB-FA073D1C6E04}"/>
</file>

<file path=customXml/itemProps2.xml><?xml version="1.0" encoding="utf-8"?>
<ds:datastoreItem xmlns:ds="http://schemas.openxmlformats.org/officeDocument/2006/customXml" ds:itemID="{A881089C-6E2A-4FD7-A402-55E9C86C97B5}"/>
</file>

<file path=customXml/itemProps3.xml><?xml version="1.0" encoding="utf-8"?>
<ds:datastoreItem xmlns:ds="http://schemas.openxmlformats.org/officeDocument/2006/customXml" ds:itemID="{886353E0-3B06-47F9-856D-C6F3FD1263A2}"/>
</file>

<file path=customXml/itemProps4.xml><?xml version="1.0" encoding="utf-8"?>
<ds:datastoreItem xmlns:ds="http://schemas.openxmlformats.org/officeDocument/2006/customXml" ds:itemID="{77D85315-F9BE-4E32-AA7E-83CE08C79E38}"/>
</file>

<file path=docProps/app.xml><?xml version="1.0" encoding="utf-8"?>
<Properties xmlns="http://schemas.openxmlformats.org/officeDocument/2006/extended-properties" xmlns:vt="http://schemas.openxmlformats.org/officeDocument/2006/docPropsVTypes">
  <Application>Microsoft Excel Online</Application>
  <Manager/>
  <Company>HIL CONSULTORES, S.C.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ABRAHAM E. HERNANDEZ P.</dc:creator>
  <cp:keywords/>
  <dc:description/>
  <cp:lastModifiedBy>Jorge Daniel Vieira Freitas</cp:lastModifiedBy>
  <cp:revision/>
  <dcterms:created xsi:type="dcterms:W3CDTF">2000-04-19T14:51:26Z</dcterms:created>
  <dcterms:modified xsi:type="dcterms:W3CDTF">2025-03-30T15:41:07Z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0x010100162ABDA6886CF6498653E646AB2571ED</vt:lpwstr>
  </property>
  <property fmtid="{D5CDD505-2E9C-101B-9397-08002B2CF9AE}" pid="3" name="Order">
    <vt:r8>7100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y fmtid="{D5CDD505-2E9C-101B-9397-08002B2CF9AE}" pid="9" name="TriggerFlowInfo">
    <vt:lpwstr/>
  </property>
  <property fmtid="{D5CDD505-2E9C-101B-9397-08002B2CF9AE}" pid="10" name="MediaServiceImageTags">
    <vt:lpwstr/>
  </property>
</Properties>
</file>