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3.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5.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tables/table3.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24-25/Team 3 (Gonçalo Raposo)/"/>
    </mc:Choice>
  </mc:AlternateContent>
  <xr:revisionPtr revIDLastSave="6108" documentId="13_ncr:1_{26D5CA1E-45FE-425A-8F05-72ED85C7BA47}" xr6:coauthVersionLast="47" xr6:coauthVersionMax="47" xr10:uidLastSave="{2EE8A262-5249-4BC4-AA42-E6E86F7FC601}"/>
  <bookViews>
    <workbookView xWindow="-98" yWindow="-98" windowWidth="19396" windowHeight="11475" tabRatio="644" xr2:uid="{00000000-000D-0000-FFFF-FFFF00000000}"/>
  </bookViews>
  <sheets>
    <sheet name="OP" sheetId="1" r:id="rId1"/>
    <sheet name="Segments" sheetId="3" r:id="rId2"/>
    <sheet name="Peers" sheetId="10" r:id="rId3"/>
    <sheet name="ESG" sheetId="19" r:id="rId4"/>
    <sheet name="DCF" sheetId="4" r:id="rId5"/>
    <sheet name="Sheet1" sheetId="29" state="hidden" r:id="rId6"/>
    <sheet name="Assumptions" sheetId="22" r:id="rId7"/>
    <sheet name="Fin. Data" sheetId="16" r:id="rId8"/>
    <sheet name="Sector Impact" sheetId="18" state="hidden" r:id="rId9"/>
    <sheet name="Inputs" sheetId="17" r:id="rId10"/>
    <sheet name="Research" sheetId="25" r:id="rId11"/>
    <sheet name="Forecasts" sheetId="27" state="hidden" r:id="rId12"/>
    <sheet name="Top Auto Manufacturers Companie" sheetId="28" state="hidden" r:id="rId13"/>
  </sheets>
  <externalReferences>
    <externalReference r:id="rId14"/>
  </externalReferences>
  <definedNames>
    <definedName name="ExternalData_1" localSheetId="10" hidden="1">Research!$P$6:$V$37</definedName>
    <definedName name="ExternalData_1" localSheetId="12" hidden="1">'Top Auto Manufacturers Companie'!$A$1:$G$32</definedName>
    <definedName name="_xlnm.Print_Area" localSheetId="0">OP!$A$1:$M$77</definedName>
    <definedName name="_xlnm.Print_Area" localSheetId="1">Segments!#REF!</definedName>
    <definedName name="Sectors" localSheetId="6">'[1]Sector Impact'!$K$4:$K$16</definedName>
    <definedName name="Sectors">'Sector Impact'!$K$4:$K$16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M6" i="4" s="1"/>
  <c r="K5" i="4"/>
  <c r="L5" i="4"/>
  <c r="M5" i="4"/>
  <c r="J5" i="4"/>
  <c r="N9" i="22"/>
  <c r="E50" i="22"/>
  <c r="F50" i="22"/>
  <c r="G50" i="22"/>
  <c r="H50" i="22"/>
  <c r="I50" i="22"/>
  <c r="J50" i="22"/>
  <c r="K50" i="22"/>
  <c r="L50" i="22"/>
  <c r="M50" i="22"/>
  <c r="N50" i="22"/>
  <c r="O50" i="22"/>
  <c r="D50" i="22"/>
  <c r="M9" i="22"/>
  <c r="G7" i="4" l="1"/>
  <c r="G12" i="4"/>
  <c r="C28" i="22"/>
  <c r="N28" i="22" s="1"/>
  <c r="M20" i="22"/>
  <c r="M21" i="22"/>
  <c r="M47" i="22"/>
  <c r="H47" i="22"/>
  <c r="G47" i="22"/>
  <c r="D47" i="22"/>
  <c r="C40" i="22"/>
  <c r="E40" i="22"/>
  <c r="L47" i="22" s="1"/>
  <c r="F40" i="22"/>
  <c r="K47" i="22" s="1"/>
  <c r="G40" i="22"/>
  <c r="J47" i="22" s="1"/>
  <c r="H40" i="22"/>
  <c r="I47" i="22" s="1"/>
  <c r="I40" i="22"/>
  <c r="J40" i="22"/>
  <c r="K40" i="22"/>
  <c r="F47" i="22" s="1"/>
  <c r="L40" i="22"/>
  <c r="E47" i="22" s="1"/>
  <c r="M40" i="22"/>
  <c r="N40" i="22"/>
  <c r="C47" i="22" s="1"/>
  <c r="D40" i="22"/>
  <c r="D24" i="22"/>
  <c r="E24" i="22"/>
  <c r="F24" i="22"/>
  <c r="G24" i="22"/>
  <c r="H24" i="22"/>
  <c r="C24" i="22"/>
  <c r="F9" i="4"/>
  <c r="G9" i="4" s="1"/>
  <c r="H9" i="4" s="1"/>
  <c r="I9" i="4" s="1"/>
  <c r="J9" i="4" s="1"/>
  <c r="K9" i="4" s="1"/>
  <c r="L9" i="4" s="1"/>
  <c r="M9" i="4" s="1"/>
  <c r="N9" i="4" s="1"/>
  <c r="O9" i="4" s="1"/>
  <c r="P9" i="4" s="1"/>
  <c r="Q9" i="4" s="1"/>
  <c r="R9" i="4" s="1"/>
  <c r="S9" i="4" s="1"/>
  <c r="T9" i="4" s="1"/>
  <c r="U9" i="4" s="1"/>
  <c r="V9" i="4" s="1"/>
  <c r="W9" i="4" s="1"/>
  <c r="X9" i="4" s="1"/>
  <c r="Y9" i="4" s="1"/>
  <c r="Z9" i="4" s="1"/>
  <c r="AA9" i="4" s="1"/>
  <c r="AB9" i="4" s="1"/>
  <c r="AC9" i="4" s="1"/>
  <c r="AD9" i="4" s="1"/>
  <c r="AE9" i="4" s="1"/>
  <c r="AF9" i="4" s="1"/>
  <c r="D9" i="4"/>
  <c r="D40" i="4"/>
  <c r="E40" i="4"/>
  <c r="F40" i="4"/>
  <c r="E14" i="27"/>
  <c r="C14" i="27"/>
  <c r="D14" i="27" s="1"/>
  <c r="AF5" i="4"/>
  <c r="AE5" i="4"/>
  <c r="AD5" i="4"/>
  <c r="AC5" i="4"/>
  <c r="AB5" i="4"/>
  <c r="AA5" i="4"/>
  <c r="Z5" i="4"/>
  <c r="Y5" i="4"/>
  <c r="X5" i="4"/>
  <c r="W5" i="4"/>
  <c r="V5" i="4"/>
  <c r="U5" i="4"/>
  <c r="T5" i="4"/>
  <c r="E9" i="4"/>
  <c r="E48" i="22"/>
  <c r="F48" i="22" s="1"/>
  <c r="G48" i="22" s="1"/>
  <c r="H48" i="22" s="1"/>
  <c r="I48" i="22" s="1"/>
  <c r="J48" i="22" s="1"/>
  <c r="K48" i="22" s="1"/>
  <c r="L48" i="22" s="1"/>
  <c r="M48" i="22" s="1"/>
  <c r="N48" i="22" s="1"/>
  <c r="C49" i="22"/>
  <c r="D49" i="22"/>
  <c r="E49" i="22"/>
  <c r="F49" i="22"/>
  <c r="G49" i="22"/>
  <c r="H49" i="22"/>
  <c r="I49" i="22"/>
  <c r="J49" i="22"/>
  <c r="K49" i="22"/>
  <c r="L49" i="22"/>
  <c r="M49" i="22"/>
  <c r="M52" i="22" s="1"/>
  <c r="N49" i="22"/>
  <c r="H64" i="17"/>
  <c r="H9" i="17"/>
  <c r="G9" i="17"/>
  <c r="F9" i="17"/>
  <c r="E9" i="17"/>
  <c r="D9" i="17"/>
  <c r="C9" i="17"/>
  <c r="B9" i="17"/>
  <c r="M9" i="17"/>
  <c r="L9" i="17"/>
  <c r="K9" i="17"/>
  <c r="J9" i="17"/>
  <c r="I9" i="17"/>
  <c r="C10" i="17"/>
  <c r="B10" i="17"/>
  <c r="B62" i="3"/>
  <c r="B61" i="3"/>
  <c r="B15" i="3"/>
  <c r="B2" i="3"/>
  <c r="D37" i="22"/>
  <c r="E37" i="22" s="1"/>
  <c r="F37" i="22" s="1"/>
  <c r="G37" i="22" s="1"/>
  <c r="H37" i="22" s="1"/>
  <c r="I37" i="22" s="1"/>
  <c r="J37" i="22" s="1"/>
  <c r="K37" i="22" s="1"/>
  <c r="L37" i="22" s="1"/>
  <c r="M37" i="22" s="1"/>
  <c r="N37" i="22" s="1"/>
  <c r="C48" i="22" s="1"/>
  <c r="C20" i="27"/>
  <c r="C16" i="27"/>
  <c r="C24" i="27"/>
  <c r="C15" i="29"/>
  <c r="C26" i="29"/>
  <c r="C20" i="29"/>
  <c r="C38" i="27"/>
  <c r="C25" i="27"/>
  <c r="C32" i="29"/>
  <c r="C24" i="29"/>
  <c r="C33" i="27"/>
  <c r="C36" i="27"/>
  <c r="C28" i="29"/>
  <c r="C17" i="29"/>
  <c r="C37" i="29"/>
  <c r="C40" i="27"/>
  <c r="C17" i="27"/>
  <c r="C32" i="27"/>
  <c r="C27" i="27"/>
  <c r="C30" i="29"/>
  <c r="C29" i="29"/>
  <c r="C21" i="29"/>
  <c r="C25" i="29"/>
  <c r="C27" i="29"/>
  <c r="C31" i="29"/>
  <c r="C22" i="29"/>
  <c r="C23" i="29"/>
  <c r="C26" i="27"/>
  <c r="C19" i="29"/>
  <c r="C34" i="29"/>
  <c r="C15" i="27"/>
  <c r="C28" i="27"/>
  <c r="C35" i="29"/>
  <c r="C18" i="29"/>
  <c r="C38" i="29"/>
  <c r="C39" i="29"/>
  <c r="C21" i="27"/>
  <c r="C31" i="27"/>
  <c r="C34" i="27"/>
  <c r="C22" i="27"/>
  <c r="C36" i="29"/>
  <c r="C16" i="29"/>
  <c r="C30" i="27"/>
  <c r="C40" i="29"/>
  <c r="C39" i="27"/>
  <c r="C37" i="27"/>
  <c r="C18" i="27"/>
  <c r="C23" i="27"/>
  <c r="C19" i="27"/>
  <c r="C29" i="27"/>
  <c r="C33" i="29"/>
  <c r="C35" i="27"/>
  <c r="N52" i="22" l="1"/>
  <c r="K52" i="22"/>
  <c r="J52" i="22"/>
  <c r="D52" i="22"/>
  <c r="H52" i="22"/>
  <c r="G52" i="22"/>
  <c r="E52" i="22"/>
  <c r="L52" i="22"/>
  <c r="I52" i="22"/>
  <c r="F52" i="22"/>
  <c r="O52" i="22"/>
  <c r="B13" i="17"/>
  <c r="F25" i="1"/>
  <c r="D36" i="29"/>
  <c r="E39" i="29"/>
  <c r="D30" i="27"/>
  <c r="E26" i="29"/>
  <c r="E24" i="29"/>
  <c r="E39" i="27"/>
  <c r="E32" i="29"/>
  <c r="D32" i="27"/>
  <c r="D29" i="27"/>
  <c r="E23" i="29"/>
  <c r="E24" i="27"/>
  <c r="E15" i="29"/>
  <c r="D20" i="29"/>
  <c r="E30" i="29"/>
  <c r="E31" i="27"/>
  <c r="D16" i="27"/>
  <c r="D32" i="29"/>
  <c r="E33" i="29"/>
  <c r="D40" i="29"/>
  <c r="E37" i="29"/>
  <c r="E17" i="27"/>
  <c r="D21" i="29"/>
  <c r="E38" i="29"/>
  <c r="D22" i="29"/>
  <c r="E18" i="27"/>
  <c r="D27" i="29"/>
  <c r="D19" i="29"/>
  <c r="D28" i="27"/>
  <c r="D17" i="29"/>
  <c r="E29" i="27"/>
  <c r="E21" i="27"/>
  <c r="E22" i="27"/>
  <c r="D36" i="27"/>
  <c r="D24" i="29"/>
  <c r="E38" i="27"/>
  <c r="E40" i="29"/>
  <c r="E34" i="27"/>
  <c r="D18" i="27"/>
  <c r="D37" i="29"/>
  <c r="D34" i="27"/>
  <c r="E31" i="29"/>
  <c r="E26" i="27"/>
  <c r="E21" i="29"/>
  <c r="D29" i="29"/>
  <c r="D30" i="29"/>
  <c r="D35" i="29"/>
  <c r="D21" i="27"/>
  <c r="D39" i="29"/>
  <c r="E15" i="27"/>
  <c r="E27" i="27"/>
  <c r="D26" i="27"/>
  <c r="E25" i="29"/>
  <c r="E34" i="29"/>
  <c r="E25" i="27"/>
  <c r="E35" i="27"/>
  <c r="D15" i="27"/>
  <c r="D33" i="29"/>
  <c r="D26" i="29"/>
  <c r="E19" i="29"/>
  <c r="E33" i="27"/>
  <c r="E27" i="29"/>
  <c r="D22" i="27"/>
  <c r="E30" i="27"/>
  <c r="D31" i="27"/>
  <c r="E16" i="29"/>
  <c r="E37" i="27"/>
  <c r="E28" i="27"/>
  <c r="E36" i="27"/>
  <c r="E18" i="29"/>
  <c r="E32" i="27"/>
  <c r="D31" i="29"/>
  <c r="D27" i="27"/>
  <c r="E29" i="29"/>
  <c r="E17" i="29"/>
  <c r="D33" i="27"/>
  <c r="D28" i="29"/>
  <c r="D20" i="27"/>
  <c r="E40" i="27"/>
  <c r="E23" i="27"/>
  <c r="E28" i="29"/>
  <c r="E36" i="29"/>
  <c r="D38" i="27"/>
  <c r="D23" i="27"/>
  <c r="D23" i="29"/>
  <c r="D37" i="27"/>
  <c r="D18" i="29"/>
  <c r="D25" i="27"/>
  <c r="D25" i="29"/>
  <c r="D38" i="29"/>
  <c r="D24" i="27"/>
  <c r="E20" i="27"/>
  <c r="E16" i="27"/>
  <c r="D34" i="29"/>
  <c r="E22" i="29"/>
  <c r="E35" i="29"/>
  <c r="D40" i="27"/>
  <c r="D15" i="29"/>
  <c r="D39" i="27"/>
  <c r="E19" i="27"/>
  <c r="D16" i="29"/>
  <c r="E20" i="29"/>
  <c r="D35" i="27"/>
  <c r="D19" i="27"/>
  <c r="D17" i="27"/>
  <c r="P52" i="22" l="1"/>
  <c r="J19" i="22"/>
  <c r="J21" i="22"/>
  <c r="J24" i="22"/>
  <c r="J25" i="22"/>
  <c r="J30" i="22"/>
  <c r="D56" i="3"/>
  <c r="B55" i="3" s="1"/>
  <c r="E56" i="3"/>
  <c r="F56" i="3"/>
  <c r="G56" i="3"/>
  <c r="K55" i="3"/>
  <c r="J55" i="3"/>
  <c r="I55" i="3"/>
  <c r="K54" i="3"/>
  <c r="J54" i="3"/>
  <c r="I54" i="3"/>
  <c r="J53" i="3"/>
  <c r="K53" i="3" s="1"/>
  <c r="L53" i="3" s="1"/>
  <c r="E53" i="3"/>
  <c r="F53" i="3" s="1"/>
  <c r="G53" i="3" s="1"/>
  <c r="I49" i="3"/>
  <c r="F49" i="3"/>
  <c r="G49" i="3"/>
  <c r="H49" i="3"/>
  <c r="E49" i="3"/>
  <c r="D49" i="3"/>
  <c r="O48" i="3"/>
  <c r="N48" i="3"/>
  <c r="M48" i="3"/>
  <c r="L48" i="3"/>
  <c r="K48" i="3"/>
  <c r="O47" i="3"/>
  <c r="N47" i="3"/>
  <c r="M47" i="3"/>
  <c r="L47" i="3"/>
  <c r="K47" i="3"/>
  <c r="O46" i="3"/>
  <c r="N46" i="3"/>
  <c r="M46" i="3"/>
  <c r="L46" i="3"/>
  <c r="K46" i="3"/>
  <c r="O45" i="3"/>
  <c r="N45" i="3"/>
  <c r="M45" i="3"/>
  <c r="L45" i="3"/>
  <c r="K45" i="3"/>
  <c r="O44" i="3"/>
  <c r="N44" i="3"/>
  <c r="M44" i="3"/>
  <c r="L44" i="3"/>
  <c r="K44" i="3"/>
  <c r="O43" i="3"/>
  <c r="N43" i="3"/>
  <c r="M43" i="3"/>
  <c r="L43" i="3"/>
  <c r="K43" i="3"/>
  <c r="O42" i="3"/>
  <c r="N42" i="3"/>
  <c r="M42" i="3"/>
  <c r="L42" i="3"/>
  <c r="K42" i="3"/>
  <c r="O41" i="3"/>
  <c r="N41" i="3"/>
  <c r="M41" i="3"/>
  <c r="L41" i="3"/>
  <c r="K41" i="3"/>
  <c r="O40" i="3"/>
  <c r="N40" i="3"/>
  <c r="M40" i="3"/>
  <c r="L40" i="3"/>
  <c r="K40" i="3"/>
  <c r="L39" i="3"/>
  <c r="M39" i="3" s="1"/>
  <c r="N39" i="3" s="1"/>
  <c r="O39" i="3" s="1"/>
  <c r="P39" i="3" s="1"/>
  <c r="E39" i="3"/>
  <c r="F39" i="3" s="1"/>
  <c r="G39" i="3" s="1"/>
  <c r="H39" i="3" s="1"/>
  <c r="I39" i="3" s="1"/>
  <c r="E28" i="3"/>
  <c r="F28" i="3" s="1"/>
  <c r="G28" i="3" s="1"/>
  <c r="H28" i="3" s="1"/>
  <c r="I28" i="3" s="1"/>
  <c r="L28" i="3"/>
  <c r="M28" i="3" s="1"/>
  <c r="N28" i="3" s="1"/>
  <c r="O28" i="3" s="1"/>
  <c r="P28" i="3" s="1"/>
  <c r="K29" i="3"/>
  <c r="L29" i="3"/>
  <c r="M29" i="3"/>
  <c r="N29" i="3"/>
  <c r="O29" i="3"/>
  <c r="K30" i="3"/>
  <c r="L30" i="3"/>
  <c r="M30" i="3"/>
  <c r="N30" i="3"/>
  <c r="O30" i="3"/>
  <c r="K31" i="3"/>
  <c r="L31" i="3"/>
  <c r="M31" i="3"/>
  <c r="N31" i="3"/>
  <c r="O31" i="3"/>
  <c r="K32" i="3"/>
  <c r="L32" i="3"/>
  <c r="M32" i="3"/>
  <c r="N32" i="3"/>
  <c r="O32" i="3"/>
  <c r="K33" i="3"/>
  <c r="L33" i="3"/>
  <c r="M33" i="3"/>
  <c r="N33" i="3"/>
  <c r="O33" i="3"/>
  <c r="K34" i="3"/>
  <c r="L34" i="3"/>
  <c r="M34" i="3"/>
  <c r="N34" i="3"/>
  <c r="O34" i="3"/>
  <c r="D35" i="3"/>
  <c r="E35" i="3"/>
  <c r="F35" i="3"/>
  <c r="G35" i="3"/>
  <c r="H35" i="3"/>
  <c r="I35" i="3"/>
  <c r="L6" i="19"/>
  <c r="R6" i="19" s="1"/>
  <c r="L9" i="19"/>
  <c r="I14" i="1"/>
  <c r="M102" i="1"/>
  <c r="L102" i="1"/>
  <c r="K102" i="1"/>
  <c r="J102" i="1"/>
  <c r="I102" i="1"/>
  <c r="J56" i="3" l="1"/>
  <c r="K56" i="3"/>
  <c r="I56" i="3"/>
  <c r="B54" i="3"/>
  <c r="B56" i="3" s="1"/>
  <c r="O49" i="3"/>
  <c r="N49" i="3"/>
  <c r="K49" i="3"/>
  <c r="B46" i="3"/>
  <c r="B40" i="3"/>
  <c r="L49" i="3"/>
  <c r="B43" i="3"/>
  <c r="M49" i="3"/>
  <c r="K35" i="3"/>
  <c r="M35" i="3"/>
  <c r="N35" i="3"/>
  <c r="L35" i="3"/>
  <c r="B29" i="3"/>
  <c r="B30" i="3"/>
  <c r="O35" i="3"/>
  <c r="M16" i="1"/>
  <c r="M15" i="1"/>
  <c r="M18" i="1"/>
  <c r="B49" i="3" l="1"/>
  <c r="M76" i="1"/>
  <c r="K19" i="22" l="1"/>
  <c r="K21" i="22"/>
  <c r="K24" i="22"/>
  <c r="K25" i="22"/>
  <c r="K30" i="22"/>
  <c r="J16" i="22"/>
  <c r="K16" i="22"/>
  <c r="H23" i="22"/>
  <c r="H26" i="22"/>
  <c r="H27" i="22"/>
  <c r="H28" i="22"/>
  <c r="H9" i="22"/>
  <c r="H10" i="22"/>
  <c r="D75" i="3"/>
  <c r="D23" i="22"/>
  <c r="E23" i="22"/>
  <c r="E59" i="4" s="1"/>
  <c r="F23" i="22"/>
  <c r="G23" i="22"/>
  <c r="C23" i="22"/>
  <c r="D28" i="22"/>
  <c r="M28" i="22" s="1"/>
  <c r="E28" i="22"/>
  <c r="F28" i="22"/>
  <c r="G28" i="22"/>
  <c r="D26" i="22"/>
  <c r="E26" i="22"/>
  <c r="F26" i="22"/>
  <c r="G26" i="22"/>
  <c r="C26" i="22"/>
  <c r="M26" i="22" s="1"/>
  <c r="D27" i="22"/>
  <c r="E27" i="22"/>
  <c r="F27" i="22"/>
  <c r="C27" i="22"/>
  <c r="F54" i="4"/>
  <c r="F55" i="4"/>
  <c r="F56" i="4"/>
  <c r="F57" i="4"/>
  <c r="F58" i="4"/>
  <c r="F59" i="4"/>
  <c r="F60" i="4"/>
  <c r="F61" i="4"/>
  <c r="F62" i="4"/>
  <c r="F63" i="4"/>
  <c r="F64" i="4"/>
  <c r="F65" i="4"/>
  <c r="F66" i="4"/>
  <c r="F67" i="4"/>
  <c r="D54" i="4"/>
  <c r="E54" i="4"/>
  <c r="D55" i="4"/>
  <c r="E55" i="4"/>
  <c r="D57" i="4"/>
  <c r="E57" i="4"/>
  <c r="D58" i="4"/>
  <c r="E58" i="4"/>
  <c r="D60" i="4"/>
  <c r="E60" i="4"/>
  <c r="D61" i="4"/>
  <c r="E61" i="4"/>
  <c r="D66" i="4"/>
  <c r="I27" i="4" s="1"/>
  <c r="E66" i="4"/>
  <c r="D18" i="10"/>
  <c r="E18" i="10"/>
  <c r="F18" i="10"/>
  <c r="G18" i="10"/>
  <c r="H18" i="10"/>
  <c r="B87" i="17"/>
  <c r="J23" i="22" l="1"/>
  <c r="D59" i="4" s="1"/>
  <c r="J28" i="22"/>
  <c r="J26" i="22"/>
  <c r="N26" i="22" s="1"/>
  <c r="E62" i="4" s="1"/>
  <c r="G27" i="4"/>
  <c r="K27" i="22"/>
  <c r="M27" i="22" s="1"/>
  <c r="D63" i="4" s="1"/>
  <c r="K23" i="22"/>
  <c r="K26" i="22"/>
  <c r="D62" i="4" s="1"/>
  <c r="K28" i="22"/>
  <c r="H27" i="4"/>
  <c r="I48" i="10"/>
  <c r="O6" i="3"/>
  <c r="O7" i="3"/>
  <c r="O8" i="3"/>
  <c r="O9" i="3"/>
  <c r="N6" i="3"/>
  <c r="N7" i="3"/>
  <c r="N8" i="3"/>
  <c r="N9" i="3"/>
  <c r="M6" i="3"/>
  <c r="M7" i="3"/>
  <c r="M8" i="3"/>
  <c r="M9" i="3"/>
  <c r="L6" i="3"/>
  <c r="L7" i="3"/>
  <c r="L8" i="3"/>
  <c r="L9" i="3"/>
  <c r="K6" i="3"/>
  <c r="K7" i="3"/>
  <c r="K8" i="3"/>
  <c r="K9" i="3"/>
  <c r="D64" i="4" l="1"/>
  <c r="E64" i="4"/>
  <c r="D6" i="4"/>
  <c r="E6" i="4"/>
  <c r="F6" i="4"/>
  <c r="G24" i="4"/>
  <c r="G23" i="4"/>
  <c r="G40" i="4" s="1"/>
  <c r="C16" i="22"/>
  <c r="D6" i="10" a="1"/>
  <c r="D6" i="10" s="1"/>
  <c r="D5" i="10" a="1"/>
  <c r="D5" i="10" s="1"/>
  <c r="D4" i="10" a="1"/>
  <c r="D4" i="10" s="1"/>
  <c r="D3" i="10" a="1"/>
  <c r="D3" i="10" s="1"/>
  <c r="D2" i="10" a="1"/>
  <c r="D2" i="10" s="1"/>
  <c r="H8" i="10"/>
  <c r="G8" i="10"/>
  <c r="F8" i="10"/>
  <c r="E8" i="10"/>
  <c r="D8" i="10"/>
  <c r="D10" i="10" s="1" a="1"/>
  <c r="D10" i="10" s="1"/>
  <c r="C60" i="17"/>
  <c r="D29" i="22" s="1"/>
  <c r="D60" i="17"/>
  <c r="E29" i="22" s="1"/>
  <c r="E60" i="17"/>
  <c r="F29" i="22" s="1"/>
  <c r="F60" i="17"/>
  <c r="G29" i="22" s="1"/>
  <c r="G60" i="17"/>
  <c r="H29" i="22" s="1"/>
  <c r="H60" i="17"/>
  <c r="I60" i="17"/>
  <c r="J60" i="17"/>
  <c r="K60" i="17"/>
  <c r="L60" i="17"/>
  <c r="M60" i="17"/>
  <c r="B60" i="17"/>
  <c r="C29" i="22" s="1"/>
  <c r="G67" i="17"/>
  <c r="H67" i="17"/>
  <c r="I67" i="17"/>
  <c r="J67" i="17"/>
  <c r="K67" i="17"/>
  <c r="L67" i="17"/>
  <c r="M67" i="17"/>
  <c r="H47" i="17"/>
  <c r="I47" i="17"/>
  <c r="J47" i="17"/>
  <c r="K47" i="17"/>
  <c r="L47" i="17"/>
  <c r="M47" i="17"/>
  <c r="E32" i="17"/>
  <c r="F32" i="17"/>
  <c r="G32" i="17"/>
  <c r="H32" i="17"/>
  <c r="I32" i="17"/>
  <c r="J32" i="17"/>
  <c r="K32" i="17"/>
  <c r="L32" i="17"/>
  <c r="M32" i="17"/>
  <c r="D32" i="17"/>
  <c r="F17" i="1"/>
  <c r="F18" i="1"/>
  <c r="F19" i="1"/>
  <c r="F20" i="1"/>
  <c r="J29" i="22" l="1"/>
  <c r="N29" i="22" s="1"/>
  <c r="E65" i="4" s="1"/>
  <c r="K29" i="22"/>
  <c r="M29" i="22" s="1"/>
  <c r="D65" i="4" s="1"/>
  <c r="I30" i="4"/>
  <c r="G30" i="4"/>
  <c r="H30" i="4"/>
  <c r="H10" i="10" a="1"/>
  <c r="H10" i="10" s="1"/>
  <c r="H45" i="10" a="1"/>
  <c r="H45" i="10" s="1"/>
  <c r="D45" i="10" a="1"/>
  <c r="D45" i="10" s="1"/>
  <c r="E10" i="10" a="1"/>
  <c r="E10" i="10" s="1"/>
  <c r="E45" i="10" a="1"/>
  <c r="E45" i="10" s="1"/>
  <c r="F10" i="10" a="1"/>
  <c r="F10" i="10" s="1"/>
  <c r="F45" i="10" a="1"/>
  <c r="F45" i="10" s="1"/>
  <c r="G10" i="10" a="1"/>
  <c r="G10" i="10" s="1"/>
  <c r="G45" i="10" a="1"/>
  <c r="G45" i="10" s="1"/>
  <c r="B14" i="17"/>
  <c r="B77" i="17"/>
  <c r="B75" i="17"/>
  <c r="B67" i="17"/>
  <c r="B63" i="17"/>
  <c r="B32" i="17"/>
  <c r="B36" i="17" s="1"/>
  <c r="B31" i="17"/>
  <c r="B23" i="17"/>
  <c r="B37" i="17" l="1"/>
  <c r="G36" i="10"/>
  <c r="G37" i="10"/>
  <c r="E37" i="10"/>
  <c r="E36" i="10"/>
  <c r="D36" i="10"/>
  <c r="D37" i="10"/>
  <c r="F36" i="10"/>
  <c r="F37" i="10"/>
  <c r="H36" i="10"/>
  <c r="H37" i="10"/>
  <c r="H52" i="10" l="1"/>
  <c r="G52" i="10"/>
  <c r="F52" i="10"/>
  <c r="E52" i="10"/>
  <c r="D52" i="10"/>
  <c r="E10" i="22"/>
  <c r="F10" i="22"/>
  <c r="G10" i="22"/>
  <c r="G9" i="22"/>
  <c r="F9" i="22"/>
  <c r="E9" i="22"/>
  <c r="D10" i="22"/>
  <c r="D9" i="22"/>
  <c r="C10" i="22"/>
  <c r="C9" i="22"/>
  <c r="J9" i="22" l="1"/>
  <c r="J10" i="22"/>
  <c r="N10" i="22" s="1"/>
  <c r="K7" i="4" s="1"/>
  <c r="L7" i="4" s="1"/>
  <c r="M7" i="4" s="1"/>
  <c r="N7" i="4" s="1"/>
  <c r="O7" i="4" s="1"/>
  <c r="P7" i="4" s="1"/>
  <c r="Q7" i="4" s="1"/>
  <c r="R7" i="4" s="1"/>
  <c r="S7" i="4" s="1"/>
  <c r="T7" i="4" s="1"/>
  <c r="K10" i="22"/>
  <c r="K9" i="22"/>
  <c r="J6" i="4" s="1"/>
  <c r="J30" i="4" s="1"/>
  <c r="D8" i="22"/>
  <c r="C49" i="10"/>
  <c r="K6" i="4" l="1"/>
  <c r="K30" i="4" s="1"/>
  <c r="J27" i="4"/>
  <c r="I49" i="10"/>
  <c r="J49" i="10" s="1"/>
  <c r="E8" i="22"/>
  <c r="D16" i="22"/>
  <c r="F50" i="4"/>
  <c r="J35" i="1" s="1"/>
  <c r="O19" i="3"/>
  <c r="N19" i="3"/>
  <c r="M19" i="3"/>
  <c r="L19" i="3"/>
  <c r="K19" i="3"/>
  <c r="Q4" i="19"/>
  <c r="P4" i="19"/>
  <c r="O4" i="19"/>
  <c r="N4" i="19"/>
  <c r="M4" i="19"/>
  <c r="K27" i="4" l="1"/>
  <c r="F8" i="22"/>
  <c r="E16" i="22"/>
  <c r="I44" i="10"/>
  <c r="J44" i="10" s="1"/>
  <c r="I46" i="10"/>
  <c r="J46" i="10" s="1"/>
  <c r="E2" i="1"/>
  <c r="H22" i="10"/>
  <c r="G22" i="10"/>
  <c r="F22" i="10"/>
  <c r="E22" i="10"/>
  <c r="D22" i="10"/>
  <c r="C77" i="17"/>
  <c r="F48" i="1" s="1"/>
  <c r="D77" i="17"/>
  <c r="F47" i="1" s="1"/>
  <c r="E77" i="17"/>
  <c r="F46" i="1" s="1"/>
  <c r="F77" i="17"/>
  <c r="F45" i="1" s="1"/>
  <c r="G77" i="17"/>
  <c r="F44" i="1" s="1"/>
  <c r="H77" i="17"/>
  <c r="F43" i="1" s="1"/>
  <c r="I77" i="17"/>
  <c r="F42" i="1" s="1"/>
  <c r="J77" i="17"/>
  <c r="F41" i="1" s="1"/>
  <c r="K77" i="17"/>
  <c r="L77" i="17"/>
  <c r="M77" i="17"/>
  <c r="F49" i="1"/>
  <c r="L30" i="4" l="1"/>
  <c r="M17" i="1" a="1"/>
  <c r="M17" i="1" s="1"/>
  <c r="G102" i="1"/>
  <c r="B12" i="1" a="1"/>
  <c r="B12" i="1" s="1"/>
  <c r="L2" i="1" a="1"/>
  <c r="L2" i="1" s="1"/>
  <c r="G8" i="22"/>
  <c r="F16" i="22"/>
  <c r="C16" i="1" a="1"/>
  <c r="C16" i="1" s="1"/>
  <c r="C15" i="1" a="1"/>
  <c r="C15" i="1" s="1"/>
  <c r="C8" i="10"/>
  <c r="N6" i="4" l="1"/>
  <c r="M30" i="4"/>
  <c r="C45" i="10" a="1"/>
  <c r="C45" i="10" s="1"/>
  <c r="C10" i="10" a="1"/>
  <c r="C10" i="10" s="1"/>
  <c r="G16" i="22"/>
  <c r="H8" i="22"/>
  <c r="L4" i="19"/>
  <c r="D4" i="1" a="1"/>
  <c r="D4" i="1" s="1"/>
  <c r="E28" i="10"/>
  <c r="P9" i="19"/>
  <c r="P8" i="19"/>
  <c r="P7" i="19"/>
  <c r="P6" i="19"/>
  <c r="C23" i="17"/>
  <c r="B22" i="17" s="1"/>
  <c r="D23" i="17"/>
  <c r="E23" i="17"/>
  <c r="F23" i="17"/>
  <c r="G23" i="17"/>
  <c r="H23" i="17"/>
  <c r="I23" i="17"/>
  <c r="J23" i="17"/>
  <c r="K23" i="17"/>
  <c r="L23" i="17"/>
  <c r="M23" i="17"/>
  <c r="D21" i="4"/>
  <c r="E21" i="4"/>
  <c r="F21" i="4"/>
  <c r="D24" i="4"/>
  <c r="N30" i="4" l="1"/>
  <c r="O6" i="4"/>
  <c r="N27" i="4"/>
  <c r="H16" i="22"/>
  <c r="D27" i="4"/>
  <c r="E27" i="4"/>
  <c r="F27" i="4"/>
  <c r="O30" i="4" l="1"/>
  <c r="O5" i="4"/>
  <c r="P6" i="4"/>
  <c r="O27" i="4"/>
  <c r="K75" i="17"/>
  <c r="L75" i="17"/>
  <c r="M75" i="17"/>
  <c r="J75" i="17"/>
  <c r="F31" i="4"/>
  <c r="E67" i="17"/>
  <c r="M63" i="17"/>
  <c r="E63" i="17"/>
  <c r="F63" i="17"/>
  <c r="G63" i="17"/>
  <c r="H63" i="17"/>
  <c r="I63" i="17"/>
  <c r="J63" i="17"/>
  <c r="F22" i="1"/>
  <c r="F16" i="1"/>
  <c r="D28" i="4"/>
  <c r="E28" i="4"/>
  <c r="F28" i="4"/>
  <c r="F25" i="4"/>
  <c r="P30" i="4" l="1"/>
  <c r="Q6" i="4"/>
  <c r="P27" i="4"/>
  <c r="D73" i="4"/>
  <c r="Q30" i="4" l="1"/>
  <c r="R6" i="4"/>
  <c r="Q27" i="4"/>
  <c r="E75" i="17"/>
  <c r="F75" i="17"/>
  <c r="G75" i="17"/>
  <c r="H75" i="17"/>
  <c r="I75" i="17"/>
  <c r="E36" i="17"/>
  <c r="F46" i="17"/>
  <c r="C32" i="17"/>
  <c r="K50" i="17"/>
  <c r="D75" i="17"/>
  <c r="D31" i="4" s="1"/>
  <c r="C75" i="17"/>
  <c r="E31" i="4" s="1"/>
  <c r="D63" i="17"/>
  <c r="I22" i="17"/>
  <c r="K22" i="17"/>
  <c r="C8" i="19"/>
  <c r="M6" i="19"/>
  <c r="N6" i="19"/>
  <c r="O6" i="19"/>
  <c r="Q6" i="19"/>
  <c r="M7" i="19"/>
  <c r="N7" i="19"/>
  <c r="O7" i="19"/>
  <c r="Q7" i="19"/>
  <c r="M8" i="19"/>
  <c r="N8" i="19"/>
  <c r="O8" i="19"/>
  <c r="Q8" i="19"/>
  <c r="M9" i="19"/>
  <c r="N9" i="19"/>
  <c r="O9" i="19"/>
  <c r="Q9" i="19"/>
  <c r="L7" i="19"/>
  <c r="L8" i="19"/>
  <c r="L18" i="3"/>
  <c r="M18" i="3"/>
  <c r="N18" i="3"/>
  <c r="O18" i="3"/>
  <c r="L20" i="3"/>
  <c r="M20" i="3"/>
  <c r="N20" i="3"/>
  <c r="O20" i="3"/>
  <c r="L21" i="3"/>
  <c r="M21" i="3"/>
  <c r="N21" i="3"/>
  <c r="O21" i="3"/>
  <c r="L22" i="3"/>
  <c r="M22" i="3"/>
  <c r="N22" i="3"/>
  <c r="O22" i="3"/>
  <c r="L23" i="3"/>
  <c r="M23" i="3"/>
  <c r="N23" i="3"/>
  <c r="O23" i="3"/>
  <c r="K20" i="3"/>
  <c r="K21" i="3"/>
  <c r="K22" i="3"/>
  <c r="K23" i="3"/>
  <c r="K18" i="3"/>
  <c r="O10" i="3"/>
  <c r="O5" i="3"/>
  <c r="N10" i="3"/>
  <c r="N5" i="3"/>
  <c r="M5" i="3"/>
  <c r="L5" i="3"/>
  <c r="K5" i="3"/>
  <c r="E22" i="4"/>
  <c r="F22" i="4"/>
  <c r="E11" i="4"/>
  <c r="F11" i="4"/>
  <c r="D11" i="4"/>
  <c r="C63" i="17"/>
  <c r="D67" i="17"/>
  <c r="D25" i="4" s="1"/>
  <c r="R30" i="4" l="1"/>
  <c r="S6" i="4"/>
  <c r="R27" i="4"/>
  <c r="G39" i="4"/>
  <c r="G38" i="4"/>
  <c r="R8" i="19"/>
  <c r="R7" i="19"/>
  <c r="R9" i="19"/>
  <c r="C6" i="19"/>
  <c r="D24" i="3"/>
  <c r="I4" i="4"/>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7" i="10"/>
  <c r="E47" i="10"/>
  <c r="F47" i="10"/>
  <c r="G47" i="10"/>
  <c r="H47" i="10"/>
  <c r="G28" i="10"/>
  <c r="D11" i="10"/>
  <c r="D50" i="10" s="1"/>
  <c r="E11" i="10"/>
  <c r="E50" i="10" s="1"/>
  <c r="F11" i="10"/>
  <c r="F50" i="10" s="1"/>
  <c r="G11" i="10"/>
  <c r="G50" i="10" s="1"/>
  <c r="H11" i="10"/>
  <c r="H50" i="10" s="1"/>
  <c r="D13" i="10"/>
  <c r="E13" i="10"/>
  <c r="F13" i="10"/>
  <c r="G13" i="10"/>
  <c r="H13" i="10"/>
  <c r="D14" i="10"/>
  <c r="E14" i="10"/>
  <c r="F14" i="10"/>
  <c r="G14" i="10"/>
  <c r="H14" i="10"/>
  <c r="D15" i="10"/>
  <c r="E15" i="10"/>
  <c r="F15" i="10"/>
  <c r="G15" i="10"/>
  <c r="H15" i="10"/>
  <c r="D16" i="10"/>
  <c r="E16" i="10"/>
  <c r="F16" i="10"/>
  <c r="G16" i="10"/>
  <c r="H16" i="10"/>
  <c r="D17" i="10"/>
  <c r="E17" i="10"/>
  <c r="F17" i="10"/>
  <c r="G17" i="10"/>
  <c r="H17" i="10"/>
  <c r="D20" i="10"/>
  <c r="E20" i="10"/>
  <c r="F20" i="10"/>
  <c r="G20" i="10"/>
  <c r="H20" i="10"/>
  <c r="D21" i="10"/>
  <c r="E21" i="10"/>
  <c r="F21" i="10"/>
  <c r="G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D33" i="10"/>
  <c r="E33" i="10"/>
  <c r="F33" i="10"/>
  <c r="G33" i="10"/>
  <c r="H33" i="10"/>
  <c r="D34" i="10"/>
  <c r="E34" i="10"/>
  <c r="F34" i="10"/>
  <c r="G34" i="10"/>
  <c r="H34" i="10"/>
  <c r="D35" i="10"/>
  <c r="E35" i="10"/>
  <c r="F35" i="10"/>
  <c r="G35" i="10"/>
  <c r="H35" i="10"/>
  <c r="C40" i="10"/>
  <c r="C39" i="10"/>
  <c r="C52" i="10"/>
  <c r="I9" i="10"/>
  <c r="I38" i="10"/>
  <c r="C72" i="10"/>
  <c r="C71" i="10"/>
  <c r="C68" i="10"/>
  <c r="E24" i="3"/>
  <c r="F24" i="3"/>
  <c r="G24" i="3"/>
  <c r="H24" i="3"/>
  <c r="I24" i="3"/>
  <c r="E13" i="3"/>
  <c r="F13" i="3"/>
  <c r="G13" i="3"/>
  <c r="H13" i="3"/>
  <c r="I13" i="3"/>
  <c r="K17" i="3"/>
  <c r="L17" i="3" s="1"/>
  <c r="M17" i="3" s="1"/>
  <c r="N17" i="3" s="1"/>
  <c r="O17" i="3" s="1"/>
  <c r="P17" i="3" s="1"/>
  <c r="K4" i="3"/>
  <c r="L4" i="3" s="1"/>
  <c r="M4" i="3" s="1"/>
  <c r="N4" i="3" s="1"/>
  <c r="O4" i="3" s="1"/>
  <c r="P4" i="3" s="1"/>
  <c r="D17" i="3"/>
  <c r="E17" i="3" s="1"/>
  <c r="F17" i="3" s="1"/>
  <c r="G17" i="3" s="1"/>
  <c r="H17" i="3" s="1"/>
  <c r="I17" i="3" s="1"/>
  <c r="D4" i="3"/>
  <c r="E4" i="3" s="1"/>
  <c r="F4" i="3" s="1"/>
  <c r="G4" i="3" s="1"/>
  <c r="H4" i="3" s="1"/>
  <c r="I4" i="3" s="1"/>
  <c r="M74" i="16"/>
  <c r="L74" i="16"/>
  <c r="K74" i="16"/>
  <c r="J74" i="16"/>
  <c r="I74" i="16"/>
  <c r="H74" i="16"/>
  <c r="G74" i="16"/>
  <c r="F74" i="16"/>
  <c r="E74" i="16"/>
  <c r="D74" i="16"/>
  <c r="C74" i="16"/>
  <c r="B74" i="16"/>
  <c r="M73" i="16"/>
  <c r="L73" i="16"/>
  <c r="K73" i="16"/>
  <c r="J73" i="16"/>
  <c r="I73" i="16"/>
  <c r="H73" i="16"/>
  <c r="G73" i="16"/>
  <c r="F73" i="16"/>
  <c r="E73" i="16"/>
  <c r="D73" i="16"/>
  <c r="C73" i="16"/>
  <c r="B73" i="16"/>
  <c r="M72" i="16"/>
  <c r="L72" i="16"/>
  <c r="K72" i="16"/>
  <c r="J72" i="16"/>
  <c r="I72" i="16"/>
  <c r="H72" i="16"/>
  <c r="G72" i="16"/>
  <c r="F72" i="16"/>
  <c r="E72" i="16"/>
  <c r="D72" i="16"/>
  <c r="C72" i="16"/>
  <c r="B72" i="16"/>
  <c r="M70" i="16"/>
  <c r="L70" i="16"/>
  <c r="K70" i="16"/>
  <c r="J70" i="16"/>
  <c r="I70" i="16"/>
  <c r="H70" i="16"/>
  <c r="G70" i="16"/>
  <c r="E70" i="16"/>
  <c r="D70" i="16"/>
  <c r="C70" i="16"/>
  <c r="B70" i="16"/>
  <c r="M69" i="16"/>
  <c r="L69" i="16"/>
  <c r="K69" i="16"/>
  <c r="J69" i="16"/>
  <c r="I69" i="16"/>
  <c r="H69" i="16"/>
  <c r="G69" i="16"/>
  <c r="F69" i="16"/>
  <c r="E69" i="16"/>
  <c r="D69" i="16"/>
  <c r="C69" i="16"/>
  <c r="B69" i="16"/>
  <c r="B23" i="16"/>
  <c r="M62" i="16"/>
  <c r="L62" i="16"/>
  <c r="K62" i="16"/>
  <c r="J62" i="16"/>
  <c r="I62" i="16"/>
  <c r="H62" i="16"/>
  <c r="G62" i="16"/>
  <c r="F62" i="16"/>
  <c r="E62" i="16"/>
  <c r="D62" i="16"/>
  <c r="C62" i="16"/>
  <c r="B62" i="16"/>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M79" i="16"/>
  <c r="L79" i="16"/>
  <c r="K79" i="16"/>
  <c r="J79" i="16"/>
  <c r="I79" i="16"/>
  <c r="H79" i="16"/>
  <c r="G79" i="16"/>
  <c r="F79" i="16"/>
  <c r="E79" i="16"/>
  <c r="D79" i="16"/>
  <c r="C79" i="16"/>
  <c r="B79" i="16"/>
  <c r="M78" i="16"/>
  <c r="L78" i="16"/>
  <c r="K78" i="16"/>
  <c r="J78" i="16"/>
  <c r="I78" i="16"/>
  <c r="H78" i="16"/>
  <c r="G78" i="16"/>
  <c r="F78" i="16"/>
  <c r="E78" i="16"/>
  <c r="D78" i="16"/>
  <c r="C78" i="16"/>
  <c r="B78" i="16"/>
  <c r="M52" i="16"/>
  <c r="L52" i="16"/>
  <c r="J52" i="16"/>
  <c r="I52" i="16"/>
  <c r="H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L49" i="16"/>
  <c r="K49" i="16"/>
  <c r="J49" i="16"/>
  <c r="I49" i="16"/>
  <c r="H49" i="16"/>
  <c r="G49" i="16"/>
  <c r="F49" i="16"/>
  <c r="E49" i="16"/>
  <c r="D49" i="16"/>
  <c r="C49" i="16"/>
  <c r="B49" i="16"/>
  <c r="B44" i="16"/>
  <c r="C70" i="10" s="1"/>
  <c r="M42" i="16"/>
  <c r="L42" i="16"/>
  <c r="K42" i="16"/>
  <c r="J42" i="16"/>
  <c r="I42" i="16"/>
  <c r="H42" i="16"/>
  <c r="G42" i="16"/>
  <c r="F42" i="16"/>
  <c r="E42" i="16"/>
  <c r="D42" i="16"/>
  <c r="C42" i="16"/>
  <c r="B42" i="16"/>
  <c r="C69" i="10" s="1"/>
  <c r="M41" i="16"/>
  <c r="L41" i="16"/>
  <c r="K41" i="16"/>
  <c r="J41" i="16"/>
  <c r="I41" i="16"/>
  <c r="H41" i="16"/>
  <c r="G41" i="16"/>
  <c r="F41" i="16"/>
  <c r="E41" i="16"/>
  <c r="D41" i="16"/>
  <c r="C41" i="16"/>
  <c r="B41" i="16"/>
  <c r="M40" i="16"/>
  <c r="L40" i="16"/>
  <c r="K40" i="16"/>
  <c r="J40" i="16"/>
  <c r="I40" i="16"/>
  <c r="H40" i="16"/>
  <c r="G40" i="16"/>
  <c r="F40" i="16"/>
  <c r="E40" i="16"/>
  <c r="D40" i="16"/>
  <c r="C40" i="16"/>
  <c r="B40" i="16"/>
  <c r="T40" i="16" s="1"/>
  <c r="M39" i="16"/>
  <c r="L39" i="16"/>
  <c r="K39" i="16"/>
  <c r="J39" i="16"/>
  <c r="I39" i="16"/>
  <c r="H39" i="16"/>
  <c r="G39" i="16"/>
  <c r="F39" i="16"/>
  <c r="E39" i="16"/>
  <c r="D39" i="16"/>
  <c r="C39" i="16"/>
  <c r="B39" i="16"/>
  <c r="C65" i="10" s="1"/>
  <c r="M33" i="16"/>
  <c r="L33" i="16"/>
  <c r="K33" i="16"/>
  <c r="J33" i="16"/>
  <c r="I33" i="16"/>
  <c r="H33" i="16"/>
  <c r="G33" i="16"/>
  <c r="E33" i="16"/>
  <c r="D33" i="16"/>
  <c r="C33" i="16"/>
  <c r="B33" i="16"/>
  <c r="M32" i="16"/>
  <c r="L32" i="16"/>
  <c r="K32" i="16"/>
  <c r="J32" i="16"/>
  <c r="I32" i="16"/>
  <c r="H32" i="16"/>
  <c r="G32" i="16"/>
  <c r="F32" i="16"/>
  <c r="E32" i="16"/>
  <c r="D32" i="16"/>
  <c r="C32" i="16"/>
  <c r="B32" i="16"/>
  <c r="F23" i="4" s="1"/>
  <c r="M28" i="16"/>
  <c r="L28" i="16"/>
  <c r="K28" i="16"/>
  <c r="J28" i="16"/>
  <c r="I28" i="16"/>
  <c r="H28" i="16"/>
  <c r="G28" i="16"/>
  <c r="F28" i="16"/>
  <c r="E28" i="16"/>
  <c r="D28" i="16"/>
  <c r="C28" i="16"/>
  <c r="B28" i="16"/>
  <c r="M27" i="16"/>
  <c r="L27" i="16"/>
  <c r="K27" i="16"/>
  <c r="J27" i="16"/>
  <c r="I27" i="16"/>
  <c r="H27" i="16"/>
  <c r="G27" i="16"/>
  <c r="F27" i="16"/>
  <c r="E27" i="16"/>
  <c r="D27" i="16"/>
  <c r="C27" i="16"/>
  <c r="B27" i="16"/>
  <c r="M23" i="16"/>
  <c r="L23" i="16"/>
  <c r="K23" i="16"/>
  <c r="J23" i="16"/>
  <c r="I23" i="16"/>
  <c r="H23" i="16"/>
  <c r="G23" i="16"/>
  <c r="F23" i="16"/>
  <c r="E23" i="16"/>
  <c r="D23" i="16"/>
  <c r="C23" i="16"/>
  <c r="E17" i="4" s="1"/>
  <c r="M21" i="16"/>
  <c r="L21" i="16"/>
  <c r="K21" i="16"/>
  <c r="J21" i="16"/>
  <c r="I21" i="16"/>
  <c r="H21" i="16"/>
  <c r="G21" i="16"/>
  <c r="F21" i="16"/>
  <c r="E21" i="16"/>
  <c r="D21" i="16"/>
  <c r="C21" i="16"/>
  <c r="D20" i="22" s="1"/>
  <c r="B21" i="16"/>
  <c r="M17" i="16"/>
  <c r="L17" i="16"/>
  <c r="K17" i="16"/>
  <c r="J17" i="16"/>
  <c r="I17" i="16"/>
  <c r="H17" i="16"/>
  <c r="G17" i="16"/>
  <c r="F17" i="16"/>
  <c r="E17" i="16"/>
  <c r="D17" i="16"/>
  <c r="C17" i="16"/>
  <c r="B17" i="16"/>
  <c r="M15" i="16"/>
  <c r="L15" i="16"/>
  <c r="K15" i="16"/>
  <c r="J15" i="16"/>
  <c r="I15" i="16"/>
  <c r="H15" i="16"/>
  <c r="G15" i="16"/>
  <c r="F15" i="16"/>
  <c r="E15" i="16"/>
  <c r="D15" i="16"/>
  <c r="C15" i="16"/>
  <c r="E14" i="4" s="1"/>
  <c r="B15" i="16"/>
  <c r="F14" i="4" s="1"/>
  <c r="M14" i="16"/>
  <c r="L14" i="16"/>
  <c r="K14" i="16"/>
  <c r="J14" i="16"/>
  <c r="I14" i="16"/>
  <c r="H14" i="16"/>
  <c r="G14" i="16"/>
  <c r="F14" i="16"/>
  <c r="G22" i="22" s="1"/>
  <c r="E14" i="16"/>
  <c r="F22" i="22" s="1"/>
  <c r="D14" i="16"/>
  <c r="C14" i="16"/>
  <c r="B14" i="16"/>
  <c r="C11" i="16"/>
  <c r="D11" i="16"/>
  <c r="E11" i="16"/>
  <c r="F11" i="16"/>
  <c r="G11" i="16"/>
  <c r="H11" i="16"/>
  <c r="I11" i="16"/>
  <c r="J11" i="16"/>
  <c r="K11" i="16"/>
  <c r="L11" i="16"/>
  <c r="M11" i="16"/>
  <c r="B11" i="16"/>
  <c r="T11" i="16" s="1"/>
  <c r="C7" i="16"/>
  <c r="D7" i="16"/>
  <c r="E7" i="16"/>
  <c r="F7" i="16"/>
  <c r="G7" i="16"/>
  <c r="H7" i="16"/>
  <c r="I7" i="16"/>
  <c r="J7" i="16"/>
  <c r="K7" i="16"/>
  <c r="L7" i="16"/>
  <c r="M7" i="16"/>
  <c r="B7" i="16"/>
  <c r="M5" i="16"/>
  <c r="L5" i="16"/>
  <c r="K5" i="16"/>
  <c r="J5" i="16"/>
  <c r="I5" i="16"/>
  <c r="H5" i="16"/>
  <c r="G5" i="16"/>
  <c r="F5" i="16"/>
  <c r="E5" i="16"/>
  <c r="D5" i="16"/>
  <c r="C5" i="16"/>
  <c r="B5" i="16"/>
  <c r="M13" i="17"/>
  <c r="L13" i="17"/>
  <c r="K13" i="17"/>
  <c r="J13" i="17"/>
  <c r="I13" i="17"/>
  <c r="H13" i="17"/>
  <c r="G13" i="17"/>
  <c r="F13" i="17"/>
  <c r="E13" i="17"/>
  <c r="D68" i="16"/>
  <c r="E68" i="16"/>
  <c r="F68" i="16"/>
  <c r="G68" i="16"/>
  <c r="H68" i="16"/>
  <c r="I68" i="16"/>
  <c r="K68" i="16"/>
  <c r="M71" i="16"/>
  <c r="L71" i="16"/>
  <c r="K71" i="16"/>
  <c r="J71" i="16"/>
  <c r="I71" i="16"/>
  <c r="H71" i="16"/>
  <c r="G71" i="16"/>
  <c r="F71" i="16"/>
  <c r="E71" i="16"/>
  <c r="D71" i="16"/>
  <c r="C71" i="16"/>
  <c r="B71" i="16"/>
  <c r="B67" i="16"/>
  <c r="M75" i="16"/>
  <c r="L75" i="16"/>
  <c r="K75" i="16"/>
  <c r="J75" i="16"/>
  <c r="I75" i="16"/>
  <c r="H75" i="16"/>
  <c r="G75" i="16"/>
  <c r="F75" i="16"/>
  <c r="E75" i="16"/>
  <c r="D75" i="16"/>
  <c r="C75" i="16"/>
  <c r="M67" i="16"/>
  <c r="J67" i="16"/>
  <c r="I67" i="16"/>
  <c r="H67" i="16"/>
  <c r="G67" i="16"/>
  <c r="F67" i="16"/>
  <c r="E67" i="16"/>
  <c r="D67" i="16"/>
  <c r="C67" i="16"/>
  <c r="C36" i="17"/>
  <c r="C31" i="17"/>
  <c r="D31" i="17"/>
  <c r="E31" i="17"/>
  <c r="F31" i="17"/>
  <c r="G31" i="17"/>
  <c r="H31" i="17"/>
  <c r="I31" i="17"/>
  <c r="J31" i="17"/>
  <c r="K31" i="17"/>
  <c r="L31" i="17"/>
  <c r="M31" i="17"/>
  <c r="C44" i="16"/>
  <c r="H50" i="17"/>
  <c r="I50" i="17"/>
  <c r="J50" i="17"/>
  <c r="L50" i="17"/>
  <c r="M50" i="17"/>
  <c r="M55" i="16" s="1"/>
  <c r="C46" i="17"/>
  <c r="C51" i="16" s="1"/>
  <c r="D46" i="17"/>
  <c r="D51" i="16" s="1"/>
  <c r="E46" i="17"/>
  <c r="G46" i="17"/>
  <c r="H46" i="17"/>
  <c r="I46" i="17"/>
  <c r="J46" i="17"/>
  <c r="J51" i="16" s="1"/>
  <c r="K46" i="17"/>
  <c r="L46" i="17"/>
  <c r="M46" i="17"/>
  <c r="B51" i="16"/>
  <c r="AB38" i="17"/>
  <c r="E13" i="4" l="1"/>
  <c r="D22" i="22"/>
  <c r="H22" i="22"/>
  <c r="S30" i="4"/>
  <c r="T6" i="4"/>
  <c r="S27" i="4"/>
  <c r="R49" i="16"/>
  <c r="Q49" i="16"/>
  <c r="P49" i="16"/>
  <c r="O49" i="16"/>
  <c r="N49" i="16"/>
  <c r="R50" i="16"/>
  <c r="Q50" i="16"/>
  <c r="O50" i="16"/>
  <c r="P50" i="16"/>
  <c r="N50" i="16"/>
  <c r="N53" i="16"/>
  <c r="Q53" i="16"/>
  <c r="O53" i="16"/>
  <c r="R53" i="16"/>
  <c r="P53" i="16"/>
  <c r="N54" i="16"/>
  <c r="O54" i="16"/>
  <c r="P54" i="16"/>
  <c r="R54" i="16"/>
  <c r="Q54" i="16"/>
  <c r="P48" i="16"/>
  <c r="Q48" i="16"/>
  <c r="R48" i="16"/>
  <c r="O48" i="16"/>
  <c r="N48" i="16"/>
  <c r="Q62" i="16"/>
  <c r="P62" i="16"/>
  <c r="O62" i="16"/>
  <c r="N62" i="16"/>
  <c r="R62" i="16"/>
  <c r="O51" i="16"/>
  <c r="D43" i="4"/>
  <c r="Q39" i="16"/>
  <c r="R39" i="16"/>
  <c r="O39" i="16"/>
  <c r="N39" i="16"/>
  <c r="P39" i="16"/>
  <c r="P42" i="16"/>
  <c r="R42" i="16"/>
  <c r="N42" i="16"/>
  <c r="O42" i="16"/>
  <c r="Q42" i="16"/>
  <c r="R40" i="16"/>
  <c r="N40" i="16"/>
  <c r="O40" i="16"/>
  <c r="P40" i="16"/>
  <c r="Q40" i="16"/>
  <c r="M26" i="16"/>
  <c r="R41" i="16"/>
  <c r="N41" i="16"/>
  <c r="O41" i="16"/>
  <c r="Q41" i="16"/>
  <c r="P41" i="16"/>
  <c r="E22" i="22"/>
  <c r="J22" i="22" s="1"/>
  <c r="N7" i="16"/>
  <c r="R7" i="16"/>
  <c r="P7" i="16"/>
  <c r="O7" i="16"/>
  <c r="Q7" i="16"/>
  <c r="Q11" i="16"/>
  <c r="O11" i="16"/>
  <c r="P11" i="16"/>
  <c r="R11" i="16"/>
  <c r="Q23" i="16"/>
  <c r="R23" i="16"/>
  <c r="O23" i="16"/>
  <c r="P23" i="16"/>
  <c r="N27" i="16"/>
  <c r="Q27" i="16"/>
  <c r="O27" i="16"/>
  <c r="R27" i="16"/>
  <c r="P27" i="16"/>
  <c r="N28" i="16"/>
  <c r="P28" i="16"/>
  <c r="Q28" i="16"/>
  <c r="R28" i="16"/>
  <c r="O28" i="16"/>
  <c r="N32" i="16"/>
  <c r="R32" i="16"/>
  <c r="P32" i="16"/>
  <c r="O32" i="16"/>
  <c r="Q32" i="16"/>
  <c r="O33" i="16"/>
  <c r="Q5" i="16"/>
  <c r="R5" i="16"/>
  <c r="R14" i="16"/>
  <c r="Q14" i="16"/>
  <c r="O14" i="16"/>
  <c r="P14" i="16"/>
  <c r="Q15" i="16"/>
  <c r="O15" i="16"/>
  <c r="P15" i="16"/>
  <c r="R15" i="16"/>
  <c r="N17" i="16"/>
  <c r="Q17" i="16"/>
  <c r="P17" i="16"/>
  <c r="O17" i="16"/>
  <c r="R17" i="16"/>
  <c r="N21" i="16"/>
  <c r="O21" i="16"/>
  <c r="R21" i="16"/>
  <c r="P21" i="16"/>
  <c r="Q21" i="16"/>
  <c r="D8" i="4"/>
  <c r="D7" i="4" s="1"/>
  <c r="N11" i="16"/>
  <c r="D17" i="4"/>
  <c r="N23" i="16"/>
  <c r="P5" i="16"/>
  <c r="O5" i="16"/>
  <c r="N5" i="16"/>
  <c r="D13" i="4"/>
  <c r="N14" i="16"/>
  <c r="D14" i="4"/>
  <c r="N15" i="16"/>
  <c r="H17" i="22"/>
  <c r="H18" i="22"/>
  <c r="C17" i="22"/>
  <c r="C18" i="22"/>
  <c r="D18" i="22"/>
  <c r="D17" i="22"/>
  <c r="F18" i="22"/>
  <c r="F17" i="22"/>
  <c r="G17" i="22"/>
  <c r="G18" i="22"/>
  <c r="E17" i="22"/>
  <c r="E18" i="22"/>
  <c r="B32" i="3"/>
  <c r="B33" i="3"/>
  <c r="B31" i="3"/>
  <c r="B34" i="3"/>
  <c r="C20" i="22"/>
  <c r="B58" i="16"/>
  <c r="B21" i="3"/>
  <c r="B19" i="3"/>
  <c r="H25" i="1" s="1"/>
  <c r="B22" i="3"/>
  <c r="B20" i="3"/>
  <c r="B23" i="3"/>
  <c r="H20" i="22"/>
  <c r="E16" i="4"/>
  <c r="D16" i="4"/>
  <c r="E20" i="22"/>
  <c r="F20" i="22"/>
  <c r="G20" i="22"/>
  <c r="E8" i="4"/>
  <c r="E7" i="4" s="1"/>
  <c r="C62" i="10"/>
  <c r="B18" i="3"/>
  <c r="H22" i="1" s="1"/>
  <c r="C37" i="17"/>
  <c r="I43" i="10"/>
  <c r="J43" i="10" s="1"/>
  <c r="D29" i="4"/>
  <c r="D30" i="4"/>
  <c r="E30" i="4"/>
  <c r="E29" i="4"/>
  <c r="F30" i="4"/>
  <c r="C61" i="10"/>
  <c r="F16" i="4"/>
  <c r="F29" i="4"/>
  <c r="G46" i="4"/>
  <c r="F45" i="4"/>
  <c r="F46" i="4"/>
  <c r="F47" i="4"/>
  <c r="H16" i="16"/>
  <c r="L58" i="16"/>
  <c r="M58" i="16"/>
  <c r="I58" i="16"/>
  <c r="J58" i="16"/>
  <c r="K58" i="16"/>
  <c r="E23" i="4"/>
  <c r="E24" i="4"/>
  <c r="F24" i="4"/>
  <c r="C66" i="10"/>
  <c r="C25" i="10" s="1"/>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6" i="10"/>
  <c r="D23" i="4"/>
  <c r="E51" i="16"/>
  <c r="N51" i="16" s="1"/>
  <c r="C54" i="10"/>
  <c r="C55" i="10"/>
  <c r="D58" i="16"/>
  <c r="C58" i="16"/>
  <c r="G58" i="16"/>
  <c r="F58" i="16"/>
  <c r="E58" i="16"/>
  <c r="C60" i="10"/>
  <c r="F13" i="4"/>
  <c r="C59" i="10"/>
  <c r="F8" i="4"/>
  <c r="F7" i="4" s="1"/>
  <c r="M13" i="3"/>
  <c r="L13" i="3"/>
  <c r="O24" i="3"/>
  <c r="N24" i="3"/>
  <c r="M24" i="3"/>
  <c r="L24" i="3"/>
  <c r="K24" i="3"/>
  <c r="N13" i="3"/>
  <c r="O13" i="3"/>
  <c r="C24" i="10"/>
  <c r="D13" i="17"/>
  <c r="D14" i="17" s="1"/>
  <c r="C13" i="17"/>
  <c r="C14" i="17" s="1"/>
  <c r="F17" i="4"/>
  <c r="E5" i="4"/>
  <c r="C19" i="1"/>
  <c r="H58" i="16"/>
  <c r="C57" i="10"/>
  <c r="E8" i="16"/>
  <c r="G8" i="16"/>
  <c r="M24" i="16"/>
  <c r="M25" i="16" s="1"/>
  <c r="L51" i="16"/>
  <c r="I16" i="16"/>
  <c r="L55" i="16"/>
  <c r="F51" i="16"/>
  <c r="L22" i="16"/>
  <c r="M51" i="16"/>
  <c r="K16" i="16"/>
  <c r="C16" i="16"/>
  <c r="E16" i="16"/>
  <c r="M16" i="16"/>
  <c r="F24" i="16"/>
  <c r="B8" i="16"/>
  <c r="T8" i="16" s="1"/>
  <c r="J24" i="16"/>
  <c r="H55" i="16"/>
  <c r="G24" i="16"/>
  <c r="M8" i="16"/>
  <c r="G22" i="16"/>
  <c r="C24" i="16"/>
  <c r="K24" i="16"/>
  <c r="I55" i="16"/>
  <c r="L8" i="16"/>
  <c r="D8" i="16"/>
  <c r="J55" i="16"/>
  <c r="I8" i="16"/>
  <c r="K8" i="16"/>
  <c r="C8" i="16"/>
  <c r="F8" i="16"/>
  <c r="G16" i="16"/>
  <c r="G51" i="16"/>
  <c r="E22" i="16"/>
  <c r="E24" i="16"/>
  <c r="B16" i="16"/>
  <c r="T16" i="16" s="1"/>
  <c r="H51" i="16"/>
  <c r="J16" i="16"/>
  <c r="I51" i="16"/>
  <c r="I12" i="16"/>
  <c r="B24" i="16"/>
  <c r="J8" i="16"/>
  <c r="F12" i="16"/>
  <c r="B19" i="16"/>
  <c r="F12" i="4" s="1"/>
  <c r="K51" i="16"/>
  <c r="C22" i="16"/>
  <c r="K22" i="16"/>
  <c r="D22" i="16"/>
  <c r="L24" i="16"/>
  <c r="L16" i="16"/>
  <c r="D12" i="16"/>
  <c r="H8" i="16"/>
  <c r="G12" i="16"/>
  <c r="D16" i="16"/>
  <c r="F22" i="16"/>
  <c r="D24" i="16"/>
  <c r="J12" i="16"/>
  <c r="F16" i="16"/>
  <c r="I22" i="16"/>
  <c r="H22" i="16"/>
  <c r="K12" i="16"/>
  <c r="C12" i="16"/>
  <c r="L12" i="16"/>
  <c r="B22" i="16"/>
  <c r="J22" i="16"/>
  <c r="M12" i="16"/>
  <c r="M13" i="16" s="1"/>
  <c r="M22" i="16"/>
  <c r="E12" i="16"/>
  <c r="H24" i="16"/>
  <c r="I24" i="16"/>
  <c r="B12" i="16"/>
  <c r="C5" i="17"/>
  <c r="B4" i="16"/>
  <c r="L41" i="1"/>
  <c r="M41" i="1" s="1"/>
  <c r="B49" i="1"/>
  <c r="B48" i="1" s="1"/>
  <c r="B47" i="1" s="1"/>
  <c r="B46" i="1" s="1"/>
  <c r="B45" i="1" s="1"/>
  <c r="I26" i="10"/>
  <c r="C12" i="19"/>
  <c r="C13" i="19"/>
  <c r="C14" i="19"/>
  <c r="C15" i="19"/>
  <c r="C16" i="19"/>
  <c r="C17" i="19"/>
  <c r="C18" i="19"/>
  <c r="C19" i="19"/>
  <c r="C20" i="19"/>
  <c r="C21" i="19"/>
  <c r="C22" i="19"/>
  <c r="C7" i="19"/>
  <c r="C9" i="19"/>
  <c r="C10" i="19"/>
  <c r="I12" i="10"/>
  <c r="I40" i="10"/>
  <c r="J40" i="10" s="1"/>
  <c r="M22" i="17"/>
  <c r="AD53" i="17"/>
  <c r="AC53" i="17"/>
  <c r="AD52" i="17"/>
  <c r="AC52" i="17"/>
  <c r="AG49" i="17"/>
  <c r="AG52" i="17" s="1"/>
  <c r="AF49" i="17"/>
  <c r="AE49" i="17"/>
  <c r="AB49" i="17"/>
  <c r="AB52" i="17" s="1"/>
  <c r="AA49" i="17"/>
  <c r="AA52" i="17" s="1"/>
  <c r="Z49" i="17"/>
  <c r="Z52" i="17" s="1"/>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F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C17" i="1"/>
  <c r="D13" i="3"/>
  <c r="T12" i="16" l="1"/>
  <c r="H51" i="4"/>
  <c r="T24" i="16"/>
  <c r="P51" i="16"/>
  <c r="T30" i="4"/>
  <c r="U6" i="4"/>
  <c r="U30" i="4" s="1"/>
  <c r="T27" i="4"/>
  <c r="R51" i="16"/>
  <c r="Q51" i="16"/>
  <c r="O58" i="16"/>
  <c r="Q58" i="16"/>
  <c r="P58" i="16"/>
  <c r="R58" i="16"/>
  <c r="N58" i="16"/>
  <c r="K22" i="22"/>
  <c r="D56" i="4"/>
  <c r="D15" i="4"/>
  <c r="N16" i="16"/>
  <c r="P16" i="16"/>
  <c r="R16" i="16"/>
  <c r="Q16" i="16"/>
  <c r="O16" i="16"/>
  <c r="N22" i="16"/>
  <c r="R22" i="16"/>
  <c r="Q22" i="16"/>
  <c r="O22" i="16"/>
  <c r="P22" i="16"/>
  <c r="N12" i="16"/>
  <c r="O12" i="16"/>
  <c r="P12" i="16"/>
  <c r="Q12" i="16"/>
  <c r="R12" i="16"/>
  <c r="N8" i="16"/>
  <c r="R8" i="16"/>
  <c r="P8" i="16"/>
  <c r="Q8" i="16"/>
  <c r="O8" i="16"/>
  <c r="N24" i="16"/>
  <c r="Q24" i="16"/>
  <c r="O24" i="16"/>
  <c r="P24" i="16"/>
  <c r="R24" i="16"/>
  <c r="J17" i="22"/>
  <c r="K17" i="22"/>
  <c r="J18" i="22"/>
  <c r="K18" i="22"/>
  <c r="J20" i="22"/>
  <c r="B35" i="3"/>
  <c r="K20" i="22"/>
  <c r="K26" i="1"/>
  <c r="E18" i="1"/>
  <c r="E24" i="1"/>
  <c r="E23" i="1"/>
  <c r="E19" i="1"/>
  <c r="C31" i="22"/>
  <c r="Z13" i="17"/>
  <c r="Z14" i="17" s="1"/>
  <c r="B6" i="3"/>
  <c r="H17" i="1" s="1"/>
  <c r="B10" i="3"/>
  <c r="B7" i="3"/>
  <c r="H18" i="1" s="1"/>
  <c r="B8" i="3"/>
  <c r="H19" i="1" s="1"/>
  <c r="B9" i="3"/>
  <c r="H20" i="1" s="1"/>
  <c r="D5" i="17"/>
  <c r="D87" i="17" s="1"/>
  <c r="C87" i="17"/>
  <c r="E15" i="4"/>
  <c r="C18" i="1"/>
  <c r="C20" i="1" s="1"/>
  <c r="C58" i="10"/>
  <c r="C22" i="10" s="1"/>
  <c r="C33" i="10"/>
  <c r="I25" i="10"/>
  <c r="J25" i="10" s="1"/>
  <c r="C47" i="10"/>
  <c r="I45" i="10"/>
  <c r="J45" i="10" s="1"/>
  <c r="E32" i="4"/>
  <c r="C31" i="10"/>
  <c r="C11" i="10"/>
  <c r="C50" i="10" s="1"/>
  <c r="B24" i="3"/>
  <c r="D32" i="4"/>
  <c r="D22" i="4"/>
  <c r="F35" i="4"/>
  <c r="D35" i="4"/>
  <c r="F32" i="4"/>
  <c r="C15" i="10"/>
  <c r="C13" i="10"/>
  <c r="E35" i="4"/>
  <c r="C30" i="10"/>
  <c r="B59" i="16"/>
  <c r="E21" i="1" s="1"/>
  <c r="C28" i="10"/>
  <c r="C34" i="10"/>
  <c r="C16" i="10"/>
  <c r="D44" i="4"/>
  <c r="E44" i="4"/>
  <c r="F44" i="4"/>
  <c r="F26" i="4"/>
  <c r="F34" i="4" s="1"/>
  <c r="H13" i="16"/>
  <c r="G13" i="16"/>
  <c r="B60" i="16"/>
  <c r="D26" i="4"/>
  <c r="F15" i="4"/>
  <c r="B5" i="3"/>
  <c r="K13" i="3"/>
  <c r="F5" i="4"/>
  <c r="C29" i="10"/>
  <c r="C27" i="10"/>
  <c r="B11" i="3"/>
  <c r="B12" i="3"/>
  <c r="M42" i="1"/>
  <c r="M50" i="1"/>
  <c r="M43" i="1"/>
  <c r="L45" i="1"/>
  <c r="L46" i="1"/>
  <c r="M45" i="1"/>
  <c r="L49" i="1"/>
  <c r="M46" i="1"/>
  <c r="L50" i="1"/>
  <c r="M47" i="1"/>
  <c r="M48" i="1"/>
  <c r="M49" i="1"/>
  <c r="L42" i="1"/>
  <c r="L48" i="1"/>
  <c r="L47" i="1"/>
  <c r="L43" i="1"/>
  <c r="K17" i="1"/>
  <c r="K19" i="1"/>
  <c r="K25" i="1"/>
  <c r="K20" i="1"/>
  <c r="K18" i="1"/>
  <c r="B20" i="16"/>
  <c r="E17" i="1"/>
  <c r="E15" i="1"/>
  <c r="L25" i="16"/>
  <c r="E25" i="16"/>
  <c r="I25" i="16"/>
  <c r="G25" i="16"/>
  <c r="D25" i="16"/>
  <c r="C13" i="16"/>
  <c r="B25" i="16"/>
  <c r="F25" i="16"/>
  <c r="E13" i="16"/>
  <c r="J25" i="16"/>
  <c r="H18" i="16"/>
  <c r="E18" i="16"/>
  <c r="L18" i="16"/>
  <c r="K18" i="16"/>
  <c r="B18" i="16"/>
  <c r="C18" i="16"/>
  <c r="C43" i="16"/>
  <c r="J56" i="16"/>
  <c r="F18" i="16"/>
  <c r="B80" i="16"/>
  <c r="B43" i="16"/>
  <c r="E20" i="1" s="1"/>
  <c r="K25" i="16"/>
  <c r="G18" i="16"/>
  <c r="H56" i="16"/>
  <c r="I18" i="16"/>
  <c r="B82" i="16"/>
  <c r="B81" i="16"/>
  <c r="J18" i="16"/>
  <c r="L56" i="16"/>
  <c r="M56" i="16"/>
  <c r="I56" i="16"/>
  <c r="M18" i="16"/>
  <c r="D18"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I39" i="10"/>
  <c r="J39" i="10" s="1"/>
  <c r="B44" i="1"/>
  <c r="E56" i="4" l="1"/>
  <c r="M17" i="22"/>
  <c r="N17" i="22"/>
  <c r="O13" i="16"/>
  <c r="Q13" i="16"/>
  <c r="R13" i="16"/>
  <c r="P13" i="16"/>
  <c r="Q25" i="16"/>
  <c r="R25" i="16"/>
  <c r="P25" i="16"/>
  <c r="O25" i="16"/>
  <c r="N18" i="16"/>
  <c r="R18" i="16"/>
  <c r="P18" i="16"/>
  <c r="Q18" i="16"/>
  <c r="O18" i="16"/>
  <c r="N13" i="16"/>
  <c r="N25" i="16"/>
  <c r="K22" i="1"/>
  <c r="E5" i="17"/>
  <c r="F5" i="17" s="1"/>
  <c r="I50" i="10"/>
  <c r="J50" i="10" s="1"/>
  <c r="M37" i="1"/>
  <c r="F36" i="4"/>
  <c r="M35" i="1"/>
  <c r="I27" i="10"/>
  <c r="J27" i="10" s="1"/>
  <c r="I30" i="10"/>
  <c r="J30" i="10" s="1"/>
  <c r="I15" i="10"/>
  <c r="J15" i="10" s="1"/>
  <c r="I11" i="10"/>
  <c r="J11" i="10" s="1"/>
  <c r="I29" i="10"/>
  <c r="J29" i="10" s="1"/>
  <c r="I31" i="10"/>
  <c r="J31" i="10" s="1"/>
  <c r="I47" i="10"/>
  <c r="J47" i="10" s="1"/>
  <c r="H16" i="1"/>
  <c r="D34" i="4"/>
  <c r="D36" i="4" s="1"/>
  <c r="M27" i="1"/>
  <c r="C41" i="10" s="1"/>
  <c r="B13" i="3"/>
  <c r="K21" i="1"/>
  <c r="I33" i="10"/>
  <c r="J33" i="10" s="1"/>
  <c r="C73" i="10"/>
  <c r="B34" i="16"/>
  <c r="M22" i="1"/>
  <c r="I24" i="10"/>
  <c r="J24" i="10" s="1"/>
  <c r="I16" i="10"/>
  <c r="J16" i="10" s="1"/>
  <c r="B35" i="16"/>
  <c r="I14" i="10"/>
  <c r="J14" i="10" s="1"/>
  <c r="G4" i="16"/>
  <c r="B43" i="1"/>
  <c r="C37" i="10" l="1"/>
  <c r="C36" i="10"/>
  <c r="I41" i="10"/>
  <c r="J41" i="10" s="1"/>
  <c r="G41" i="4"/>
  <c r="C21" i="10"/>
  <c r="C20" i="10"/>
  <c r="I19" i="10"/>
  <c r="B36" i="16"/>
  <c r="I10" i="10"/>
  <c r="J10" i="10" s="1"/>
  <c r="I22" i="10"/>
  <c r="J22" i="10" s="1"/>
  <c r="G5" i="17"/>
  <c r="H4" i="16"/>
  <c r="B42" i="1"/>
  <c r="I36" i="10" l="1"/>
  <c r="J36" i="10" s="1"/>
  <c r="I37" i="10"/>
  <c r="J37" i="10" s="1"/>
  <c r="I20" i="10"/>
  <c r="J20" i="10" s="1"/>
  <c r="I21" i="10"/>
  <c r="J21" i="10" s="1"/>
  <c r="H5" i="17"/>
  <c r="I4" i="16"/>
  <c r="J4" i="16" s="1"/>
  <c r="B41" i="1"/>
  <c r="D41" i="1" s="1" a="1"/>
  <c r="D41" i="1" l="1"/>
  <c r="D53" i="1"/>
  <c r="H41" i="1" a="1"/>
  <c r="H41" i="1" s="1"/>
  <c r="C41" i="1" a="1"/>
  <c r="I5" i="17"/>
  <c r="H41" i="4" l="1"/>
  <c r="C41" i="1"/>
  <c r="C50" i="1" s="1"/>
  <c r="J5" i="17"/>
  <c r="K4" i="16"/>
  <c r="K5" i="17" l="1"/>
  <c r="L4" i="16"/>
  <c r="L5" i="17" l="1"/>
  <c r="M4" i="16"/>
  <c r="M5" i="17" l="1"/>
  <c r="B91" i="16" s="1"/>
  <c r="D91" i="16"/>
  <c r="E91" i="16"/>
  <c r="M6" i="16" l="1"/>
  <c r="D34" i="16"/>
  <c r="K35" i="16"/>
  <c r="K36" i="16" s="1"/>
  <c r="I34" i="16"/>
  <c r="G9" i="16"/>
  <c r="G10" i="16" s="1"/>
  <c r="K19" i="16"/>
  <c r="I19" i="16"/>
  <c r="K9" i="16"/>
  <c r="K10" i="16" s="1"/>
  <c r="I9" i="16"/>
  <c r="I10" i="16" s="1"/>
  <c r="M21" i="1"/>
  <c r="I28" i="10"/>
  <c r="J28" i="10" s="1"/>
  <c r="C34" i="16"/>
  <c r="H53" i="1"/>
  <c r="E34" i="16"/>
  <c r="C91" i="16"/>
  <c r="F26" i="16"/>
  <c r="I6" i="16"/>
  <c r="K26" i="16"/>
  <c r="K29" i="16" s="1"/>
  <c r="J26" i="16"/>
  <c r="I35" i="16"/>
  <c r="I36" i="16" s="1"/>
  <c r="K34" i="16"/>
  <c r="O34" i="16" l="1"/>
  <c r="K20" i="16"/>
  <c r="I20" i="16"/>
  <c r="D60" i="16"/>
  <c r="K60" i="16"/>
  <c r="I60" i="16"/>
  <c r="L34" i="16"/>
  <c r="M34" i="16"/>
  <c r="M19" i="16"/>
  <c r="M20" i="16" s="1"/>
  <c r="L6" i="16"/>
  <c r="M9" i="16"/>
  <c r="M10" i="16" s="1"/>
  <c r="M29" i="16"/>
  <c r="E26" i="16"/>
  <c r="E29" i="16" s="1"/>
  <c r="M35" i="16"/>
  <c r="M36" i="16" s="1"/>
  <c r="L26" i="16"/>
  <c r="L29" i="16" s="1"/>
  <c r="H50" i="1"/>
  <c r="R44" i="1"/>
  <c r="C35" i="16"/>
  <c r="C36" i="16" s="1"/>
  <c r="L35" i="16"/>
  <c r="L36" i="16" s="1"/>
  <c r="D26" i="16"/>
  <c r="D29" i="16" s="1"/>
  <c r="J35" i="16"/>
  <c r="J36" i="16" s="1"/>
  <c r="H34" i="16"/>
  <c r="C60" i="16"/>
  <c r="J34" i="16"/>
  <c r="G19" i="16"/>
  <c r="H31" i="22" s="1"/>
  <c r="F35" i="16"/>
  <c r="F36" i="16" s="1"/>
  <c r="F29" i="16"/>
  <c r="G35" i="16"/>
  <c r="G36" i="16" s="1"/>
  <c r="J29" i="16"/>
  <c r="I26" i="16"/>
  <c r="I29" i="16" s="1"/>
  <c r="E9" i="16"/>
  <c r="E10" i="16" s="1"/>
  <c r="D6" i="16"/>
  <c r="D5" i="4" s="1"/>
  <c r="B6" i="16"/>
  <c r="C6" i="16"/>
  <c r="R49" i="1"/>
  <c r="R46" i="1"/>
  <c r="R45" i="1"/>
  <c r="J19" i="16"/>
  <c r="E35" i="16"/>
  <c r="E36" i="16" s="1"/>
  <c r="C26" i="16"/>
  <c r="B26" i="16"/>
  <c r="B29" i="16" s="1"/>
  <c r="O45" i="1"/>
  <c r="F19" i="16"/>
  <c r="G31" i="22" s="1"/>
  <c r="O44" i="1"/>
  <c r="H19" i="16"/>
  <c r="C9" i="16"/>
  <c r="C10" i="16" s="1"/>
  <c r="C19" i="16"/>
  <c r="E19" i="16"/>
  <c r="F31" i="22" s="1"/>
  <c r="D35" i="16"/>
  <c r="G6" i="16"/>
  <c r="H9" i="16"/>
  <c r="H10" i="16" s="1"/>
  <c r="H6" i="16"/>
  <c r="J9" i="16"/>
  <c r="J10" i="16" s="1"/>
  <c r="J6" i="16"/>
  <c r="D19" i="16"/>
  <c r="D12" i="4" s="1"/>
  <c r="H52" i="1"/>
  <c r="K6" i="16"/>
  <c r="L9" i="16"/>
  <c r="L10" i="16" s="1"/>
  <c r="G34" i="16"/>
  <c r="L19" i="16"/>
  <c r="D9" i="16"/>
  <c r="G26" i="16"/>
  <c r="G29" i="16" s="1"/>
  <c r="H26" i="16"/>
  <c r="H29" i="16" s="1"/>
  <c r="E6" i="16"/>
  <c r="F9" i="16"/>
  <c r="F10" i="16" s="1"/>
  <c r="N45" i="1"/>
  <c r="F6" i="16"/>
  <c r="R43" i="1"/>
  <c r="H35" i="16"/>
  <c r="D31" i="22" l="1"/>
  <c r="E12" i="4"/>
  <c r="O60" i="16"/>
  <c r="P19" i="16"/>
  <c r="R19" i="16"/>
  <c r="Q19" i="16"/>
  <c r="O19" i="16"/>
  <c r="N6" i="16"/>
  <c r="R6" i="16"/>
  <c r="P6" i="16"/>
  <c r="Q6" i="16"/>
  <c r="O6" i="16"/>
  <c r="Q26" i="16"/>
  <c r="P26" i="16"/>
  <c r="R26" i="16"/>
  <c r="O26" i="16"/>
  <c r="Q35" i="16"/>
  <c r="O35" i="16"/>
  <c r="R35" i="16"/>
  <c r="P35" i="16"/>
  <c r="D36" i="16"/>
  <c r="N35" i="16"/>
  <c r="D10" i="16"/>
  <c r="E31" i="22"/>
  <c r="K31" i="22" s="1"/>
  <c r="N19" i="16"/>
  <c r="C29" i="16"/>
  <c r="B30" i="16" s="1"/>
  <c r="N26" i="16"/>
  <c r="E26" i="1"/>
  <c r="J20" i="16"/>
  <c r="L20" i="16"/>
  <c r="T20" i="16" s="1"/>
  <c r="H20" i="16"/>
  <c r="E41" i="1" a="1"/>
  <c r="E41" i="1" s="1"/>
  <c r="G20" i="16"/>
  <c r="F20" i="16"/>
  <c r="E20" i="16"/>
  <c r="D20" i="16"/>
  <c r="H36" i="16"/>
  <c r="K24" i="1"/>
  <c r="N50" i="1"/>
  <c r="C20" i="16"/>
  <c r="J60" i="16"/>
  <c r="M60" i="16"/>
  <c r="G60" i="16"/>
  <c r="F60" i="16"/>
  <c r="N60" i="16" s="1"/>
  <c r="E60" i="16"/>
  <c r="P60" i="16" s="1"/>
  <c r="L60" i="16"/>
  <c r="H60" i="16"/>
  <c r="C59" i="16"/>
  <c r="K30" i="16"/>
  <c r="K31" i="16" s="1"/>
  <c r="L30" i="16"/>
  <c r="L31" i="16" s="1"/>
  <c r="O42" i="1"/>
  <c r="O43" i="1"/>
  <c r="J30" i="16"/>
  <c r="J31" i="16" s="1"/>
  <c r="D30" i="16"/>
  <c r="D31" i="16" s="1"/>
  <c r="N42" i="1"/>
  <c r="N46" i="1"/>
  <c r="E30" i="16"/>
  <c r="E31" i="16" s="1"/>
  <c r="I30" i="16"/>
  <c r="I31" i="16" s="1"/>
  <c r="H30" i="16"/>
  <c r="H31" i="16" s="1"/>
  <c r="N44" i="1"/>
  <c r="N43" i="1"/>
  <c r="G30" i="16"/>
  <c r="G31" i="16" s="1"/>
  <c r="C52" i="1"/>
  <c r="F30" i="16"/>
  <c r="O46" i="1"/>
  <c r="R48" i="1"/>
  <c r="R47" i="1"/>
  <c r="N47" i="1"/>
  <c r="O47" i="1"/>
  <c r="O48" i="1"/>
  <c r="C53" i="1"/>
  <c r="N49" i="1"/>
  <c r="N48" i="1"/>
  <c r="R60" i="16" l="1"/>
  <c r="Q60" i="16"/>
  <c r="M31" i="22"/>
  <c r="D67" i="4" s="1"/>
  <c r="J31" i="22"/>
  <c r="N36" i="16"/>
  <c r="O36" i="16"/>
  <c r="Q36" i="16"/>
  <c r="P36" i="16"/>
  <c r="R36" i="16"/>
  <c r="N20" i="16"/>
  <c r="P20" i="16"/>
  <c r="R20" i="16"/>
  <c r="Q20" i="16"/>
  <c r="O20" i="16"/>
  <c r="N29" i="16"/>
  <c r="M30" i="16" s="1"/>
  <c r="M31" i="16" s="1"/>
  <c r="P29" i="16"/>
  <c r="O29" i="16"/>
  <c r="Q29" i="16"/>
  <c r="R29" i="16"/>
  <c r="B31" i="16"/>
  <c r="C30" i="16"/>
  <c r="C31" i="16" s="1"/>
  <c r="E22" i="1"/>
  <c r="M26" i="1"/>
  <c r="Q45" i="1"/>
  <c r="Q46" i="1"/>
  <c r="Q47" i="1"/>
  <c r="Q43" i="1"/>
  <c r="M24" i="1"/>
  <c r="C51" i="1"/>
  <c r="F52" i="1"/>
  <c r="F50" i="1"/>
  <c r="F53" i="1"/>
  <c r="Q48" i="1"/>
  <c r="Q44" i="1"/>
  <c r="Q49" i="1"/>
  <c r="G44" i="4" l="1"/>
  <c r="N31" i="22"/>
  <c r="E67" i="4" s="1"/>
  <c r="P30" i="16"/>
  <c r="Q30" i="16"/>
  <c r="R30" i="16"/>
  <c r="I32" i="10"/>
  <c r="O31" i="16"/>
  <c r="O30" i="16"/>
  <c r="N30" i="16"/>
  <c r="F51" i="1"/>
  <c r="M20" i="1"/>
  <c r="D50" i="1" l="1"/>
  <c r="O50" i="1" s="1"/>
  <c r="B9" i="16"/>
  <c r="B10" i="16" l="1"/>
  <c r="N9" i="16"/>
  <c r="O9" i="16"/>
  <c r="R9" i="16"/>
  <c r="P9" i="16"/>
  <c r="Q9" i="16"/>
  <c r="I34" i="10"/>
  <c r="J34" i="10" s="1"/>
  <c r="D52" i="1"/>
  <c r="M23" i="1"/>
  <c r="O49" i="1"/>
  <c r="D51" i="1" s="1"/>
  <c r="N10" i="16" l="1"/>
  <c r="O10" i="16"/>
  <c r="Q10" i="16"/>
  <c r="R10" i="16"/>
  <c r="P10" i="16"/>
  <c r="I13" i="10"/>
  <c r="J13" i="10" s="1"/>
  <c r="F36" i="17" l="1"/>
  <c r="F37" i="17" s="1"/>
  <c r="J56" i="17"/>
  <c r="J36" i="17"/>
  <c r="J37" i="17" s="1"/>
  <c r="M44" i="16"/>
  <c r="M59" i="16" s="1"/>
  <c r="M36" i="17"/>
  <c r="M37" i="17" s="1"/>
  <c r="I44" i="16"/>
  <c r="I59" i="16" s="1"/>
  <c r="I36" i="17"/>
  <c r="I37" i="17" s="1"/>
  <c r="I43" i="16" s="1"/>
  <c r="E44" i="16"/>
  <c r="E59" i="16" s="1"/>
  <c r="E37" i="17"/>
  <c r="G36" i="17"/>
  <c r="G37" i="17" s="1"/>
  <c r="K36" i="17"/>
  <c r="K37" i="17" s="1"/>
  <c r="H56" i="17"/>
  <c r="H36" i="17"/>
  <c r="H37" i="17" s="1"/>
  <c r="L44" i="16"/>
  <c r="L59" i="16" s="1"/>
  <c r="L36" i="17"/>
  <c r="L37" i="17" s="1"/>
  <c r="L43" i="16" s="1"/>
  <c r="J44" i="16" l="1"/>
  <c r="J59" i="16" s="1"/>
  <c r="H64" i="16"/>
  <c r="K43" i="16"/>
  <c r="F43" i="16"/>
  <c r="J43" i="16"/>
  <c r="G43" i="16"/>
  <c r="M56" i="17"/>
  <c r="K44" i="16"/>
  <c r="K59" i="16" s="1"/>
  <c r="F44" i="16"/>
  <c r="F59" i="16" s="1"/>
  <c r="G44" i="16"/>
  <c r="G59" i="16" s="1"/>
  <c r="H44" i="16"/>
  <c r="H59" i="16" s="1"/>
  <c r="L56" i="17"/>
  <c r="I56" i="17"/>
  <c r="M64" i="16" l="1"/>
  <c r="I64" i="16"/>
  <c r="M43" i="16"/>
  <c r="H43" i="16"/>
  <c r="E43" i="16"/>
  <c r="J64" i="16"/>
  <c r="L64" i="16"/>
  <c r="D36" i="17"/>
  <c r="D37" i="17" s="1"/>
  <c r="D43" i="16" l="1"/>
  <c r="D44" i="16"/>
  <c r="B68" i="16"/>
  <c r="L44" i="1" s="1"/>
  <c r="L51" i="1" s="1"/>
  <c r="B75" i="16"/>
  <c r="C68" i="16"/>
  <c r="M44" i="1" s="1"/>
  <c r="M51" i="1" s="1"/>
  <c r="C67" i="17"/>
  <c r="E25" i="4" s="1"/>
  <c r="E26" i="4" s="1"/>
  <c r="E34" i="4" s="1"/>
  <c r="D59" i="16" l="1"/>
  <c r="O44" i="16"/>
  <c r="P44" i="16"/>
  <c r="R44" i="16"/>
  <c r="N44" i="16"/>
  <c r="Q44" i="16"/>
  <c r="P43" i="16"/>
  <c r="R43" i="16"/>
  <c r="N43" i="16"/>
  <c r="Q43" i="16"/>
  <c r="O43" i="16"/>
  <c r="E36" i="4"/>
  <c r="E43" i="4" s="1"/>
  <c r="F43" i="4" s="1"/>
  <c r="G13" i="4" s="1"/>
  <c r="H13" i="4" s="1"/>
  <c r="I13" i="4" s="1"/>
  <c r="J13" i="4" s="1"/>
  <c r="K13" i="4" s="1"/>
  <c r="L13" i="4" s="1"/>
  <c r="M13" i="4" s="1"/>
  <c r="N13" i="4" s="1"/>
  <c r="O13" i="4" s="1"/>
  <c r="P13" i="4" s="1"/>
  <c r="Q13" i="4" s="1"/>
  <c r="R13" i="4" s="1"/>
  <c r="S13" i="4" s="1"/>
  <c r="T13" i="4" s="1"/>
  <c r="K56" i="17"/>
  <c r="K56" i="16"/>
  <c r="K52" i="16"/>
  <c r="K55" i="16"/>
  <c r="G41" i="1" l="1" a="1"/>
  <c r="G41" i="1" s="1"/>
  <c r="N59" i="16"/>
  <c r="R59" i="16"/>
  <c r="O59" i="16"/>
  <c r="Q59" i="16"/>
  <c r="P59" i="16"/>
  <c r="U13" i="4"/>
  <c r="K64" i="16"/>
  <c r="V13" i="4" l="1"/>
  <c r="W13" i="4" s="1"/>
  <c r="X13" i="4" s="1"/>
  <c r="Y13" i="4" s="1"/>
  <c r="Z13" i="4" s="1"/>
  <c r="AA13" i="4" s="1"/>
  <c r="H38" i="4"/>
  <c r="H39" i="4"/>
  <c r="AB13" i="4" l="1"/>
  <c r="AC13" i="4" s="1"/>
  <c r="AD13" i="4" s="1"/>
  <c r="AE13" i="4" s="1"/>
  <c r="AF13" i="4" s="1"/>
  <c r="I39" i="4"/>
  <c r="I38" i="4" l="1"/>
  <c r="J39" i="4" l="1"/>
  <c r="J38" i="4"/>
  <c r="K38" i="4" l="1"/>
  <c r="K39" i="4"/>
  <c r="L39" i="4" l="1"/>
  <c r="L38" i="4"/>
  <c r="M39" i="4" l="1"/>
  <c r="M38" i="4"/>
  <c r="N38" i="4" l="1"/>
  <c r="N39" i="4"/>
  <c r="O39" i="4" l="1"/>
  <c r="O38" i="4"/>
  <c r="P38" i="4" l="1"/>
  <c r="P39" i="4"/>
  <c r="Q38" i="4" l="1"/>
  <c r="Q39" i="4"/>
  <c r="R39" i="4" l="1"/>
  <c r="R38" i="4"/>
  <c r="S39" i="4" l="1"/>
  <c r="S38" i="4"/>
  <c r="T38" i="4" l="1"/>
  <c r="T39" i="4" l="1"/>
  <c r="U39" i="4" l="1"/>
  <c r="U38" i="4"/>
  <c r="V39" i="4" l="1"/>
  <c r="V38" i="4"/>
  <c r="W38" i="4" l="1"/>
  <c r="W39" i="4"/>
  <c r="X39" i="4" l="1"/>
  <c r="X38" i="4"/>
  <c r="Y38" i="4" l="1"/>
  <c r="Y39" i="4"/>
  <c r="Z39" i="4" l="1"/>
  <c r="Z38" i="4"/>
  <c r="AA39" i="4" l="1"/>
  <c r="AA38" i="4"/>
  <c r="AB38" i="4" l="1"/>
  <c r="AB39" i="4" l="1"/>
  <c r="AC39" i="4" l="1"/>
  <c r="AC38" i="4"/>
  <c r="AD39" i="4" l="1"/>
  <c r="AD38" i="4"/>
  <c r="AE38" i="4" l="1"/>
  <c r="AE39" i="4"/>
  <c r="AF39" i="4" l="1"/>
  <c r="AG39" i="4" s="1"/>
  <c r="AF38" i="4"/>
  <c r="AG38" i="4" s="1"/>
  <c r="K63" i="17" l="1"/>
  <c r="K67" i="16"/>
  <c r="L63" i="17"/>
  <c r="L67" i="16"/>
  <c r="J68" i="16"/>
  <c r="L68" i="16"/>
  <c r="M68" i="16"/>
  <c r="G5" i="4" l="1"/>
  <c r="G14" i="4" s="1"/>
  <c r="G11" i="4" l="1"/>
  <c r="G20" i="4" s="1"/>
  <c r="G21" i="4"/>
  <c r="G25" i="4"/>
  <c r="G26" i="4" s="1"/>
  <c r="G31" i="4"/>
  <c r="H5" i="4" l="1"/>
  <c r="H11" i="4" l="1"/>
  <c r="H20" i="4" s="1"/>
  <c r="H24" i="4"/>
  <c r="H21" i="4"/>
  <c r="H23" i="4"/>
  <c r="I5" i="4"/>
  <c r="H40" i="4" l="1"/>
  <c r="I11" i="4"/>
  <c r="I20" i="4" s="1"/>
  <c r="I23" i="4"/>
  <c r="I24" i="4"/>
  <c r="I21" i="4"/>
  <c r="H14" i="4"/>
  <c r="H25" i="4"/>
  <c r="H26" i="4" s="1"/>
  <c r="H31" i="4"/>
  <c r="I31" i="4" s="1"/>
  <c r="I40" i="4" l="1"/>
  <c r="I25" i="4"/>
  <c r="I26" i="4" s="1"/>
  <c r="J11" i="4"/>
  <c r="J20" i="4" s="1"/>
  <c r="J23" i="4"/>
  <c r="J24" i="4"/>
  <c r="J21" i="4"/>
  <c r="K21" i="4"/>
  <c r="I14" i="4"/>
  <c r="J40" i="4" l="1"/>
  <c r="K23" i="4"/>
  <c r="J14" i="4"/>
  <c r="K11" i="4"/>
  <c r="K20" i="4" s="1"/>
  <c r="J31" i="4"/>
  <c r="J25" i="4"/>
  <c r="J26" i="4" s="1"/>
  <c r="I41" i="4"/>
  <c r="K40" i="4" l="1"/>
  <c r="K14" i="4"/>
  <c r="K31" i="4"/>
  <c r="K25" i="4"/>
  <c r="J41" i="4"/>
  <c r="K41" i="4" s="1"/>
  <c r="L41" i="4" l="1"/>
  <c r="N23" i="4" l="1"/>
  <c r="O21" i="4"/>
  <c r="N11" i="4"/>
  <c r="N20" i="4" s="1"/>
  <c r="O23" i="4" l="1"/>
  <c r="O11" i="4"/>
  <c r="O20" i="4" s="1"/>
  <c r="P21" i="4"/>
  <c r="P23" i="4" l="1"/>
  <c r="Q21" i="4"/>
  <c r="P11" i="4"/>
  <c r="P20" i="4" s="1"/>
  <c r="P5" i="4"/>
  <c r="Q23" i="4" l="1"/>
  <c r="Q5" i="4"/>
  <c r="Q11" i="4"/>
  <c r="Q20" i="4" s="1"/>
  <c r="R21" i="4"/>
  <c r="R23" i="4" l="1"/>
  <c r="R5" i="4"/>
  <c r="R11" i="4"/>
  <c r="R20" i="4" s="1"/>
  <c r="S21" i="4"/>
  <c r="S23" i="4" l="1"/>
  <c r="T21" i="4"/>
  <c r="S11" i="4"/>
  <c r="S20" i="4" s="1"/>
  <c r="S5" i="4"/>
  <c r="T23" i="4" l="1"/>
  <c r="T11" i="4"/>
  <c r="T20" i="4" s="1"/>
  <c r="E64" i="16" l="1"/>
  <c r="E56" i="17"/>
  <c r="F56" i="17"/>
  <c r="F64" i="16" s="1"/>
  <c r="C56" i="17"/>
  <c r="C64" i="16" s="1"/>
  <c r="C56" i="16"/>
  <c r="B56" i="17"/>
  <c r="B64" i="16" s="1"/>
  <c r="B56" i="16"/>
  <c r="E16" i="1" s="1"/>
  <c r="M19" i="1" s="1"/>
  <c r="D56" i="17"/>
  <c r="D64" i="16" s="1"/>
  <c r="D56" i="16"/>
  <c r="G56" i="17"/>
  <c r="G64" i="16" s="1"/>
  <c r="G56" i="16"/>
  <c r="F56" i="16"/>
  <c r="E56" i="16"/>
  <c r="B47" i="17"/>
  <c r="B52" i="16" s="1"/>
  <c r="C47" i="17"/>
  <c r="C52" i="16" s="1"/>
  <c r="D47" i="17"/>
  <c r="D52" i="16" s="1"/>
  <c r="E47" i="17"/>
  <c r="E52" i="16" s="1"/>
  <c r="F47" i="17"/>
  <c r="F52" i="16" s="1"/>
  <c r="G47" i="17"/>
  <c r="G50" i="17" s="1"/>
  <c r="G55" i="16" s="1"/>
  <c r="Q56" i="16" l="1"/>
  <c r="O56" i="16"/>
  <c r="N56" i="16"/>
  <c r="R56" i="16"/>
  <c r="P56" i="16"/>
  <c r="R64" i="16"/>
  <c r="N64" i="16"/>
  <c r="Q64" i="16"/>
  <c r="P64" i="16"/>
  <c r="O64" i="16"/>
  <c r="R52" i="16"/>
  <c r="O52" i="16"/>
  <c r="P52" i="16"/>
  <c r="C50" i="17"/>
  <c r="C55" i="16" s="1"/>
  <c r="F50" i="17"/>
  <c r="F55" i="16" s="1"/>
  <c r="E50" i="17"/>
  <c r="E55" i="16" s="1"/>
  <c r="D50" i="17"/>
  <c r="D55" i="16" s="1"/>
  <c r="B50" i="17"/>
  <c r="B55" i="16" s="1"/>
  <c r="C74" i="10"/>
  <c r="G52" i="16"/>
  <c r="Q52" i="16" s="1"/>
  <c r="N52" i="16" l="1"/>
  <c r="N55" i="16"/>
  <c r="R55" i="16"/>
  <c r="O55" i="16"/>
  <c r="Q55" i="16"/>
  <c r="P55" i="16"/>
  <c r="C18" i="10"/>
  <c r="C35" i="10"/>
  <c r="I35" i="10" s="1"/>
  <c r="J35" i="10" s="1"/>
  <c r="C17" i="10"/>
  <c r="I17" i="10" l="1"/>
  <c r="J17" i="10" s="1"/>
  <c r="K23" i="1"/>
  <c r="I18" i="10"/>
  <c r="J18" i="10" s="1"/>
  <c r="F33" i="16"/>
  <c r="G27" i="22"/>
  <c r="J27" i="22" s="1"/>
  <c r="F67" i="17"/>
  <c r="F70" i="16"/>
  <c r="N27" i="22" l="1"/>
  <c r="E63" i="4" s="1"/>
  <c r="F34" i="16"/>
  <c r="N33" i="16"/>
  <c r="P33" i="16"/>
  <c r="R33" i="16"/>
  <c r="Q33" i="16"/>
  <c r="F31" i="16"/>
  <c r="S24" i="4" l="1"/>
  <c r="T24" i="4"/>
  <c r="K24" i="4"/>
  <c r="K26" i="4" s="1"/>
  <c r="P31" i="16"/>
  <c r="Q31" i="16"/>
  <c r="N31" i="16"/>
  <c r="R31" i="16"/>
  <c r="I41" i="1" a="1"/>
  <c r="N34" i="16"/>
  <c r="P34" i="16"/>
  <c r="R34" i="16"/>
  <c r="Q34" i="16"/>
  <c r="L27" i="4"/>
  <c r="L21" i="4"/>
  <c r="L24" i="4"/>
  <c r="L11" i="4"/>
  <c r="L20" i="4" s="1"/>
  <c r="L23" i="4"/>
  <c r="L40" i="4" s="1"/>
  <c r="S44" i="1" l="1"/>
  <c r="S48" i="1"/>
  <c r="M52" i="1"/>
  <c r="M53" i="1" s="1"/>
  <c r="S46" i="1"/>
  <c r="S47" i="1"/>
  <c r="S43" i="1"/>
  <c r="S49" i="1"/>
  <c r="I41" i="1"/>
  <c r="S45" i="1"/>
  <c r="L52" i="1"/>
  <c r="L53" i="1" s="1"/>
  <c r="L31" i="4"/>
  <c r="L25" i="4"/>
  <c r="L26" i="4" s="1"/>
  <c r="L14" i="4"/>
  <c r="H51" i="1" l="1"/>
  <c r="M41" i="4"/>
  <c r="M11" i="4" l="1"/>
  <c r="M20" i="4" s="1"/>
  <c r="M21" i="4"/>
  <c r="N21" i="4"/>
  <c r="M27" i="4"/>
  <c r="N5" i="4"/>
  <c r="M23" i="4"/>
  <c r="M40" i="4" s="1"/>
  <c r="N40" i="4" s="1"/>
  <c r="O40" i="4" l="1"/>
  <c r="M31" i="4"/>
  <c r="M25" i="4"/>
  <c r="M26" i="4" s="1"/>
  <c r="M14" i="4"/>
  <c r="N25" i="4" l="1"/>
  <c r="N26" i="4" s="1"/>
  <c r="P40" i="4"/>
  <c r="N41" i="4"/>
  <c r="N14" i="4"/>
  <c r="N31" i="4"/>
  <c r="O25" i="4" l="1"/>
  <c r="P25" i="4" s="1"/>
  <c r="Q40" i="4"/>
  <c r="O31" i="4"/>
  <c r="P31" i="4" s="1"/>
  <c r="P26" i="4"/>
  <c r="O26" i="4"/>
  <c r="Q25" i="4"/>
  <c r="O14" i="4"/>
  <c r="P14" i="4" s="1"/>
  <c r="O41" i="4"/>
  <c r="R40" i="4" l="1"/>
  <c r="P41" i="4"/>
  <c r="Q41" i="4" s="1"/>
  <c r="R41" i="4" s="1"/>
  <c r="Q14" i="4"/>
  <c r="Q26" i="4"/>
  <c r="R25" i="4"/>
  <c r="Q31" i="4"/>
  <c r="S40" i="4" l="1"/>
  <c r="S41" i="4"/>
  <c r="R31" i="4"/>
  <c r="R26" i="4"/>
  <c r="S25" i="4"/>
  <c r="R14" i="4"/>
  <c r="T40" i="4" l="1"/>
  <c r="S14" i="4"/>
  <c r="S26" i="4"/>
  <c r="T25" i="4"/>
  <c r="S31" i="4"/>
  <c r="T41" i="4" l="1"/>
  <c r="U41" i="4" s="1"/>
  <c r="T31" i="4"/>
  <c r="T26" i="4"/>
  <c r="T14" i="4"/>
  <c r="U31" i="4" l="1"/>
  <c r="U25" i="4"/>
  <c r="U14" i="4"/>
  <c r="U21" i="4"/>
  <c r="U27" i="4" l="1"/>
  <c r="U23" i="4"/>
  <c r="U11" i="4"/>
  <c r="U20" i="4" s="1"/>
  <c r="U40" i="4" l="1"/>
  <c r="U26" i="4"/>
  <c r="V41" i="4" l="1"/>
  <c r="V14" i="4" l="1"/>
  <c r="V31" i="4"/>
  <c r="V6" i="4"/>
  <c r="V30" i="4" s="1"/>
  <c r="V25" i="4"/>
  <c r="V23" i="4" l="1"/>
  <c r="V27" i="4"/>
  <c r="V21" i="4"/>
  <c r="V11" i="4"/>
  <c r="V20" i="4" s="1"/>
  <c r="V26" i="4" l="1"/>
  <c r="V40" i="4"/>
  <c r="W41" i="4" l="1"/>
  <c r="W31" i="4" l="1"/>
  <c r="W25" i="4"/>
  <c r="W14" i="4"/>
  <c r="W6" i="4"/>
  <c r="W30" i="4" s="1"/>
  <c r="W11" i="4" l="1"/>
  <c r="W20" i="4" s="1"/>
  <c r="W23" i="4"/>
  <c r="W21" i="4"/>
  <c r="W27" i="4"/>
  <c r="W26" i="4" l="1"/>
  <c r="W40" i="4"/>
  <c r="X41" i="4" l="1"/>
  <c r="X14" i="4"/>
  <c r="X31" i="4"/>
  <c r="X25" i="4"/>
  <c r="X6" i="4"/>
  <c r="X30" i="4" s="1"/>
  <c r="X11" i="4" l="1"/>
  <c r="X20" i="4" s="1"/>
  <c r="X27" i="4"/>
  <c r="X23" i="4"/>
  <c r="X21" i="4"/>
  <c r="X26" i="4" l="1"/>
  <c r="X40" i="4"/>
  <c r="Y41" i="4" l="1"/>
  <c r="Y25" i="4"/>
  <c r="Y31" i="4"/>
  <c r="Y14" i="4"/>
  <c r="Y6" i="4"/>
  <c r="Y30" i="4" s="1"/>
  <c r="Y27" i="4" l="1"/>
  <c r="Y23" i="4"/>
  <c r="Y21" i="4"/>
  <c r="Y11" i="4"/>
  <c r="Y20" i="4" s="1"/>
  <c r="Y40" i="4" l="1"/>
  <c r="Y26" i="4"/>
  <c r="Z41" i="4" l="1"/>
  <c r="Z14" i="4"/>
  <c r="Z31" i="4"/>
  <c r="Z25" i="4"/>
  <c r="Z6" i="4"/>
  <c r="Z30" i="4" s="1"/>
  <c r="Z27" i="4" l="1"/>
  <c r="Z11" i="4"/>
  <c r="Z20" i="4" s="1"/>
  <c r="Z23" i="4"/>
  <c r="Z21" i="4"/>
  <c r="Z26" i="4" l="1"/>
  <c r="Z40" i="4"/>
  <c r="AA41" i="4" l="1"/>
  <c r="AA31" i="4" l="1"/>
  <c r="AA25" i="4"/>
  <c r="AA14" i="4"/>
  <c r="AA6" i="4"/>
  <c r="AA30" i="4" s="1"/>
  <c r="AA27" i="4" l="1"/>
  <c r="AA23" i="4"/>
  <c r="AA21" i="4"/>
  <c r="AA11" i="4"/>
  <c r="AA20" i="4" s="1"/>
  <c r="AA40" i="4" l="1"/>
  <c r="AA26" i="4"/>
  <c r="AB41" i="4" l="1"/>
  <c r="AB14" i="4"/>
  <c r="AB25" i="4"/>
  <c r="AB31" i="4"/>
  <c r="AB6" i="4"/>
  <c r="AB30" i="4" s="1"/>
  <c r="AB11" i="4" l="1"/>
  <c r="AB20" i="4" s="1"/>
  <c r="AB23" i="4"/>
  <c r="AB24" i="4"/>
  <c r="AB21" i="4"/>
  <c r="AB27" i="4"/>
  <c r="AB26" i="4" l="1"/>
  <c r="AB40" i="4"/>
  <c r="AC41" i="4" l="1"/>
  <c r="AC14" i="4"/>
  <c r="AC31" i="4"/>
  <c r="AC25" i="4"/>
  <c r="AC6" i="4"/>
  <c r="AC30" i="4" s="1"/>
  <c r="AC27" i="4" l="1"/>
  <c r="AC23" i="4"/>
  <c r="AC21" i="4"/>
  <c r="AC11" i="4"/>
  <c r="AC20" i="4" s="1"/>
  <c r="AC40" i="4" l="1"/>
  <c r="AC26" i="4"/>
  <c r="AD41" i="4" l="1"/>
  <c r="AD14" i="4"/>
  <c r="AD31" i="4"/>
  <c r="AD25" i="4"/>
  <c r="AD6" i="4"/>
  <c r="AD23" i="4" l="1"/>
  <c r="AD40" i="4" s="1"/>
  <c r="AD30" i="4"/>
  <c r="AE41" i="4"/>
  <c r="AD11" i="4"/>
  <c r="AD20" i="4" s="1"/>
  <c r="AD26" i="4"/>
  <c r="AD21" i="4"/>
  <c r="AD27" i="4"/>
  <c r="AE25" i="4" l="1"/>
  <c r="AE31" i="4"/>
  <c r="AE14" i="4"/>
  <c r="AE6" i="4"/>
  <c r="AE30" i="4" s="1"/>
  <c r="AE11" i="4" l="1"/>
  <c r="AE20" i="4" s="1"/>
  <c r="AE27" i="4"/>
  <c r="AE21" i="4"/>
  <c r="AE23" i="4"/>
  <c r="AE40" i="4" l="1"/>
  <c r="AE26" i="4"/>
  <c r="AF41" i="4" l="1"/>
  <c r="AG41" i="4" s="1"/>
  <c r="AG9" i="4"/>
  <c r="AF14" i="4" l="1"/>
  <c r="AF25" i="4"/>
  <c r="AF6" i="4"/>
  <c r="AF30" i="4" s="1"/>
  <c r="AF31" i="4"/>
  <c r="AF11" i="4" l="1"/>
  <c r="AF20" i="4" s="1"/>
  <c r="AF27" i="4"/>
  <c r="AF23" i="4"/>
  <c r="AF21" i="4"/>
  <c r="AG23" i="4" l="1"/>
  <c r="AH24" i="4" s="1"/>
  <c r="AF40" i="4"/>
  <c r="AG40" i="4" s="1"/>
  <c r="AF26" i="4"/>
  <c r="G8" i="4"/>
  <c r="G15" i="4" s="1"/>
  <c r="H7" i="4"/>
  <c r="H8" i="4" l="1"/>
  <c r="I7" i="4"/>
  <c r="J7" i="4" s="1"/>
  <c r="H12" i="4"/>
  <c r="H44" i="4" s="1"/>
  <c r="G28" i="4"/>
  <c r="G16" i="4"/>
  <c r="G17" i="4" s="1"/>
  <c r="G19" i="4" s="1"/>
  <c r="I8" i="4" l="1"/>
  <c r="I12" i="4" s="1"/>
  <c r="G22" i="4"/>
  <c r="G34" i="4" s="1"/>
  <c r="G29" i="4"/>
  <c r="G35" i="4" s="1"/>
  <c r="G36" i="4" l="1"/>
  <c r="G43" i="4" s="1"/>
  <c r="J8" i="4"/>
  <c r="J12" i="4" s="1"/>
  <c r="G32" i="4"/>
  <c r="H15" i="4" l="1"/>
  <c r="K8" i="4"/>
  <c r="K12" i="4" s="1"/>
  <c r="K44" i="4" s="1"/>
  <c r="H16" i="4" l="1"/>
  <c r="H17" i="4" s="1"/>
  <c r="H19" i="4" s="1"/>
  <c r="H28" i="4"/>
  <c r="L8" i="4"/>
  <c r="L12" i="4" s="1"/>
  <c r="L44" i="4" s="1"/>
  <c r="I28" i="4" l="1"/>
  <c r="H22" i="4"/>
  <c r="H34" i="4" s="1"/>
  <c r="H29" i="4"/>
  <c r="M8" i="4"/>
  <c r="M12" i="4" s="1"/>
  <c r="M44" i="4" s="1"/>
  <c r="H35" i="4" l="1"/>
  <c r="H36" i="4" s="1"/>
  <c r="H43" i="4" s="1"/>
  <c r="H32" i="4"/>
  <c r="N8" i="4"/>
  <c r="N12" i="4" s="1"/>
  <c r="N44" i="4" s="1"/>
  <c r="I15" i="4" l="1"/>
  <c r="I16" i="4" s="1"/>
  <c r="I17" i="4" s="1"/>
  <c r="I19" i="4" s="1"/>
  <c r="O8" i="4"/>
  <c r="O12" i="4" s="1"/>
  <c r="O44" i="4" s="1"/>
  <c r="I29" i="4" l="1"/>
  <c r="I22" i="4"/>
  <c r="I34" i="4" s="1"/>
  <c r="P8" i="4"/>
  <c r="P12" i="4" s="1"/>
  <c r="P44" i="4" s="1"/>
  <c r="I35" i="4" l="1"/>
  <c r="I36" i="4" s="1"/>
  <c r="I43" i="4" s="1"/>
  <c r="I32" i="4"/>
  <c r="Q8" i="4"/>
  <c r="Q12" i="4" s="1"/>
  <c r="Q44" i="4" s="1"/>
  <c r="J15" i="4" l="1"/>
  <c r="R8" i="4"/>
  <c r="R12" i="4" s="1"/>
  <c r="R44" i="4" s="1"/>
  <c r="J28" i="4" l="1"/>
  <c r="J16" i="4"/>
  <c r="J17" i="4" s="1"/>
  <c r="J19" i="4" s="1"/>
  <c r="S8" i="4"/>
  <c r="S12" i="4" s="1"/>
  <c r="S44" i="4" s="1"/>
  <c r="J22" i="4" l="1"/>
  <c r="J34" i="4" s="1"/>
  <c r="J29" i="4"/>
  <c r="J35" i="4" s="1"/>
  <c r="U7" i="4"/>
  <c r="T8" i="4"/>
  <c r="T12" i="4" s="1"/>
  <c r="T44" i="4" s="1"/>
  <c r="U8" i="4" l="1"/>
  <c r="U12" i="4" s="1"/>
  <c r="U44" i="4" s="1"/>
  <c r="V7" i="4"/>
  <c r="J32" i="4"/>
  <c r="J36" i="4"/>
  <c r="J43" i="4" s="1"/>
  <c r="W7" i="4" l="1"/>
  <c r="V8" i="4"/>
  <c r="V12" i="4" s="1"/>
  <c r="V44" i="4" s="1"/>
  <c r="K15" i="4"/>
  <c r="X7" i="4" l="1"/>
  <c r="W8" i="4"/>
  <c r="W12" i="4" s="1"/>
  <c r="W44" i="4" s="1"/>
  <c r="K16" i="4"/>
  <c r="K17" i="4" s="1"/>
  <c r="K19" i="4" s="1"/>
  <c r="K28" i="4"/>
  <c r="Y7" i="4" l="1"/>
  <c r="X8" i="4"/>
  <c r="X12" i="4" s="1"/>
  <c r="X44" i="4" s="1"/>
  <c r="K29" i="4"/>
  <c r="K35" i="4" s="1"/>
  <c r="K22" i="4"/>
  <c r="K34" i="4" s="1"/>
  <c r="Z7" i="4" l="1"/>
  <c r="Y8" i="4"/>
  <c r="Y12" i="4" s="1"/>
  <c r="Y44" i="4" s="1"/>
  <c r="K36" i="4"/>
  <c r="K43" i="4" s="1"/>
  <c r="L15" i="4"/>
  <c r="K32" i="4"/>
  <c r="AA7" i="4" l="1"/>
  <c r="Z8" i="4"/>
  <c r="Z12" i="4" s="1"/>
  <c r="Z44" i="4" s="1"/>
  <c r="L16" i="4"/>
  <c r="L17" i="4" s="1"/>
  <c r="L19" i="4" s="1"/>
  <c r="L28" i="4"/>
  <c r="AB7" i="4" l="1"/>
  <c r="AA8" i="4"/>
  <c r="AA12" i="4" s="1"/>
  <c r="AA44" i="4" s="1"/>
  <c r="L22" i="4"/>
  <c r="L34" i="4" s="1"/>
  <c r="L29" i="4"/>
  <c r="L35" i="4" s="1"/>
  <c r="AC7" i="4" l="1"/>
  <c r="AB8" i="4"/>
  <c r="AB12" i="4" s="1"/>
  <c r="AB44" i="4" s="1"/>
  <c r="L36" i="4"/>
  <c r="L43" i="4" s="1"/>
  <c r="L32" i="4"/>
  <c r="AD7" i="4" l="1"/>
  <c r="AC8" i="4"/>
  <c r="AC12" i="4" s="1"/>
  <c r="AC44" i="4" s="1"/>
  <c r="M15" i="4"/>
  <c r="AE7" i="4" l="1"/>
  <c r="AD8" i="4"/>
  <c r="AD12" i="4" s="1"/>
  <c r="AD44" i="4" s="1"/>
  <c r="M16" i="4"/>
  <c r="M17" i="4" s="1"/>
  <c r="M19" i="4" s="1"/>
  <c r="M28" i="4"/>
  <c r="AF7" i="4" l="1"/>
  <c r="AF8" i="4" s="1"/>
  <c r="AF12" i="4" s="1"/>
  <c r="AF44" i="4" s="1"/>
  <c r="AE8" i="4"/>
  <c r="AE12" i="4" s="1"/>
  <c r="AE44" i="4" s="1"/>
  <c r="M22" i="4"/>
  <c r="M34" i="4" s="1"/>
  <c r="M29" i="4"/>
  <c r="M35" i="4" s="1"/>
  <c r="M36" i="4" l="1"/>
  <c r="M43" i="4" s="1"/>
  <c r="M32" i="4"/>
  <c r="N15" i="4" l="1"/>
  <c r="N28" i="4" l="1"/>
  <c r="N16" i="4"/>
  <c r="N17" i="4" s="1"/>
  <c r="N19" i="4" s="1"/>
  <c r="N22" i="4" l="1"/>
  <c r="N34" i="4" s="1"/>
  <c r="N29" i="4"/>
  <c r="N35" i="4" s="1"/>
  <c r="N32" i="4" l="1"/>
  <c r="N36" i="4"/>
  <c r="N43" i="4" s="1"/>
  <c r="O15" i="4"/>
  <c r="O16" i="4" l="1"/>
  <c r="O17" i="4" s="1"/>
  <c r="O19" i="4" s="1"/>
  <c r="O28" i="4"/>
  <c r="O29" i="4" l="1"/>
  <c r="O35" i="4" s="1"/>
  <c r="O22" i="4"/>
  <c r="O34" i="4" s="1"/>
  <c r="O36" i="4" l="1"/>
  <c r="O43" i="4" s="1"/>
  <c r="P15" i="4"/>
  <c r="O32" i="4"/>
  <c r="P28" i="4" l="1"/>
  <c r="P16" i="4"/>
  <c r="P17" i="4" s="1"/>
  <c r="P19" i="4" s="1"/>
  <c r="P22" i="4" l="1"/>
  <c r="P34" i="4" s="1"/>
  <c r="P29" i="4"/>
  <c r="P35" i="4" s="1"/>
  <c r="P32" i="4" l="1"/>
  <c r="P36" i="4"/>
  <c r="P43" i="4" s="1"/>
  <c r="Q15" i="4" l="1"/>
  <c r="Q16" i="4" l="1"/>
  <c r="Q17" i="4" s="1"/>
  <c r="Q19" i="4" s="1"/>
  <c r="Q28" i="4"/>
  <c r="Q22" i="4" l="1"/>
  <c r="Q34" i="4" s="1"/>
  <c r="Q29" i="4"/>
  <c r="Q35" i="4" s="1"/>
  <c r="Q36" i="4" l="1"/>
  <c r="Q43" i="4" s="1"/>
  <c r="Q32" i="4"/>
  <c r="R15" i="4" l="1"/>
  <c r="R28" i="4" l="1"/>
  <c r="R16" i="4"/>
  <c r="R17" i="4" s="1"/>
  <c r="R19" i="4" s="1"/>
  <c r="R22" i="4" l="1"/>
  <c r="R34" i="4" s="1"/>
  <c r="R29" i="4"/>
  <c r="R35" i="4" s="1"/>
  <c r="R32" i="4" l="1"/>
  <c r="R36" i="4"/>
  <c r="R43" i="4" s="1"/>
  <c r="S15" i="4" l="1"/>
  <c r="S16" i="4" l="1"/>
  <c r="S17" i="4" s="1"/>
  <c r="S19" i="4" s="1"/>
  <c r="S28" i="4"/>
  <c r="S29" i="4" l="1"/>
  <c r="S35" i="4" s="1"/>
  <c r="S22" i="4"/>
  <c r="S34" i="4" s="1"/>
  <c r="S36" i="4" l="1"/>
  <c r="S43" i="4" s="1"/>
  <c r="T15" i="4"/>
  <c r="S32" i="4"/>
  <c r="T28" i="4" l="1"/>
  <c r="T16" i="4"/>
  <c r="T17" i="4" s="1"/>
  <c r="T19" i="4" s="1"/>
  <c r="T22" i="4" l="1"/>
  <c r="T34" i="4" s="1"/>
  <c r="T29" i="4"/>
  <c r="T35" i="4" s="1"/>
  <c r="T32" i="4" l="1"/>
  <c r="T36" i="4"/>
  <c r="T43" i="4" s="1"/>
  <c r="U15" i="4" l="1"/>
  <c r="U16" i="4" l="1"/>
  <c r="U17" i="4" s="1"/>
  <c r="U19" i="4" s="1"/>
  <c r="U28" i="4"/>
  <c r="U29" i="4" l="1"/>
  <c r="U35" i="4" s="1"/>
  <c r="U22" i="4"/>
  <c r="U34" i="4" s="1"/>
  <c r="U36" i="4" l="1"/>
  <c r="U43" i="4" s="1"/>
  <c r="V15" i="4"/>
  <c r="U32" i="4"/>
  <c r="V16" i="4" l="1"/>
  <c r="V17" i="4" s="1"/>
  <c r="V19" i="4" s="1"/>
  <c r="V28" i="4"/>
  <c r="V29" i="4" l="1"/>
  <c r="V35" i="4" s="1"/>
  <c r="V22" i="4"/>
  <c r="V34" i="4" s="1"/>
  <c r="V36" i="4" l="1"/>
  <c r="V43" i="4" s="1"/>
  <c r="W15" i="4"/>
  <c r="V32" i="4"/>
  <c r="W16" i="4" l="1"/>
  <c r="W17" i="4" s="1"/>
  <c r="W19" i="4" s="1"/>
  <c r="W28" i="4"/>
  <c r="W29" i="4" l="1"/>
  <c r="W35" i="4" s="1"/>
  <c r="W22" i="4"/>
  <c r="W34" i="4" s="1"/>
  <c r="W36" i="4" l="1"/>
  <c r="W43" i="4" s="1"/>
  <c r="X15" i="4"/>
  <c r="W32" i="4"/>
  <c r="X28" i="4" l="1"/>
  <c r="X16" i="4"/>
  <c r="X17" i="4" s="1"/>
  <c r="X19" i="4" s="1"/>
  <c r="X29" i="4" l="1"/>
  <c r="X35" i="4" s="1"/>
  <c r="X22" i="4"/>
  <c r="X34" i="4" s="1"/>
  <c r="X36" i="4" l="1"/>
  <c r="X43" i="4" s="1"/>
  <c r="X32" i="4"/>
  <c r="Y15" i="4"/>
  <c r="Y16" i="4" l="1"/>
  <c r="Y17" i="4" s="1"/>
  <c r="Y19" i="4" s="1"/>
  <c r="Y28" i="4"/>
  <c r="Y29" i="4" l="1"/>
  <c r="Y35" i="4" s="1"/>
  <c r="Y22" i="4"/>
  <c r="Y34" i="4" s="1"/>
  <c r="Y36" i="4" l="1"/>
  <c r="Y43" i="4" s="1"/>
  <c r="Z15" i="4"/>
  <c r="Y32" i="4"/>
  <c r="Z28" i="4" l="1"/>
  <c r="Z16" i="4"/>
  <c r="Z17" i="4" s="1"/>
  <c r="Z19" i="4" s="1"/>
  <c r="Z22" i="4" l="1"/>
  <c r="Z34" i="4" s="1"/>
  <c r="Z29" i="4"/>
  <c r="Z35" i="4" s="1"/>
  <c r="Z32" i="4" l="1"/>
  <c r="Z36" i="4"/>
  <c r="Z43" i="4" s="1"/>
  <c r="AA15" i="4" l="1"/>
  <c r="AA16" i="4" l="1"/>
  <c r="AA17" i="4" s="1"/>
  <c r="AA19" i="4" s="1"/>
  <c r="AA28" i="4"/>
  <c r="AA22" i="4" l="1"/>
  <c r="AA34" i="4" s="1"/>
  <c r="AA29" i="4"/>
  <c r="AA35" i="4" s="1"/>
  <c r="AA36" i="4" l="1"/>
  <c r="AA43" i="4" s="1"/>
  <c r="AA32" i="4"/>
  <c r="AB15" i="4" l="1"/>
  <c r="AB16" i="4" l="1"/>
  <c r="AB17" i="4" s="1"/>
  <c r="AB19" i="4" s="1"/>
  <c r="AB28" i="4"/>
  <c r="AB29" i="4" l="1"/>
  <c r="AB35" i="4" s="1"/>
  <c r="AB22" i="4"/>
  <c r="AB34" i="4" s="1"/>
  <c r="AB36" i="4" l="1"/>
  <c r="AB43" i="4" s="1"/>
  <c r="AC15" i="4"/>
  <c r="AB32" i="4"/>
  <c r="AC16" i="4" l="1"/>
  <c r="AC17" i="4" s="1"/>
  <c r="AC19" i="4" s="1"/>
  <c r="AC28" i="4"/>
  <c r="AC22" i="4" l="1"/>
  <c r="AC34" i="4" s="1"/>
  <c r="AC29" i="4"/>
  <c r="AC35" i="4" s="1"/>
  <c r="AC32" i="4" l="1"/>
  <c r="AC36" i="4"/>
  <c r="AC43" i="4" s="1"/>
  <c r="AD15" i="4" s="1"/>
  <c r="AD16" i="4" l="1"/>
  <c r="AD17" i="4" s="1"/>
  <c r="AD19" i="4" s="1"/>
  <c r="AD28" i="4"/>
  <c r="AD29" i="4" l="1"/>
  <c r="AD35" i="4" s="1"/>
  <c r="AD22" i="4"/>
  <c r="AD34" i="4" s="1"/>
  <c r="AD32" i="4" l="1"/>
  <c r="AD36" i="4"/>
  <c r="AD43" i="4" s="1"/>
  <c r="AE15" i="4" l="1"/>
  <c r="AE28" i="4" l="1"/>
  <c r="AE16" i="4"/>
  <c r="AE17" i="4" s="1"/>
  <c r="AE19" i="4" s="1"/>
  <c r="AE29" i="4" l="1"/>
  <c r="AE35" i="4" s="1"/>
  <c r="AE22" i="4"/>
  <c r="AE34" i="4" s="1"/>
  <c r="AE36" i="4" l="1"/>
  <c r="AE43" i="4" s="1"/>
  <c r="AE32" i="4"/>
  <c r="AF15" i="4"/>
  <c r="AF28" i="4" l="1"/>
  <c r="AF16" i="4"/>
  <c r="AF17" i="4" s="1"/>
  <c r="AF19" i="4" s="1"/>
  <c r="AF29" i="4" l="1"/>
  <c r="AF35" i="4" s="1"/>
  <c r="AF22" i="4"/>
  <c r="AF34" i="4" s="1"/>
  <c r="AF32" i="4" l="1"/>
  <c r="D71" i="4"/>
  <c r="AF36" i="4"/>
  <c r="AF43" i="4" s="1"/>
  <c r="D70" i="4" s="1"/>
  <c r="D77" i="4"/>
  <c r="D78" i="4"/>
  <c r="D72" i="4" l="1"/>
  <c r="D75" i="4" s="1"/>
  <c r="E78" i="4" s="1"/>
  <c r="E70" i="4" l="1"/>
  <c r="D80" i="4"/>
  <c r="D74" i="4"/>
  <c r="J37" i="1" s="1"/>
  <c r="H35" i="1"/>
  <c r="E77" i="4"/>
  <c r="E7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Jorge</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J7" authorId="3" shapeId="0" xr:uid="{89FF1573-2626-4906-AC4B-0110AD7879DE}">
      <text>
        <r>
          <rPr>
            <b/>
            <sz val="9"/>
            <color indexed="81"/>
            <rFont val="Tahoma"/>
            <family val="2"/>
          </rPr>
          <t>also Deputy General Manager</t>
        </r>
      </text>
    </comment>
    <comment ref="J8" authorId="3" shapeId="0" xr:uid="{6748A663-D479-4036-B691-A778F66E07EC}">
      <text>
        <r>
          <rPr>
            <b/>
            <sz val="9"/>
            <color indexed="81"/>
            <rFont val="Tahoma"/>
            <family val="2"/>
          </rPr>
          <t>Non independent</t>
        </r>
      </text>
    </comment>
    <comment ref="J9" authorId="3" shapeId="0" xr:uid="{0B557C55-5976-44D9-A627-7305393E6D5D}">
      <text>
        <r>
          <rPr>
            <b/>
            <sz val="9"/>
            <color indexed="81"/>
            <rFont val="Tahoma"/>
            <family val="2"/>
          </rPr>
          <t>Non-Executive</t>
        </r>
      </text>
    </comment>
    <comment ref="D40" authorId="4"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Jorge</author>
  </authors>
  <commentList>
    <comment ref="C46" authorId="0" shapeId="0" xr:uid="{DB5CE2C9-2013-462A-942D-D14FA1BB7725}">
      <text>
        <r>
          <rPr>
            <b/>
            <sz val="9"/>
            <color indexed="81"/>
            <rFont val="Tahoma"/>
            <family val="2"/>
          </rPr>
          <t xml:space="preserve"> (Mainly New Energy Vehicles)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José Paulo Vicente De Sousa Lima</author>
  </authors>
  <commentList>
    <comment ref="G4" authorId="0" shapeId="0" xr:uid="{BC3CF771-DA73-4F7F-8A3B-971C1A31A353}">
      <text>
        <r>
          <rPr>
            <sz val="10"/>
            <rFont val="Arial"/>
            <family val="2"/>
          </rPr>
          <t xml:space="preserve">José Paulo Vicente De Sousa Lima:
All IS/BS/CF data of 2024 are Bloomberg Est as of 12/31/2024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Damião Carvalho Perdigão Gonçalves Ribeiro</author>
  </authors>
  <commentList>
    <comment ref="J23" authorId="0" shapeId="0" xr:uid="{6E478CFC-98B1-491D-B9A2-4B23F33AC43B}">
      <text>
        <r>
          <rPr>
            <sz val="10"/>
            <rFont val="Arial"/>
            <family val="2"/>
          </rPr>
          <t>Damião Carvalho Perdigão Gonçalves Ribeiro:
Average YoY Growth (Gross PPE)</t>
        </r>
      </text>
    </comment>
    <comment ref="K23" authorId="0" shapeId="0" xr:uid="{1EA63F23-E7A6-4972-8A14-A15EA6172957}">
      <text>
        <r>
          <rPr>
            <sz val="10"/>
            <rFont val="Arial"/>
            <family val="2"/>
          </rPr>
          <t>Damião Carvalho Perdigão Gonçalves Ribeiro:
Average YoY Growth (Gross PPE)</t>
        </r>
      </text>
    </comment>
    <comment ref="J25" authorId="0" shapeId="0" xr:uid="{73CD9603-F085-467F-BBA9-49CE7A829CFD}">
      <text>
        <r>
          <rPr>
            <sz val="10"/>
            <rFont val="Arial"/>
            <family val="2"/>
          </rPr>
          <t>Damião Carvalho Perdigão Gonçalves Ribeiro:
Average YoY Growth (Gross IA)</t>
        </r>
      </text>
    </comment>
    <comment ref="K25" authorId="0" shapeId="0" xr:uid="{87DB85B0-C8E7-4E44-A787-C670A9DA7EB6}">
      <text>
        <r>
          <rPr>
            <sz val="10"/>
            <rFont val="Arial"/>
            <family val="2"/>
          </rPr>
          <t>Damião Carvalho Perdigão Gonçalves Ribeiro:
Average YoY Growth (Gross IA)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José Lima</author>
  </authors>
  <commentList>
    <comment ref="S20" authorId="0" shapeId="0" xr:uid="{44CC35C8-8BE7-44C1-A429-D60002C7CB5F}">
      <text>
        <r>
          <rPr>
            <b/>
            <sz val="9"/>
            <color indexed="81"/>
            <rFont val="Tahoma"/>
            <charset val="1"/>
          </rPr>
          <t>José Lima:</t>
        </r>
        <r>
          <rPr>
            <sz val="9"/>
            <color indexed="81"/>
            <rFont val="Tahoma"/>
            <charset val="1"/>
          </rPr>
          <t xml:space="preserve">
EBIT Margin decrease 57% considering its peak (2016)</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B91F9C-6D48-4B07-9ADE-23D16AA73495}" keepAlive="1" name="Query - Top Auto Manufacturers Companies in the World as of Jul  01, 2024" description="Connection to the 'Top Auto Manufacturers Companies in the World as of Jul  01, 2024' query in the workbook." type="5" refreshedVersion="8" background="1" saveData="1">
    <dbPr connection="Provider=Microsoft.Mashup.OleDb.1;Data Source=$Workbook$;Location=&quot;Top Auto Manufacturers Companies in the World as of Jul  01, 2024&quot;;Extended Properties=&quot;&quot;" command="SELECT * FROM [Top Auto Manufacturers Companies in the World as of Jul  01, 2024]"/>
  </connection>
  <connection id="2" xr16:uid="{8DE74211-19E4-4374-9642-0B3C1EB9F805}" keepAlive="1" name="Query - Top Auto Manufacturers Companies in the World as of Jul  01, 2024 (2)" description="Connection to the 'Top Auto Manufacturers Companies in the World as of Jul  01, 2024 (2)' query in the workbook." type="5" refreshedVersion="8" background="1" saveData="1">
    <dbPr connection="Provider=Microsoft.Mashup.OleDb.1;Data Source=$Workbook$;Location=&quot;Top Auto Manufacturers Companies in the World as of Jul  01, 2024 (2)&quot;;Extended Properties=&quot;&quot;" command="SELECT * FROM [Top Auto Manufacturers Companies in the World as of Jul  01, 2024 (2)]"/>
  </connection>
</connections>
</file>

<file path=xl/sharedStrings.xml><?xml version="1.0" encoding="utf-8"?>
<sst xmlns="http://schemas.openxmlformats.org/spreadsheetml/2006/main" count="1885" uniqueCount="849">
  <si>
    <t>(Date of last update)</t>
  </si>
  <si>
    <t>Team 1</t>
  </si>
  <si>
    <t>(Date of next Quarter/Annual Report)</t>
  </si>
  <si>
    <t xml:space="preserve">SIC: </t>
  </si>
  <si>
    <t>Executive Directors: Mr. Wei Jian Jun (Chairman) Mr. Zhao Guo Qing (Vice-chairman and Deputy General Manager) Ms. Li Hong Shuan Non-Executive Director: Mr. He Ping Independent Non-Executive Directors: Ms. Yue Ying Mr. Li Wan Jun (not re-appointed upon expiry of his term of office on 16 June 2023) Mr. Ng Chi Kit (not re-appointed upon expiry of his term of office on 16 June 2023) Mr. Fan Hui (appointed on 16 June 2023) Mr. Tom Siulun Chau (appointed on 16 June 2023)</t>
  </si>
  <si>
    <t>COMPANY DESCRIPTION</t>
  </si>
  <si>
    <t>CEO &amp; BOARD OF DIRECTORS</t>
  </si>
  <si>
    <t>Name, Age and Tenure</t>
  </si>
  <si>
    <t>Gender</t>
  </si>
  <si>
    <t>Executive?</t>
  </si>
  <si>
    <t>Other roles</t>
  </si>
  <si>
    <t>Mu Feng</t>
  </si>
  <si>
    <t>Yes (CEO)</t>
  </si>
  <si>
    <t>Wei Jian Jun</t>
  </si>
  <si>
    <t>Yes (Chairman)</t>
  </si>
  <si>
    <t xml:space="preserve">Zhao Guo Qing </t>
  </si>
  <si>
    <t>Yes (Vice Chairman)</t>
  </si>
  <si>
    <t>Li Hong Shuan</t>
  </si>
  <si>
    <t>Yes</t>
  </si>
  <si>
    <t>He Ping</t>
  </si>
  <si>
    <t>Yue Ying</t>
  </si>
  <si>
    <t>Fan Fuy</t>
  </si>
  <si>
    <t>Tom Siulun Chau</t>
  </si>
  <si>
    <t>COMPANY OVERVIEW</t>
  </si>
  <si>
    <t>Stock</t>
  </si>
  <si>
    <t>Liquidity and Solvency</t>
  </si>
  <si>
    <t>Segments</t>
  </si>
  <si>
    <t>Multiples</t>
  </si>
  <si>
    <t>Last Price</t>
  </si>
  <si>
    <t>Total Assets</t>
  </si>
  <si>
    <t>Categories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</si>
  <si>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</si>
  <si>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</si>
  <si>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</si>
  <si>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</si>
  <si>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</si>
  <si>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</si>
  <si>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</si>
  <si>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</si>
  <si>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</si>
  <si>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</si>
  <si>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</si>
  <si>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</si>
  <si>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</si>
  <si>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</si>
  <si>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</si>
  <si>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-Cash</t>
  </si>
  <si>
    <t>Debt/EBITDA</t>
  </si>
  <si>
    <t>EBIT</t>
  </si>
  <si>
    <t>Price/Book Value</t>
  </si>
  <si>
    <t>=Enterprise Value</t>
  </si>
  <si>
    <t>"Others Assets"/Asset</t>
  </si>
  <si>
    <t>Net Income</t>
  </si>
  <si>
    <t>NCF(3y avg)/Asset</t>
  </si>
  <si>
    <t>Holdings (nac/int'l)</t>
  </si>
  <si>
    <t>-</t>
  </si>
  <si>
    <t>Debt/Assets</t>
  </si>
  <si>
    <t>Regions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</si>
  <si>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</si>
  <si>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</si>
  <si>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</si>
  <si>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</si>
  <si>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</si>
  <si>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</si>
  <si>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</si>
  <si>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</si>
  <si>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</si>
  <si>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</si>
  <si>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</si>
  <si>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</si>
  <si>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</si>
  <si>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</si>
  <si>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</si>
  <si>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</si>
  <si>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</si>
  <si>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</si>
  <si>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</si>
  <si>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</si>
  <si>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</si>
  <si>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</si>
  <si>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</si>
  <si>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</si>
  <si>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</si>
  <si>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</si>
  <si>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</si>
  <si>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</si>
  <si>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</si>
  <si>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Check DCF</t>
  </si>
  <si>
    <t>Risks of Investment</t>
  </si>
  <si>
    <t>Price Target</t>
  </si>
  <si>
    <t>Valuation</t>
  </si>
  <si>
    <t>Risk</t>
  </si>
  <si>
    <t>Discount Rate</t>
  </si>
  <si>
    <t>Price M. Upside</t>
  </si>
  <si>
    <t>Upside</t>
  </si>
  <si>
    <t>EV M. Upside</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</si>
  <si>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</si>
  <si>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</si>
  <si>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</si>
  <si>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</si>
  <si>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</si>
  <si>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</si>
  <si>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</si>
  <si>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</si>
  <si>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</si>
  <si>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</si>
  <si>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</si>
  <si>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</si>
  <si>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</si>
  <si>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</si>
  <si>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</si>
  <si>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</si>
  <si>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</si>
  <si>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</si>
  <si>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</si>
  <si>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</si>
  <si>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</si>
  <si>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</si>
  <si>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</si>
  <si>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</si>
  <si>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</si>
  <si>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</si>
  <si>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</si>
  <si>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</si>
  <si>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Name</t>
  </si>
  <si>
    <t>% Stake</t>
  </si>
  <si>
    <t>Opportunities</t>
  </si>
  <si>
    <t>Risks</t>
  </si>
  <si>
    <t>TOTAL</t>
  </si>
  <si>
    <t>NOTES</t>
  </si>
  <si>
    <t>STOCK PERFORMANCE (5 years)</t>
  </si>
  <si>
    <t>Products</t>
  </si>
  <si>
    <t>Nominal value</t>
  </si>
  <si>
    <t>YoY Growth</t>
  </si>
  <si>
    <t>Weight</t>
  </si>
  <si>
    <t>Region</t>
  </si>
  <si>
    <t>Automobiles</t>
  </si>
  <si>
    <t>Automotive Parts &amp; Components</t>
  </si>
  <si>
    <t>Provision Of Services</t>
  </si>
  <si>
    <t>Moulds &amp; Others</t>
  </si>
  <si>
    <t>Other Business</t>
  </si>
  <si>
    <t>Adjustments</t>
  </si>
  <si>
    <t>Category</t>
  </si>
  <si>
    <t>China</t>
  </si>
  <si>
    <t>Other countries</t>
  </si>
  <si>
    <r>
      <t xml:space="preserve">Number of vehicles </t>
    </r>
    <r>
      <rPr>
        <u/>
        <sz val="16"/>
        <color theme="0"/>
        <rFont val="Arial"/>
        <family val="2"/>
      </rPr>
      <t>produced</t>
    </r>
    <r>
      <rPr>
        <sz val="16"/>
        <color theme="0"/>
        <rFont val="Arial"/>
        <family val="2"/>
      </rPr>
      <t xml:space="preserve"> worlwide (Thousand)</t>
    </r>
  </si>
  <si>
    <r>
      <t xml:space="preserve">Number of vehicles </t>
    </r>
    <r>
      <rPr>
        <u/>
        <sz val="16"/>
        <color theme="0"/>
        <rFont val="Arial"/>
        <family val="2"/>
      </rPr>
      <t>sold</t>
    </r>
    <r>
      <rPr>
        <sz val="16"/>
        <color theme="0"/>
        <rFont val="Arial"/>
        <family val="2"/>
      </rPr>
      <t xml:space="preserve"> by type (Thousand)</t>
    </r>
  </si>
  <si>
    <t>SUV</t>
  </si>
  <si>
    <t xml:space="preserve">    Domestic</t>
  </si>
  <si>
    <t xml:space="preserve">    Export</t>
  </si>
  <si>
    <t>Pick-Up Truck</t>
  </si>
  <si>
    <t>Sedan &amp; Others</t>
  </si>
  <si>
    <r>
      <t xml:space="preserve">Number of vehicles </t>
    </r>
    <r>
      <rPr>
        <u/>
        <sz val="16"/>
        <color theme="0"/>
        <rFont val="Arial"/>
        <family val="2"/>
      </rPr>
      <t>sold</t>
    </r>
    <r>
      <rPr>
        <sz val="16"/>
        <color theme="0"/>
        <rFont val="Arial"/>
        <family val="2"/>
      </rPr>
      <t xml:space="preserve"> by energy type (Thousand)</t>
    </r>
  </si>
  <si>
    <t>Conventional Vehicle</t>
  </si>
  <si>
    <t>New Energy Vehicle</t>
  </si>
  <si>
    <t>Types of Categories</t>
  </si>
  <si>
    <t>Description</t>
  </si>
  <si>
    <t>Graphs</t>
  </si>
  <si>
    <t>This segment involves the design, research and development, manufacturing, and sales of automobiles. The company primarily produces SUVs, sedans, and pickup trucks.</t>
  </si>
  <si>
    <t>This segment focuses on the manufacturing and sale of key automotive parts and components. It supports the company's vehicle production while also serving external customers. Key components are transmission systems, electronic, electrical, rubber and plastic components, seats, chassis, etc.</t>
  </si>
  <si>
    <t>Moulds &amp; Other Services</t>
  </si>
  <si>
    <t>The company provides automobile moulds and related technical services.
This includes the development of new vehicle designs and tooling for manufacturing.
It also involves vehicle repair and maintenance services.</t>
  </si>
  <si>
    <t>Industry</t>
  </si>
  <si>
    <t>Graphs (Industry Forecasts)</t>
  </si>
  <si>
    <t>Drivers</t>
  </si>
  <si>
    <t>New Energy Vehicles (NEVs) Transition</t>
  </si>
  <si>
    <r>
      <t xml:space="preserve">Many governments, including China, offer </t>
    </r>
    <r>
      <rPr>
        <b/>
        <sz val="10"/>
        <rFont val="Arial"/>
      </rPr>
      <t>subsidies, tax incentives, and regulatory mandates</t>
    </r>
    <r>
      <rPr>
        <sz val="10"/>
        <rFont val="Arial"/>
      </rPr>
      <t xml:space="preserve"> to promote NEVs.</t>
    </r>
  </si>
  <si>
    <t>Global Expansion and Market Diversification</t>
  </si>
  <si>
    <t>Reduce dependence on domestic sales and tap into emerging markets with growing demand.</t>
  </si>
  <si>
    <t>Sales forecast</t>
  </si>
  <si>
    <t>Source</t>
  </si>
  <si>
    <t>Market Growth CAGR</t>
  </si>
  <si>
    <t>Period</t>
  </si>
  <si>
    <t>Electric SUVs</t>
  </si>
  <si>
    <t>2024-2034</t>
  </si>
  <si>
    <t>Battery EVs China</t>
  </si>
  <si>
    <t>2025-2029</t>
  </si>
  <si>
    <t>Advanced Driver-Assintance System</t>
  </si>
  <si>
    <t>2025-2035</t>
  </si>
  <si>
    <t>Average</t>
  </si>
  <si>
    <t>Company's Strategy / Extra Notes</t>
  </si>
  <si>
    <r>
      <t>Expansion into New Energy Vehicles (NEVs)</t>
    </r>
    <r>
      <rPr>
        <sz val="10"/>
        <rFont val="Arial"/>
      </rPr>
      <t xml:space="preserve"> – Focus on EVs, PHEVs, and hydrogen-powered vehicles, with NEV sales growing 113.88% in 2023.</t>
    </r>
  </si>
  <si>
    <r>
      <t>Development of Hi4 Hybrid Technology</t>
    </r>
    <r>
      <rPr>
        <sz val="10"/>
        <rFont val="Arial"/>
      </rPr>
      <t xml:space="preserve"> – Introduction of Hi4 hybrid systems for better fuel efficiency and performance in urban and off-road settings.</t>
    </r>
  </si>
  <si>
    <r>
      <t>Investment in Autonomous and Smart Vehicles</t>
    </r>
    <r>
      <rPr>
        <sz val="10"/>
        <rFont val="Arial"/>
      </rPr>
      <t xml:space="preserve"> – Advancing AI-driven driver assistance, smart cockpits, and autonomous driving, backed by 100M+ km of data.</t>
    </r>
  </si>
  <si>
    <r>
      <t>Global Expansion Strategy</t>
    </r>
    <r>
      <rPr>
        <sz val="10"/>
        <rFont val="Arial"/>
      </rPr>
      <t xml:space="preserve"> – Strengthening presence in ASEAN, Latin America, and Europe, with an 82.37% YoY increase in overseas sales.</t>
    </r>
  </si>
  <si>
    <r>
      <t>Strengthening Manufacturing Capabilities</t>
    </r>
    <r>
      <rPr>
        <sz val="10"/>
        <rFont val="Arial"/>
      </rPr>
      <t xml:space="preserve"> – Operating 10 production plants in China and multiple international facilities for localized production.</t>
    </r>
  </si>
  <si>
    <r>
      <t>Hydrogen Technology Development</t>
    </r>
    <r>
      <rPr>
        <sz val="10"/>
        <rFont val="Arial"/>
      </rPr>
      <t xml:space="preserve"> – Investing in full-cycle hydrogen solutions, including fuel cell technology and infrastructure.</t>
    </r>
  </si>
  <si>
    <r>
      <t>Focus on Digital Transformation</t>
    </r>
    <r>
      <rPr>
        <sz val="10"/>
        <rFont val="Arial"/>
      </rPr>
      <t xml:space="preserve"> – Enhancing AI-driven sales platforms, smart maintenance, and over-the-air (OTA) vehicle updates.</t>
    </r>
  </si>
  <si>
    <r>
      <t>R&amp;D and Innovation Investments</t>
    </r>
    <r>
      <rPr>
        <sz val="10"/>
        <rFont val="Arial"/>
      </rPr>
      <t xml:space="preserve"> – Increasing research in battery efficiency, electric mobility, and autonomous driving technologies.</t>
    </r>
  </si>
  <si>
    <r>
      <rPr>
        <b/>
        <sz val="10"/>
        <color rgb="FF000000"/>
        <rFont val="Arial"/>
      </rPr>
      <t>Brand Positioning and Market Differentiation</t>
    </r>
    <r>
      <rPr>
        <sz val="10"/>
        <color rgb="FF000000"/>
        <rFont val="Arial"/>
      </rPr>
      <t xml:space="preserve"> – Expanding into premium SUV segments with intelligent and luxury off-road models.</t>
    </r>
  </si>
  <si>
    <r>
      <t>Risk Management and Market Adaptation</t>
    </r>
    <r>
      <rPr>
        <sz val="10"/>
        <rFont val="Arial"/>
      </rPr>
      <t xml:space="preserve"> – Adapting to trade policies, supply chain risks, and regulatory changes for sustained growth.</t>
    </r>
  </si>
  <si>
    <t>Peer Logo</t>
  </si>
  <si>
    <t>Peer Name</t>
  </si>
  <si>
    <t>In Millions USD</t>
  </si>
  <si>
    <t>AVERAGE</t>
  </si>
  <si>
    <t>Deviation from Average</t>
  </si>
  <si>
    <t>Company Info</t>
  </si>
  <si>
    <t>TRAFFIC</t>
  </si>
  <si>
    <t>Market Cap</t>
  </si>
  <si>
    <t>Best Value</t>
  </si>
  <si>
    <t>Net Sales (current)</t>
  </si>
  <si>
    <t>Profitability</t>
  </si>
  <si>
    <t>Important Value</t>
  </si>
  <si>
    <t>Sales Growth (ttm)</t>
  </si>
  <si>
    <t>Sales Growth (36m)</t>
  </si>
  <si>
    <t xml:space="preserve"> </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</si>
  <si>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</si>
  <si>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</si>
  <si>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</si>
  <si>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</si>
  <si>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</si>
  <si>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</si>
  <si>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</si>
  <si>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</si>
  <si>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</si>
  <si>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</si>
  <si>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</si>
  <si>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</si>
  <si>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</si>
  <si>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</si>
  <si>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</si>
  <si>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</si>
  <si>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</si>
  <si>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</si>
  <si>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</si>
  <si>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</si>
  <si>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</si>
  <si>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</si>
  <si>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</si>
  <si>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</si>
  <si>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</si>
  <si>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</si>
  <si>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</si>
  <si>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</si>
  <si>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</si>
  <si>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</si>
  <si>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</si>
  <si>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</si>
  <si>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</si>
  <si>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</si>
  <si>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</si>
  <si>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</si>
  <si>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</si>
  <si>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</si>
  <si>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</si>
  <si>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</si>
  <si>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</si>
  <si>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</si>
  <si>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</si>
  <si>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</si>
  <si>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</si>
  <si>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</si>
  <si>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</si>
  <si>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</si>
  <si>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</si>
  <si>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</si>
  <si>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</si>
  <si>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</si>
  <si>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Company GICS Sector:</t>
  </si>
  <si>
    <t>Consumer Discretionary</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</si>
  <si>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</si>
  <si>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</si>
  <si>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</si>
  <si>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</si>
  <si>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</si>
  <si>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</si>
  <si>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</si>
  <si>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</si>
  <si>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</si>
  <si>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</si>
  <si>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</si>
  <si>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</si>
  <si>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</si>
  <si>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</si>
  <si>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</si>
  <si>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</si>
  <si>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CO2 Emissions/$M Sales</t>
  </si>
  <si>
    <t>Total Water Consumption</t>
  </si>
  <si>
    <t>Water Consumption/$M Sales</t>
  </si>
  <si>
    <t>Total Energy Consumption</t>
  </si>
  <si>
    <t>Medium</t>
  </si>
  <si>
    <t>Energy Consumption/$M Sales</t>
  </si>
  <si>
    <t>Waste Management</t>
  </si>
  <si>
    <t>Waste Production/$M Sales</t>
  </si>
  <si>
    <t>Land Degradation/Deforestation/Biodiversity loss/Animal sufering/…</t>
  </si>
  <si>
    <t>Inputs</t>
  </si>
  <si>
    <t>Social</t>
  </si>
  <si>
    <t>Net Sales ($M)</t>
  </si>
  <si>
    <t>Employee Turnover %</t>
  </si>
  <si>
    <t>CO2 Emissions Total (Tonnes)</t>
  </si>
  <si>
    <t>Salaries &amp; Compensation</t>
  </si>
  <si>
    <t>Water Consumption Total (Cubic Meters)</t>
  </si>
  <si>
    <t>Reputation</t>
  </si>
  <si>
    <t>Energy Consumption Total (Gigajoules)</t>
  </si>
  <si>
    <t>Discrimination Events</t>
  </si>
  <si>
    <t>Waste Production Total (Tonnes)</t>
  </si>
  <si>
    <t>Work Safety</t>
  </si>
  <si>
    <t>ESG Scores</t>
  </si>
  <si>
    <t>Damage to consumer health</t>
  </si>
  <si>
    <t>Refinitiv</t>
  </si>
  <si>
    <t>PXP?</t>
  </si>
  <si>
    <t>Sustainalytics</t>
  </si>
  <si>
    <t>Supply chain</t>
  </si>
  <si>
    <t>ISS</t>
  </si>
  <si>
    <t>Community involvement</t>
  </si>
  <si>
    <t>CDP</t>
  </si>
  <si>
    <t>Public Sector</t>
  </si>
  <si>
    <t>Litigation</t>
  </si>
  <si>
    <t>Corporate Governance</t>
  </si>
  <si>
    <t>PARAMETERS</t>
  </si>
  <si>
    <t>Diversity (Gender, Age, Industry, Region)</t>
  </si>
  <si>
    <t>IMPACT</t>
  </si>
  <si>
    <t>RANKING</t>
  </si>
  <si>
    <t>MITIGATION PLAN</t>
  </si>
  <si>
    <t>% Independence</t>
  </si>
  <si>
    <t>Low</t>
  </si>
  <si>
    <t>"Best in class"</t>
  </si>
  <si>
    <t>Is there evidence of a plan/program ?</t>
  </si>
  <si>
    <t>average time as independent directors</t>
  </si>
  <si>
    <t>Medium High</t>
  </si>
  <si>
    <t>Recent departures of directors / C-level executives?</t>
  </si>
  <si>
    <t>High</t>
  </si>
  <si>
    <t>CEO/Chairman duality</t>
  </si>
  <si>
    <t>Very high</t>
  </si>
  <si>
    <t>"Villain"</t>
  </si>
  <si>
    <t>Transparency (ESG, segments, acquisitions, other)</t>
  </si>
  <si>
    <t>Time taken to report after the end of the quarter / year</t>
  </si>
  <si>
    <t>Additional participation of the CEO in other boards or excessive participation of Ch.</t>
  </si>
  <si>
    <t>Audit / Consulting</t>
  </si>
  <si>
    <t>ESG-compensation related</t>
  </si>
  <si>
    <t>Management compensation schemes</t>
  </si>
  <si>
    <t>VALUATION MODEL</t>
  </si>
  <si>
    <t>Short Term</t>
  </si>
  <si>
    <t>Long Term</t>
  </si>
  <si>
    <t>Section</t>
  </si>
  <si>
    <t>Line #</t>
  </si>
  <si>
    <t>ITEM</t>
  </si>
  <si>
    <t>2021 (Real)</t>
  </si>
  <si>
    <t>2022 (Real)</t>
  </si>
  <si>
    <t>2023 (Real)</t>
  </si>
  <si>
    <t>2024 (TTM)</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</si>
  <si>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</si>
  <si>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</si>
  <si>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</si>
  <si>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</si>
  <si>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</si>
  <si>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</si>
  <si>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</si>
  <si>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</si>
  <si>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</si>
  <si>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</si>
  <si>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</si>
  <si>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</si>
  <si>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</si>
  <si>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</si>
  <si>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</si>
  <si>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</si>
  <si>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</si>
  <si>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</si>
  <si>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</si>
  <si>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</si>
  <si>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</si>
  <si>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</si>
  <si>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</si>
  <si>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</si>
  <si>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</si>
  <si>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</si>
  <si>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</si>
  <si>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</si>
  <si>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</si>
  <si>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</si>
  <si>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</si>
  <si>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</si>
  <si>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</si>
  <si>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</si>
  <si>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</si>
  <si>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</si>
  <si>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</si>
  <si>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</si>
  <si>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</si>
  <si>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</si>
  <si>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</si>
  <si>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</si>
  <si>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</si>
  <si>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</si>
  <si>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</si>
  <si>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</si>
  <si>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</si>
  <si>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</si>
  <si>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</si>
  <si>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</si>
  <si>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</si>
  <si>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</si>
  <si>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</si>
  <si>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</si>
  <si>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</si>
  <si>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Amortization factor</t>
  </si>
  <si>
    <t>Stock-based comp</t>
  </si>
  <si>
    <t>Tax Rate</t>
  </si>
  <si>
    <t>Interest Rate on debt</t>
  </si>
  <si>
    <t>Interest Rate on cash</t>
  </si>
  <si>
    <t>PPE+ROA</t>
  </si>
  <si>
    <t>Working capital flows</t>
  </si>
  <si>
    <t>Intangible Assets</t>
  </si>
  <si>
    <t>Capex</t>
  </si>
  <si>
    <t>Acquisition factor</t>
  </si>
  <si>
    <t>Repurchases</t>
  </si>
  <si>
    <t>Leases</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</si>
  <si>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</si>
  <si>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</si>
  <si>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</si>
  <si>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</si>
  <si>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</si>
  <si>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</si>
  <si>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</si>
  <si>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</si>
  <si>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</si>
  <si>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</si>
  <si>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</si>
  <si>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</si>
  <si>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Assumptions</t>
  </si>
  <si>
    <t>Prospects:</t>
  </si>
  <si>
    <t>Links:</t>
  </si>
  <si>
    <t xml:space="preserve">6Y Average </t>
  </si>
  <si>
    <t xml:space="preserve">3Y Average </t>
  </si>
  <si>
    <t>Short Term Forecast</t>
  </si>
  <si>
    <t>Long Term Forecast</t>
  </si>
  <si>
    <t>Revenue growth</t>
  </si>
  <si>
    <t>Modelling Factors</t>
  </si>
  <si>
    <t>Last 10 Years</t>
  </si>
  <si>
    <t>Reference</t>
  </si>
  <si>
    <t>% PPE</t>
  </si>
  <si>
    <t>% IA</t>
  </si>
  <si>
    <t>% Revenue</t>
  </si>
  <si>
    <t>% EBT</t>
  </si>
  <si>
    <t>% Debt</t>
  </si>
  <si>
    <t xml:space="preserve">% Cash </t>
  </si>
  <si>
    <t>Growing with CAPEX</t>
  </si>
  <si>
    <t xml:space="preserve">% Change in Revenues </t>
  </si>
  <si>
    <t>- -</t>
  </si>
  <si>
    <t>Growing with Amortization</t>
  </si>
  <si>
    <t xml:space="preserve">CAPEX </t>
  </si>
  <si>
    <t>% Net Income</t>
  </si>
  <si>
    <t>% EBITDA</t>
  </si>
  <si>
    <t>Forecasts</t>
  </si>
  <si>
    <t>Free Cash Flow</t>
  </si>
  <si>
    <t>-2459.2</t>
  </si>
  <si>
    <t>Revenue Growth</t>
  </si>
  <si>
    <t xml:space="preserve">Net Sales Forecast </t>
  </si>
  <si>
    <t>90% confidence level</t>
  </si>
  <si>
    <t>Results</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</si>
  <si>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</si>
  <si>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</si>
  <si>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</si>
  <si>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</si>
  <si>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</si>
  <si>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</si>
  <si>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</si>
  <si>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</si>
  <si>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</si>
  <si>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</si>
  <si>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</si>
  <si>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</si>
  <si>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</si>
  <si>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</si>
  <si>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</si>
  <si>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</si>
  <si>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</si>
  <si>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</si>
  <si>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</si>
  <si>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</si>
  <si>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</si>
  <si>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</si>
  <si>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</si>
  <si>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</si>
  <si>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</si>
  <si>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</si>
  <si>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</si>
  <si>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</si>
  <si>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</si>
  <si>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</si>
  <si>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</si>
  <si>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</si>
  <si>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</si>
  <si>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</si>
  <si>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</si>
  <si>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</si>
  <si>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</si>
  <si>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</si>
  <si>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</si>
  <si>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</si>
  <si>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</si>
  <si>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</si>
  <si>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</si>
  <si>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</si>
  <si>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</si>
  <si>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</si>
  <si>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</si>
  <si>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</si>
  <si>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</si>
  <si>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</si>
  <si>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</si>
  <si>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</si>
  <si>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</si>
  <si>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</si>
  <si>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</si>
  <si>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</si>
  <si>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</si>
  <si>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</si>
  <si>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</si>
  <si>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</si>
  <si>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</si>
  <si>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</si>
  <si>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</si>
  <si>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</si>
  <si>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</si>
  <si>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</si>
  <si>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</si>
  <si>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</si>
  <si>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</si>
  <si>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</si>
  <si>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</si>
  <si>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</si>
  <si>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</si>
  <si>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</si>
  <si>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</si>
  <si>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</si>
  <si>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</si>
  <si>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</si>
  <si>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</si>
  <si>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</si>
  <si>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</si>
  <si>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</si>
  <si>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</si>
  <si>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</si>
  <si>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</si>
  <si>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</si>
  <si>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</si>
  <si>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</si>
  <si>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</si>
  <si>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</si>
  <si>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</si>
  <si>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</si>
  <si>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</si>
  <si>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</si>
  <si>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</si>
  <si>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</si>
  <si>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</si>
  <si>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</si>
  <si>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</si>
  <si>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</si>
  <si>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</si>
  <si>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</si>
  <si>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</si>
  <si>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</si>
  <si>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</si>
  <si>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</si>
  <si>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</si>
  <si>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</si>
  <si>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</si>
  <si>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</si>
  <si>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</si>
  <si>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</si>
  <si>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</si>
  <si>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</si>
  <si>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</si>
  <si>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</si>
  <si>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</si>
  <si>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</si>
  <si>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</si>
  <si>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</si>
  <si>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</si>
  <si>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</si>
  <si>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</si>
  <si>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</si>
  <si>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</si>
  <si>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</si>
  <si>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</si>
  <si>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</si>
  <si>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</si>
  <si>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</si>
  <si>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</si>
  <si>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</si>
  <si>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</si>
  <si>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</si>
  <si>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</si>
  <si>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</si>
  <si>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</si>
  <si>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</si>
  <si>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</si>
  <si>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</si>
  <si>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</si>
  <si>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</si>
  <si>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</si>
  <si>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</si>
  <si>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</si>
  <si>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</si>
  <si>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</si>
  <si>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</si>
  <si>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</si>
  <si>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</si>
  <si>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</si>
  <si>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</si>
  <si>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</si>
  <si>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</si>
  <si>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</si>
  <si>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</si>
  <si>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</si>
  <si>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</si>
  <si>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</si>
  <si>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</si>
  <si>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</si>
  <si>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</si>
  <si>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</si>
  <si>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</si>
  <si>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</si>
  <si>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</si>
  <si>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</si>
  <si>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</si>
  <si>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</si>
  <si>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</si>
  <si>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</si>
  <si>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</si>
  <si>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</si>
  <si>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</si>
  <si>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</si>
  <si>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</si>
  <si>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</si>
  <si>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</si>
  <si>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</si>
  <si>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</si>
  <si>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</si>
  <si>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</si>
  <si>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</si>
  <si>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</si>
  <si>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</si>
  <si>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</si>
  <si>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</si>
  <si>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</si>
  <si>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</si>
  <si>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</si>
  <si>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</si>
  <si>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</si>
  <si>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</si>
  <si>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</si>
  <si>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</si>
  <si>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</si>
  <si>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</si>
  <si>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</si>
  <si>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</si>
  <si>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</si>
  <si>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</si>
  <si>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</si>
  <si>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</si>
  <si>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</si>
  <si>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</si>
  <si>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</si>
  <si>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 of CNY</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</si>
  <si>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</si>
  <si>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</si>
  <si>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</si>
  <si>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</si>
  <si>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</si>
  <si>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</si>
  <si>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</si>
  <si>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</si>
  <si>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</si>
  <si>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</si>
  <si>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</si>
  <si>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</si>
  <si>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</si>
  <si>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</si>
  <si>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</si>
  <si>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</si>
  <si>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</si>
  <si>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</si>
  <si>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</si>
  <si>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</si>
  <si>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</si>
  <si>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</si>
  <si>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</si>
  <si>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</si>
  <si>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</si>
  <si>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</si>
  <si>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</si>
  <si>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</si>
  <si>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</si>
  <si>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</si>
  <si>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</si>
  <si>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</si>
  <si>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</si>
  <si>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</si>
  <si>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</si>
  <si>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</si>
  <si>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</si>
  <si>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</si>
  <si>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</si>
  <si>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</si>
  <si>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</si>
  <si>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</si>
  <si>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</si>
  <si>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LT Receivables</t>
  </si>
  <si>
    <t>LT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</si>
  <si>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</si>
  <si>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</si>
  <si>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</si>
  <si>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</si>
  <si>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</si>
  <si>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</si>
  <si>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</si>
  <si>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</si>
  <si>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</si>
  <si>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</si>
  <si>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</si>
  <si>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</si>
  <si>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</si>
  <si>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</si>
  <si>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</si>
  <si>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</si>
  <si>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</si>
  <si>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Investing Activities</t>
  </si>
  <si>
    <t>Debt Borrowing</t>
  </si>
  <si>
    <t>Debt Repayment</t>
  </si>
  <si>
    <t>Lease Increases</t>
  </si>
  <si>
    <t>Lease Payments</t>
  </si>
  <si>
    <t>cash flows FINANCING</t>
  </si>
  <si>
    <t>Dividends paid</t>
  </si>
  <si>
    <t>Other Inflows (Outflows)</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</si>
  <si>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</si>
  <si>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</si>
  <si>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</si>
  <si>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</si>
  <si>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</si>
  <si>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</si>
  <si>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</si>
  <si>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</si>
  <si>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</si>
  <si>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</si>
  <si>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https://www.coursehero.com/file/38225170/Swot-Analysisdocx/</t>
  </si>
  <si>
    <r>
      <rPr>
        <b/>
        <sz val="10"/>
        <rFont val="Arial"/>
        <family val="2"/>
      </rPr>
      <t>A Large Company with Long History</t>
    </r>
    <r>
      <rPr>
        <sz val="10"/>
        <rFont val="Arial"/>
        <family val="2"/>
      </rPr>
      <t xml:space="preserve">
Great Wall Motor Company Limited established in 1984 is the largest SUV and pickup manufacturer in China. It was listed on the Hong Kong Stock Exchange in 2003 and the Shanghai Stock Exchange in 2011. By December 30, 2016, its assets had amounted to 92,309 million RMB, and its market capitalization is second only to SAIC Motor Corporation Limited in domestic auto-listed companies. Now Great Wall Motors owns three brands—Haval, Great Wall and WEY which cover three categories: SUV, passenger car and pickup. With over 40 holding subsidiaries, more than 70,000 employees, four vehicle manufacturing bases, we have developed the independent matching capacity of core parts such as engine and transmission. It has capability to do merger and acquisition and net them a really good acquisition price and terms and conditions.
</t>
    </r>
    <r>
      <rPr>
        <b/>
        <sz val="10"/>
        <rFont val="Arial"/>
        <family val="2"/>
      </rPr>
      <t xml:space="preserve">Market Leader </t>
    </r>
    <r>
      <rPr>
        <sz val="10"/>
        <rFont val="Arial"/>
        <family val="2"/>
      </rPr>
      <t xml:space="preserve">
Great Wall Motor Company Limited is the China’s largest SUV and pickup manufacturer. It has kept ahead in domestic and overseas markets. At home, Haval SUV has retained the domestic sales title for 14 consecutive years, becoming No. 1 SUV brand in China; Great Wall pickup has led the domestic market in terms of market share and sales for 19 consecutive years. Abroad, since its first export in 1998, GWM has ranked at the top for consecutive years in export volume and export value, and has won a collection of honors in international markets. 
</t>
    </r>
    <r>
      <rPr>
        <b/>
        <sz val="10"/>
        <rFont val="Arial"/>
        <family val="2"/>
      </rPr>
      <t xml:space="preserve">Good Market Reputation </t>
    </r>
    <r>
      <rPr>
        <sz val="10"/>
        <rFont val="Arial"/>
        <family val="2"/>
      </rPr>
      <t xml:space="preserve">
Great Wall Motor Company Limited uphold the philosophy of "improving little by little every day", has an advanced corporate culture and an outstanding management team, maintaining high growth and high profit for over ten consecutive years. It is second to none in the domestic auto industry in terms of business quality, and it has been listed among "the most valuable listed automakers" by authorities and honored as the most promising Chinese independent auto brand by the media. Since 2004, Great Wall Motor has been selected as one of the "Top 500 Chinese Enterprises", "Top 500 Chinese Machinery Companies", "Top 500 Manufacturers in China", "Top 500 Chinese Industrial Enterprises", "Top 500 Most Valuable Brand in China", " Top 10 Top Listed Companies "," Forbes China Top 100 Enterprises "and other list; has been awarded as the "Recommended Export Brand" by China Chamber of Commerce for Import and Export of Machinery and Electronics and the "National Automobile Export Base Enterprise" by the Ministry of Commerce and the National Development and Reform Commission.In recent years, the development potential of the Great Wall Motor has been widely affirmed and recognized by the outside world.It was named "Top 100 World Car Brands in 2014", "Top 100 Listed Companies in China United Top", "Most Valuable Listed Automobile Company", "Top Ten China Automotive Listed Companies", "2016 Forbes 2000", "Fortune" China Top 500 Enterprises, "and" 2016 Hu Run China Top 100 Enterprise Brands”, etc.
</t>
    </r>
    <r>
      <rPr>
        <b/>
        <sz val="10"/>
        <rFont val="Arial"/>
        <family val="2"/>
      </rPr>
      <t xml:space="preserve">Broad market
</t>
    </r>
    <r>
      <rPr>
        <sz val="10"/>
        <rFont val="Arial"/>
        <family val="2"/>
      </rPr>
      <t xml:space="preserve">
Up to now, the Great Wall is the largest brand in the industry of domestic pickup truck and economy SUV. Among many brands, Great Wall Motor has won the favor of national law enforcement departments with its excellent price / performance ratio. Nearly 10,000 vehicles each year have been selected as official vehicles by the departments of quality supervision, public security, politics and law, industry and commerce, highways and telecommunications. In the same industry, it is the brand with the largest group procurement and equipment in law enforcement departments. In international market, Great Wall Motor has exported to more than 100 countries and regions and has marketing services channels in more than 60 countries. What’s more, in Europe, in September 11, 2009, 4 models of Great Wall Motor Company--"Dazzling" "Cool Bear" "Haver 5" "Wind 5"-- have got the certification of the European Union.It was the first time that China's automobile has obtained the right of free distribution in EU countries, which meant that Great Wall have a broad market in EU countries.2 Good research and development conditions Great Wall Motor Company Limited has a world-class R &amp; D equipment and system. It has so far the largest and most comprehensive automobile test ground and the largest and first-class vehicle R &amp; D center in China. It is capable of designing and developing SUV, passenger car and pickup series as well as powertrain, and developing a dozen models simultaneously, which been accredited as a "state- accredited enterprise technology center" and a "post-doctoral research workstation" by five ministries and commissions including the National Development and Reform Commission and the Ministry of Science and Technology, and was named a "national".
</t>
    </r>
    <r>
      <rPr>
        <b/>
        <sz val="10"/>
        <rFont val="Arial"/>
        <family val="2"/>
      </rPr>
      <t xml:space="preserve">Good research and development conditions
Adequate resourcesforthe development of new energy </t>
    </r>
  </si>
  <si>
    <t>Top 50 public listed car companies</t>
  </si>
  <si>
    <t xml:space="preserve">extracted from </t>
  </si>
  <si>
    <t>https://disfold.com/industry/auto-manufacturers/companies/?page=1</t>
  </si>
  <si>
    <t>Rank</t>
  </si>
  <si>
    <t>Market Cap (USD)</t>
  </si>
  <si>
    <t>Country</t>
  </si>
  <si>
    <t>Column1</t>
  </si>
  <si>
    <t>Tesla, Inc.</t>
  </si>
  <si>
    <t>$786.84 B</t>
  </si>
  <si>
    <t>United States</t>
  </si>
  <si>
    <t>US Consumer Discretionary</t>
  </si>
  <si>
    <t>US Auto Manufacturers</t>
  </si>
  <si>
    <t>Toyota Motor Corporation</t>
  </si>
  <si>
    <t>$282.88 B</t>
  </si>
  <si>
    <t>Japan</t>
  </si>
  <si>
    <t>Japanese Consumer Discretionary</t>
  </si>
  <si>
    <t>Japanese Auto Manufacturers</t>
  </si>
  <si>
    <t>BYD Co Ltd</t>
  </si>
  <si>
    <t>$93.95 B</t>
  </si>
  <si>
    <t>Chinese Consumer Discretionary</t>
  </si>
  <si>
    <t>Chinese Auto Manufacturers</t>
  </si>
  <si>
    <t>Ferrari N.V.</t>
  </si>
  <si>
    <t>$75.94 B</t>
  </si>
  <si>
    <t>Italy</t>
  </si>
  <si>
    <t>Italian Consumer Discretionary</t>
  </si>
  <si>
    <t>Italian Auto Manufacturers</t>
  </si>
  <si>
    <t>Mercedes-Benz Group AG</t>
  </si>
  <si>
    <t>$75.77 B</t>
  </si>
  <si>
    <t>Germany</t>
  </si>
  <si>
    <t>German Consumer Discretionary</t>
  </si>
  <si>
    <t>German Auto Manufacturers</t>
  </si>
  <si>
    <t>Dr. Ing. h.c. F. Porsche AG</t>
  </si>
  <si>
    <t>$68.30 B</t>
  </si>
  <si>
    <t>Bayerische Motoren Werke AG</t>
  </si>
  <si>
    <t>$60.38 B</t>
  </si>
  <si>
    <t>Volkswagen AG</t>
  </si>
  <si>
    <t>$59.34 B</t>
  </si>
  <si>
    <t>Stellantis N.V.</t>
  </si>
  <si>
    <t>$57.87 B</t>
  </si>
  <si>
    <t>Netherlands</t>
  </si>
  <si>
    <t>Dutch Consumer Discretionary</t>
  </si>
  <si>
    <t>Dutch Auto Manufacturers</t>
  </si>
  <si>
    <t/>
  </si>
  <si>
    <t>Honda Motor Co., Ltd.</t>
  </si>
  <si>
    <t>$53.49 B</t>
  </si>
  <si>
    <t>General Motors Company</t>
  </si>
  <si>
    <t>$53.27 B</t>
  </si>
  <si>
    <t>Ford Motor Company</t>
  </si>
  <si>
    <t>$51.02 B</t>
  </si>
  <si>
    <t>Mahindra &amp; Mahindra Ltd</t>
  </si>
  <si>
    <t>$39.07 B</t>
  </si>
  <si>
    <t>India</t>
  </si>
  <si>
    <t>Indian Consumer Discretionary</t>
  </si>
  <si>
    <t>Indian Auto Manufacturers</t>
  </si>
  <si>
    <t>Toyota Industries Corp</t>
  </si>
  <si>
    <t>$27.14 B</t>
  </si>
  <si>
    <t>Great Wall Motor Co Ltd</t>
  </si>
  <si>
    <t>$23.81 B</t>
  </si>
  <si>
    <t>Li Auto Inc.</t>
  </si>
  <si>
    <t>$21.98 B</t>
  </si>
  <si>
    <t>SAIC Motor Corp Ltd</t>
  </si>
  <si>
    <t>$21.69 B</t>
  </si>
  <si>
    <t>Suzuki Motor Corp</t>
  </si>
  <si>
    <t>$21.66 B</t>
  </si>
  <si>
    <t>Chongqing Sokon Industry Group Stock Co.,Ltd.</t>
  </si>
  <si>
    <t>$18.05 B</t>
  </si>
  <si>
    <t>Tata Motors Limited</t>
  </si>
  <si>
    <t>$17.61 B
                                            (Jan. 1, 2023)</t>
  </si>
  <si>
    <t>Subaru Corp</t>
  </si>
  <si>
    <t>$16.71 B</t>
  </si>
  <si>
    <t>Renault SA</t>
  </si>
  <si>
    <t>$15.58 B</t>
  </si>
  <si>
    <t>France</t>
  </si>
  <si>
    <t>French Consumer Discretionary</t>
  </si>
  <si>
    <t>French Auto Manufacturers</t>
  </si>
  <si>
    <t>Exor N.V.</t>
  </si>
  <si>
    <t>$14.84 B
                                            (Sept. 1, 2022)</t>
  </si>
  <si>
    <t>Rivian Automotive, Inc.</t>
  </si>
  <si>
    <t>$14.58 B</t>
  </si>
  <si>
    <t>Porsche Automobil Holding SE</t>
  </si>
  <si>
    <t>$14.11 B</t>
  </si>
  <si>
    <t>Nissan Motor Co Ltd</t>
  </si>
  <si>
    <t>$13.38 B</t>
  </si>
  <si>
    <t>Ford Otomotiv Sanayi A.S.</t>
  </si>
  <si>
    <t>$12.07 B</t>
  </si>
  <si>
    <t>Turkey</t>
  </si>
  <si>
    <t>Turkish Consumer Discretionary</t>
  </si>
  <si>
    <t>Turkish Auto Manufacturers</t>
  </si>
  <si>
    <t>Geely Automobile Holdings Ltd</t>
  </si>
  <si>
    <t>$11.21 B</t>
  </si>
  <si>
    <t>Hong Kong</t>
  </si>
  <si>
    <t>HK Consumer Discretionary</t>
  </si>
  <si>
    <t>HK Auto Manufacturers</t>
  </si>
  <si>
    <t>Isuzu Motors Ltd</t>
  </si>
  <si>
    <t>$10.49 B</t>
  </si>
  <si>
    <t>NIO Limited</t>
  </si>
  <si>
    <t>$10.16 B</t>
  </si>
  <si>
    <t>Forecast(Net Sales)</t>
  </si>
  <si>
    <t>Lower Confidence Bound(Net Sales)</t>
  </si>
  <si>
    <t>Upper Confidence Bound(Net Sales)</t>
  </si>
  <si>
    <t>Column7</t>
  </si>
  <si>
    <t>All Time Average</t>
  </si>
  <si>
    <t>Last 3y</t>
  </si>
  <si>
    <t>Last 5y</t>
  </si>
  <si>
    <t>Last 7y</t>
  </si>
  <si>
    <t>Last 10y</t>
  </si>
  <si>
    <t>Decrease from Peak</t>
  </si>
  <si>
    <t>increase in %</t>
  </si>
  <si>
    <t>Working Capital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</si>
</sst>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164" formatCode="_-* #,##0.00_-;\-* #,##0.00_-;_-* &quot;-&quot;??_-;_-@_-"/>
    <numFmt numFmtId="165" formatCode="_-&quot;$&quot;* #,##0.00_-;\-&quot;$&quot;* #,##0.00_-;_-&quot;$&quot;* &quot;-&quot;??_-;_-@_-"/>
    <numFmt numFmtId="166" formatCode="&quot;$&quot;#,##0.00"/>
    <numFmt numFmtId="167" formatCode="&quot;$&quot;#,##0"/>
    <numFmt numFmtId="168" formatCode="0.0%"/>
    <numFmt numFmtId="169" formatCode="0.0"/>
    <numFmt numFmtId="170" formatCode="#,##0.0"/>
    <numFmt numFmtId="171" formatCode="[$$-409]#,##0.00_ ;\-[$$-409]#,##0.00\ "/>
    <numFmt numFmtId="172" formatCode="[$$-409]#,##0.00"/>
    <numFmt numFmtId="173" formatCode="[$$-409]#,##0"/>
    <numFmt numFmtId="174" formatCode="_-[$$-409]* #,##0.00_ ;_-[$$-409]* \-#,##0.00\ ;_-[$$-409]* &quot;-&quot;??_ ;_-@_ "/>
    <numFmt numFmtId="175" formatCode="0.000000"/>
    <numFmt numFmtId="176" formatCode="_([$$-409]* #,##0.00_);_([$$-409]* \(#,##0.00\);_([$$-409]* &quot;-&quot;??_);_(@_)"/>
    <numFmt numFmtId="177" formatCode="0.000%"/>
    <numFmt numFmtId="178" formatCode="[$$-C09]#,##0.00"/>
    <numFmt numFmtId="179" formatCode="#,##0_ ;\-#,##0\ "/>
    <numFmt numFmtId="180" formatCode="0.0000%"/>
  </numFmts>
  <fonts count="9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9"/>
      <color indexed="81"/>
      <name val="Tahoma"/>
      <family val="2"/>
    </font>
    <font>
      <sz val="10"/>
      <name val="Arial"/>
      <family val="2"/>
    </font>
    <font>
      <sz val="8"/>
      <name val="Arial"/>
      <family val="2"/>
    </font>
    <font>
      <sz val="8"/>
      <color theme="0" tint="-0.499984740745262"/>
      <name val="Arial"/>
      <family val="2"/>
    </font>
    <font>
      <u/>
      <sz val="16"/>
      <color theme="0"/>
      <name val="Arial"/>
      <family val="2"/>
    </font>
    <font>
      <b/>
      <sz val="13"/>
      <color rgb="FF374151"/>
      <name val="Arial"/>
      <family val="2"/>
    </font>
    <font>
      <b/>
      <sz val="13"/>
      <name val="Arial"/>
      <family val="2"/>
    </font>
    <font>
      <b/>
      <sz val="10"/>
      <name val="Arial"/>
    </font>
    <font>
      <b/>
      <sz val="10"/>
      <color rgb="FF000000"/>
      <name val="Arial"/>
    </font>
    <font>
      <sz val="10"/>
      <color rgb="FF000000"/>
      <name val="Arial"/>
    </font>
    <font>
      <sz val="9"/>
      <color indexed="81"/>
      <name val="Tahoma"/>
      <charset val="1"/>
    </font>
    <font>
      <b/>
      <sz val="9"/>
      <color indexed="81"/>
      <name val="Tahoma"/>
      <charset val="1"/>
    </font>
  </fonts>
  <fills count="47">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s>
  <borders count="269">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style="thin">
        <color rgb="FF000000"/>
      </right>
      <top style="thin">
        <color rgb="FF000000"/>
      </top>
      <bottom style="thin">
        <color rgb="FF000000"/>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medium">
        <color rgb="FF000000"/>
      </bottom>
      <diagonal/>
    </border>
    <border>
      <left style="thin">
        <color theme="0" tint="-0.249977111117893"/>
      </left>
      <right style="thin">
        <color theme="0" tint="-0.249977111117893"/>
      </right>
      <top style="thin">
        <color theme="0" tint="-0.249977111117893"/>
      </top>
      <bottom/>
      <diagonal/>
    </border>
    <border>
      <left style="medium">
        <color rgb="FF1F497D"/>
      </left>
      <right style="thin">
        <color theme="0" tint="-0.249977111117893"/>
      </right>
      <top style="medium">
        <color rgb="FF1F497D"/>
      </top>
      <bottom style="thin">
        <color theme="0" tint="-0.249977111117893"/>
      </bottom>
      <diagonal/>
    </border>
    <border>
      <left style="thin">
        <color theme="0" tint="-0.249977111117893"/>
      </left>
      <right style="thin">
        <color theme="0" tint="-0.249977111117893"/>
      </right>
      <top style="medium">
        <color rgb="FF1F497D"/>
      </top>
      <bottom style="thin">
        <color theme="0" tint="-0.249977111117893"/>
      </bottom>
      <diagonal/>
    </border>
    <border>
      <left style="thin">
        <color theme="0" tint="-0.14999847407452621"/>
      </left>
      <right style="thin">
        <color theme="0" tint="-0.14999847407452621"/>
      </right>
      <top style="medium">
        <color rgb="FF1F497D"/>
      </top>
      <bottom/>
      <diagonal/>
    </border>
    <border>
      <left style="thin">
        <color theme="0" tint="-0.249977111117893"/>
      </left>
      <right/>
      <top style="medium">
        <color rgb="FF1F497D"/>
      </top>
      <bottom/>
      <diagonal/>
    </border>
    <border>
      <left/>
      <right style="thin">
        <color theme="0" tint="-0.249977111117893"/>
      </right>
      <top style="medium">
        <color rgb="FF1F497D"/>
      </top>
      <bottom/>
      <diagonal/>
    </border>
    <border>
      <left style="thin">
        <color theme="0" tint="-0.249977111117893"/>
      </left>
      <right style="thin">
        <color theme="0" tint="-0.249977111117893"/>
      </right>
      <top style="medium">
        <color rgb="FF1F497D"/>
      </top>
      <bottom/>
      <diagonal/>
    </border>
    <border>
      <left style="thin">
        <color theme="0" tint="-0.249977111117893"/>
      </left>
      <right style="medium">
        <color rgb="FF1F497D"/>
      </right>
      <top style="medium">
        <color rgb="FF1F497D"/>
      </top>
      <bottom/>
      <diagonal/>
    </border>
    <border>
      <left style="medium">
        <color rgb="FF1F497D"/>
      </left>
      <right style="thin">
        <color theme="0" tint="-0.249977111117893"/>
      </right>
      <top style="thin">
        <color theme="0" tint="-0.249977111117893"/>
      </top>
      <bottom style="thin">
        <color theme="0" tint="-0.249977111117893"/>
      </bottom>
      <diagonal/>
    </border>
    <border>
      <left style="thin">
        <color theme="0" tint="-0.249977111117893"/>
      </left>
      <right style="medium">
        <color rgb="FF1F497D"/>
      </right>
      <top style="thin">
        <color theme="0" tint="-0.249977111117893"/>
      </top>
      <bottom style="thin">
        <color theme="0" tint="-0.249977111117893"/>
      </bottom>
      <diagonal/>
    </border>
    <border>
      <left/>
      <right style="medium">
        <color rgb="FF1F497D"/>
      </right>
      <top style="thin">
        <color theme="0" tint="-0.249977111117893"/>
      </top>
      <bottom style="thin">
        <color theme="0" tint="-0.249977111117893"/>
      </bottom>
      <diagonal/>
    </border>
    <border>
      <left/>
      <right style="medium">
        <color rgb="FF1F497D"/>
      </right>
      <top/>
      <bottom style="thin">
        <color theme="0" tint="-0.249977111117893"/>
      </bottom>
      <diagonal/>
    </border>
    <border>
      <left style="medium">
        <color rgb="FF1F497D"/>
      </left>
      <right/>
      <top style="medium">
        <color rgb="FF1F497D"/>
      </top>
      <bottom style="thin">
        <color theme="0" tint="-0.499984740745262"/>
      </bottom>
      <diagonal/>
    </border>
    <border>
      <left/>
      <right/>
      <top style="medium">
        <color rgb="FF1F497D"/>
      </top>
      <bottom style="thin">
        <color theme="0" tint="-0.499984740745262"/>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thin">
        <color theme="0" tint="-0.249977111117893"/>
      </left>
      <right style="thin">
        <color theme="0" tint="-0.249977111117893"/>
      </right>
      <top/>
      <bottom/>
      <diagonal/>
    </border>
    <border>
      <left/>
      <right style="medium">
        <color rgb="FF1F497D"/>
      </right>
      <top style="medium">
        <color theme="3"/>
      </top>
      <bottom style="medium">
        <color theme="3"/>
      </bottom>
      <diagonal/>
    </border>
    <border>
      <left style="medium">
        <color theme="3"/>
      </left>
      <right/>
      <top style="medium">
        <color rgb="FF1F497D"/>
      </top>
      <bottom style="thin">
        <color theme="0" tint="-0.24994659260841701"/>
      </bottom>
      <diagonal/>
    </border>
  </borders>
  <cellStyleXfs count="35">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70"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65" fontId="22" fillId="0" borderId="0" applyFont="0" applyFill="0" applyBorder="0" applyAlignment="0" applyProtection="0"/>
    <xf numFmtId="165"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164" fontId="80" fillId="0" borderId="0" applyFont="0" applyFill="0" applyBorder="0" applyAlignment="0" applyProtection="0"/>
  </cellStyleXfs>
  <cellXfs count="1122">
    <xf numFmtId="0" fontId="0" fillId="0" borderId="0" xfId="0"/>
    <xf numFmtId="9" fontId="0" fillId="0" borderId="0" xfId="16" applyFont="1" applyAlignment="1">
      <alignment horizontal="center"/>
    </xf>
    <xf numFmtId="0" fontId="0" fillId="0" borderId="0" xfId="0" applyAlignment="1">
      <alignment horizontal="center"/>
    </xf>
    <xf numFmtId="167" fontId="0" fillId="0" borderId="0" xfId="0" applyNumberFormat="1"/>
    <xf numFmtId="10" fontId="0" fillId="0" borderId="0" xfId="0" applyNumberFormat="1" applyAlignment="1">
      <alignment horizontal="center"/>
    </xf>
    <xf numFmtId="168"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7" xfId="0" applyFont="1" applyBorder="1"/>
    <xf numFmtId="0" fontId="23" fillId="0" borderId="0" xfId="0" applyFont="1"/>
    <xf numFmtId="0" fontId="8" fillId="0" borderId="0" xfId="0" applyFont="1"/>
    <xf numFmtId="0" fontId="8" fillId="0" borderId="17" xfId="0" applyFont="1" applyBorder="1"/>
    <xf numFmtId="0" fontId="8" fillId="0" borderId="17" xfId="0" applyFont="1" applyBorder="1" applyAlignment="1">
      <alignment horizontal="left"/>
    </xf>
    <xf numFmtId="0" fontId="13" fillId="0" borderId="0" xfId="0" applyFont="1"/>
    <xf numFmtId="167" fontId="13" fillId="0" borderId="0" xfId="0" applyNumberFormat="1" applyFont="1" applyAlignment="1">
      <alignment horizontal="center"/>
    </xf>
    <xf numFmtId="9" fontId="13" fillId="0" borderId="0" xfId="16" applyFont="1"/>
    <xf numFmtId="9" fontId="8" fillId="8" borderId="17" xfId="16" applyFont="1" applyFill="1" applyBorder="1" applyAlignment="1">
      <alignment horizontal="center"/>
    </xf>
    <xf numFmtId="10" fontId="8" fillId="8" borderId="17" xfId="0" applyNumberFormat="1" applyFont="1" applyFill="1" applyBorder="1" applyAlignment="1">
      <alignment horizont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70" fontId="35" fillId="0" borderId="0" xfId="0" applyNumberFormat="1" applyFont="1" applyAlignment="1">
      <alignment horizontal="center"/>
    </xf>
    <xf numFmtId="9" fontId="0" fillId="8" borderId="17" xfId="16" applyFont="1" applyFill="1" applyBorder="1" applyAlignment="1">
      <alignment horizontal="center"/>
    </xf>
    <xf numFmtId="0" fontId="38" fillId="0" borderId="0" xfId="0" applyFont="1"/>
    <xf numFmtId="0" fontId="39" fillId="0" borderId="0" xfId="0" applyFont="1"/>
    <xf numFmtId="0" fontId="40" fillId="0" borderId="0" xfId="0" applyFont="1" applyAlignment="1">
      <alignment horizontal="center"/>
    </xf>
    <xf numFmtId="169"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167" fontId="8" fillId="24" borderId="17"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39" xfId="0" applyNumberFormat="1" applyFill="1" applyBorder="1" applyAlignment="1">
      <alignment horizontal="center"/>
    </xf>
    <xf numFmtId="168" fontId="13" fillId="26" borderId="1" xfId="16" applyNumberFormat="1" applyFont="1" applyFill="1" applyBorder="1" applyAlignment="1">
      <alignment horizontal="center"/>
    </xf>
    <xf numFmtId="168" fontId="13" fillId="26" borderId="39"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39"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69" fontId="0" fillId="0" borderId="0" xfId="0" applyNumberFormat="1" applyAlignment="1">
      <alignment horizontal="center"/>
    </xf>
    <xf numFmtId="170" fontId="35" fillId="19" borderId="0" xfId="0" applyNumberFormat="1" applyFont="1" applyFill="1" applyAlignment="1">
      <alignment horizontal="center"/>
    </xf>
    <xf numFmtId="0" fontId="35" fillId="19" borderId="0" xfId="0" applyFont="1" applyFill="1" applyAlignment="1">
      <alignment horizontal="center"/>
    </xf>
    <xf numFmtId="168" fontId="35" fillId="19" borderId="0" xfId="0" applyNumberFormat="1" applyFont="1" applyFill="1" applyAlignment="1">
      <alignment horizontal="center"/>
    </xf>
    <xf numFmtId="9" fontId="35" fillId="0" borderId="0" xfId="16" applyFont="1" applyFill="1" applyAlignment="1">
      <alignment horizontal="center"/>
    </xf>
    <xf numFmtId="168" fontId="35" fillId="0" borderId="0" xfId="16" applyNumberFormat="1" applyFont="1" applyFill="1" applyAlignment="1">
      <alignment horizontal="center"/>
    </xf>
    <xf numFmtId="9" fontId="35" fillId="0" borderId="0" xfId="22" applyFont="1" applyFill="1" applyAlignment="1">
      <alignment horizontal="center"/>
    </xf>
    <xf numFmtId="172" fontId="8" fillId="24" borderId="17" xfId="0" applyNumberFormat="1" applyFont="1" applyFill="1" applyBorder="1" applyAlignment="1">
      <alignment horizontal="center"/>
    </xf>
    <xf numFmtId="168" fontId="33" fillId="24" borderId="17" xfId="16" applyNumberFormat="1" applyFont="1" applyFill="1" applyBorder="1" applyAlignment="1">
      <alignment horizontal="center"/>
    </xf>
    <xf numFmtId="0" fontId="13" fillId="0" borderId="32"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27" xfId="0" applyFont="1" applyBorder="1"/>
    <xf numFmtId="0" fontId="13" fillId="0" borderId="33" xfId="0" applyFont="1" applyBorder="1"/>
    <xf numFmtId="0" fontId="0" fillId="0" borderId="4" xfId="0" applyBorder="1"/>
    <xf numFmtId="0" fontId="0" fillId="0" borderId="6" xfId="0" applyBorder="1"/>
    <xf numFmtId="0" fontId="0" fillId="0" borderId="31" xfId="0" applyBorder="1"/>
    <xf numFmtId="0" fontId="0" fillId="0" borderId="2" xfId="0" applyBorder="1"/>
    <xf numFmtId="0" fontId="0" fillId="0" borderId="32" xfId="0" applyBorder="1"/>
    <xf numFmtId="0" fontId="0" fillId="0" borderId="27" xfId="0" applyBorder="1"/>
    <xf numFmtId="0" fontId="0" fillId="0" borderId="33" xfId="0" applyBorder="1"/>
    <xf numFmtId="0" fontId="13" fillId="0" borderId="38" xfId="0" applyFont="1" applyBorder="1"/>
    <xf numFmtId="0" fontId="13" fillId="0" borderId="1" xfId="0" applyFont="1" applyBorder="1"/>
    <xf numFmtId="0" fontId="13" fillId="0" borderId="39" xfId="0" applyFont="1" applyBorder="1"/>
    <xf numFmtId="0" fontId="0" fillId="8" borderId="0" xfId="0" applyFill="1"/>
    <xf numFmtId="0" fontId="35" fillId="19" borderId="0" xfId="0" applyFont="1" applyFill="1" applyAlignment="1">
      <alignment horizontal="left" indent="1"/>
    </xf>
    <xf numFmtId="170"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3" xfId="0" applyFont="1" applyFill="1" applyBorder="1" applyAlignment="1">
      <alignment horizontal="center"/>
    </xf>
    <xf numFmtId="0" fontId="27" fillId="32" borderId="20" xfId="0" applyFont="1" applyFill="1" applyBorder="1" applyAlignment="1">
      <alignment horizontal="center"/>
    </xf>
    <xf numFmtId="9" fontId="33" fillId="8" borderId="46" xfId="16" applyFont="1" applyFill="1" applyBorder="1" applyAlignment="1">
      <alignment horizontal="center"/>
    </xf>
    <xf numFmtId="9" fontId="8" fillId="8" borderId="46" xfId="16" applyFont="1" applyFill="1" applyBorder="1" applyAlignment="1">
      <alignment horizontal="center"/>
    </xf>
    <xf numFmtId="0" fontId="13" fillId="0" borderId="46" xfId="0" applyFont="1" applyBorder="1" applyAlignment="1">
      <alignment horizontal="center"/>
    </xf>
    <xf numFmtId="168" fontId="33" fillId="24" borderId="46" xfId="16" applyNumberFormat="1" applyFont="1" applyFill="1" applyBorder="1" applyAlignment="1">
      <alignment horizontal="center"/>
    </xf>
    <xf numFmtId="0" fontId="27" fillId="32" borderId="17" xfId="0" applyFont="1" applyFill="1" applyBorder="1" applyAlignment="1">
      <alignment horizontal="center" vertical="center" wrapText="1"/>
    </xf>
    <xf numFmtId="0" fontId="27" fillId="32" borderId="46" xfId="0" applyFont="1" applyFill="1" applyBorder="1" applyAlignment="1">
      <alignment horizontal="center"/>
    </xf>
    <xf numFmtId="3" fontId="8" fillId="0" borderId="0" xfId="0" applyNumberFormat="1" applyFont="1"/>
    <xf numFmtId="0" fontId="8" fillId="17" borderId="38" xfId="0" applyFont="1" applyFill="1" applyBorder="1"/>
    <xf numFmtId="0" fontId="8" fillId="0" borderId="38" xfId="0" applyFont="1" applyBorder="1" applyAlignment="1">
      <alignment horizontal="left" indent="1"/>
    </xf>
    <xf numFmtId="0" fontId="8" fillId="0" borderId="38" xfId="0" applyFont="1" applyBorder="1" applyAlignment="1">
      <alignment horizontal="left"/>
    </xf>
    <xf numFmtId="0" fontId="8" fillId="17" borderId="38" xfId="0" applyFont="1" applyFill="1" applyBorder="1" applyAlignment="1">
      <alignment horizontal="left" indent="1"/>
    </xf>
    <xf numFmtId="0" fontId="13" fillId="0" borderId="38" xfId="0" applyFont="1" applyBorder="1" applyAlignment="1">
      <alignment horizontal="left"/>
    </xf>
    <xf numFmtId="0" fontId="13" fillId="17" borderId="38" xfId="0" applyFont="1" applyFill="1" applyBorder="1"/>
    <xf numFmtId="0" fontId="8" fillId="0" borderId="38" xfId="0" applyFont="1" applyBorder="1"/>
    <xf numFmtId="173" fontId="8" fillId="24" borderId="17" xfId="0" applyNumberFormat="1" applyFont="1" applyFill="1" applyBorder="1" applyAlignment="1">
      <alignment horizontal="center"/>
    </xf>
    <xf numFmtId="9" fontId="8" fillId="24" borderId="17" xfId="16" applyFont="1" applyFill="1" applyBorder="1" applyAlignment="1">
      <alignment horizontal="center"/>
    </xf>
    <xf numFmtId="167" fontId="8" fillId="7" borderId="17" xfId="0" applyNumberFormat="1" applyFont="1" applyFill="1" applyBorder="1" applyAlignment="1">
      <alignment horizontal="center"/>
    </xf>
    <xf numFmtId="4" fontId="8" fillId="7" borderId="17" xfId="0" applyNumberFormat="1" applyFont="1" applyFill="1" applyBorder="1" applyAlignment="1">
      <alignment horizontal="center"/>
    </xf>
    <xf numFmtId="9" fontId="33" fillId="7" borderId="46" xfId="16" applyFont="1" applyFill="1" applyBorder="1" applyAlignment="1">
      <alignment horizontal="center"/>
    </xf>
    <xf numFmtId="0" fontId="8" fillId="7" borderId="17" xfId="0" applyFont="1" applyFill="1" applyBorder="1"/>
    <xf numFmtId="9" fontId="8" fillId="7" borderId="17" xfId="16" applyFont="1" applyFill="1" applyBorder="1" applyAlignment="1">
      <alignment horizontal="center"/>
    </xf>
    <xf numFmtId="168" fontId="8" fillId="7" borderId="17" xfId="16" applyNumberFormat="1" applyFont="1" applyFill="1" applyBorder="1" applyAlignment="1">
      <alignment horizontal="center"/>
    </xf>
    <xf numFmtId="9" fontId="8" fillId="7" borderId="17" xfId="16" applyFont="1" applyFill="1" applyBorder="1"/>
    <xf numFmtId="173" fontId="33" fillId="8" borderId="46" xfId="16" applyNumberFormat="1" applyFont="1" applyFill="1" applyBorder="1" applyAlignment="1">
      <alignment horizontal="center"/>
    </xf>
    <xf numFmtId="173" fontId="8" fillId="8" borderId="46" xfId="0" applyNumberFormat="1" applyFont="1" applyFill="1" applyBorder="1" applyAlignment="1">
      <alignment horizontal="center"/>
    </xf>
    <xf numFmtId="0" fontId="48" fillId="32" borderId="46" xfId="0" applyFont="1" applyFill="1" applyBorder="1" applyAlignment="1">
      <alignment horizontal="center"/>
    </xf>
    <xf numFmtId="0" fontId="49" fillId="32" borderId="46" xfId="0" applyFont="1" applyFill="1" applyBorder="1" applyAlignment="1">
      <alignment horizontal="center"/>
    </xf>
    <xf numFmtId="167" fontId="13" fillId="24" borderId="17" xfId="0" applyNumberFormat="1" applyFont="1" applyFill="1" applyBorder="1" applyAlignment="1">
      <alignment horizontal="center"/>
    </xf>
    <xf numFmtId="0" fontId="13" fillId="14" borderId="12" xfId="0" applyFont="1" applyFill="1" applyBorder="1" applyAlignment="1">
      <alignment horizontal="center"/>
    </xf>
    <xf numFmtId="0" fontId="0" fillId="0" borderId="44" xfId="0" applyBorder="1"/>
    <xf numFmtId="0" fontId="0" fillId="0" borderId="59" xfId="0" applyBorder="1"/>
    <xf numFmtId="0" fontId="13" fillId="0" borderId="77" xfId="0" applyFont="1" applyBorder="1" applyAlignment="1">
      <alignment horizontal="left"/>
    </xf>
    <xf numFmtId="0" fontId="13" fillId="0" borderId="78" xfId="0" applyFont="1" applyBorder="1" applyAlignment="1">
      <alignment horizontal="left"/>
    </xf>
    <xf numFmtId="9" fontId="0" fillId="0" borderId="78" xfId="16" applyFont="1" applyBorder="1"/>
    <xf numFmtId="9" fontId="0" fillId="0" borderId="79" xfId="16" applyFont="1" applyBorder="1"/>
    <xf numFmtId="9" fontId="0" fillId="0" borderId="55" xfId="0" applyNumberFormat="1" applyBorder="1"/>
    <xf numFmtId="167" fontId="0" fillId="0" borderId="72" xfId="0" applyNumberFormat="1" applyBorder="1" applyAlignment="1">
      <alignment horizontal="center"/>
    </xf>
    <xf numFmtId="167" fontId="0" fillId="0" borderId="75" xfId="0" applyNumberFormat="1" applyBorder="1" applyAlignment="1">
      <alignment horizontal="center"/>
    </xf>
    <xf numFmtId="0" fontId="0" fillId="33" borderId="80" xfId="0" applyFill="1" applyBorder="1"/>
    <xf numFmtId="0" fontId="0" fillId="33" borderId="81" xfId="0" applyFill="1" applyBorder="1"/>
    <xf numFmtId="10" fontId="0" fillId="33" borderId="81" xfId="0" applyNumberFormat="1" applyFill="1" applyBorder="1"/>
    <xf numFmtId="0" fontId="13" fillId="8" borderId="34" xfId="0" applyFont="1" applyFill="1" applyBorder="1" applyAlignment="1">
      <alignment horizontal="center"/>
    </xf>
    <xf numFmtId="9" fontId="0" fillId="0" borderId="83" xfId="16" applyFont="1" applyBorder="1"/>
    <xf numFmtId="0" fontId="13" fillId="0" borderId="83" xfId="0" applyFont="1" applyBorder="1"/>
    <xf numFmtId="0" fontId="13" fillId="14" borderId="54" xfId="0" applyFont="1" applyFill="1" applyBorder="1" applyAlignment="1">
      <alignment horizontal="center"/>
    </xf>
    <xf numFmtId="9" fontId="13" fillId="14" borderId="54" xfId="16" applyFont="1" applyFill="1" applyBorder="1" applyAlignment="1">
      <alignment horizontal="center"/>
    </xf>
    <xf numFmtId="0" fontId="13" fillId="0" borderId="54" xfId="0" applyFont="1" applyBorder="1" applyAlignment="1">
      <alignment horizontal="center"/>
    </xf>
    <xf numFmtId="167" fontId="0" fillId="0" borderId="84" xfId="0" applyNumberFormat="1" applyBorder="1" applyAlignment="1">
      <alignment horizontal="center"/>
    </xf>
    <xf numFmtId="0" fontId="13" fillId="0" borderId="85" xfId="0" applyFont="1" applyBorder="1"/>
    <xf numFmtId="0" fontId="0" fillId="0" borderId="56" xfId="0" applyBorder="1"/>
    <xf numFmtId="0" fontId="0" fillId="0" borderId="57" xfId="0" applyBorder="1" applyAlignment="1">
      <alignment horizontal="center"/>
    </xf>
    <xf numFmtId="0" fontId="0" fillId="0" borderId="57" xfId="0" applyBorder="1"/>
    <xf numFmtId="0" fontId="0" fillId="0" borderId="58" xfId="0" applyBorder="1"/>
    <xf numFmtId="0" fontId="0" fillId="0" borderId="45" xfId="0" applyBorder="1"/>
    <xf numFmtId="0" fontId="0" fillId="0" borderId="64" xfId="0" applyBorder="1"/>
    <xf numFmtId="0" fontId="0" fillId="0" borderId="65" xfId="0" applyBorder="1"/>
    <xf numFmtId="9" fontId="0" fillId="0" borderId="0" xfId="0" applyNumberFormat="1"/>
    <xf numFmtId="0" fontId="13" fillId="14" borderId="82" xfId="0" applyFont="1" applyFill="1" applyBorder="1" applyAlignment="1">
      <alignment horizontal="center"/>
    </xf>
    <xf numFmtId="0" fontId="0" fillId="33" borderId="61" xfId="0" applyFill="1" applyBorder="1"/>
    <xf numFmtId="0" fontId="0" fillId="33" borderId="63" xfId="0" applyFill="1" applyBorder="1"/>
    <xf numFmtId="0" fontId="13" fillId="0" borderId="61" xfId="0" applyFont="1" applyBorder="1" applyAlignment="1">
      <alignment horizontal="center"/>
    </xf>
    <xf numFmtId="167" fontId="0" fillId="0" borderId="73" xfId="0" applyNumberFormat="1" applyBorder="1" applyAlignment="1">
      <alignment horizontal="center"/>
    </xf>
    <xf numFmtId="167" fontId="0" fillId="0" borderId="76" xfId="0" applyNumberFormat="1" applyBorder="1" applyAlignment="1">
      <alignment horizontal="center"/>
    </xf>
    <xf numFmtId="173" fontId="0" fillId="0" borderId="88" xfId="0" applyNumberFormat="1" applyBorder="1" applyAlignment="1">
      <alignment horizontal="center"/>
    </xf>
    <xf numFmtId="173" fontId="0" fillId="0" borderId="90" xfId="0" applyNumberFormat="1" applyBorder="1" applyAlignment="1">
      <alignment horizontal="center"/>
    </xf>
    <xf numFmtId="0" fontId="0" fillId="31" borderId="62" xfId="0" applyFill="1" applyBorder="1"/>
    <xf numFmtId="0" fontId="27" fillId="31" borderId="62" xfId="0" applyFont="1" applyFill="1" applyBorder="1" applyAlignment="1">
      <alignment horizontal="left"/>
    </xf>
    <xf numFmtId="9" fontId="0" fillId="31" borderId="62" xfId="16" applyFont="1" applyFill="1" applyBorder="1" applyAlignment="1">
      <alignment horizontal="center" vertical="center"/>
    </xf>
    <xf numFmtId="171" fontId="27" fillId="31" borderId="63" xfId="0" applyNumberFormat="1" applyFont="1" applyFill="1" applyBorder="1" applyAlignment="1">
      <alignment horizontal="center" vertical="center"/>
    </xf>
    <xf numFmtId="0" fontId="13" fillId="17" borderId="94" xfId="0" applyFont="1" applyFill="1" applyBorder="1"/>
    <xf numFmtId="0" fontId="13" fillId="17" borderId="96" xfId="0" applyFont="1" applyFill="1" applyBorder="1"/>
    <xf numFmtId="173" fontId="0" fillId="0" borderId="97" xfId="0" applyNumberFormat="1" applyBorder="1" applyAlignment="1">
      <alignment horizontal="center"/>
    </xf>
    <xf numFmtId="173" fontId="0" fillId="0" borderId="95" xfId="0" applyNumberFormat="1" applyBorder="1" applyAlignment="1">
      <alignment horizontal="center"/>
    </xf>
    <xf numFmtId="173" fontId="0" fillId="0" borderId="98" xfId="0" applyNumberFormat="1" applyBorder="1" applyAlignment="1">
      <alignment horizontal="center"/>
    </xf>
    <xf numFmtId="0" fontId="27" fillId="32" borderId="99" xfId="0" applyFont="1" applyFill="1" applyBorder="1" applyAlignment="1">
      <alignment horizontal="center"/>
    </xf>
    <xf numFmtId="0" fontId="0" fillId="32" borderId="100" xfId="0" applyFill="1" applyBorder="1"/>
    <xf numFmtId="0" fontId="0" fillId="32" borderId="101" xfId="0" applyFill="1" applyBorder="1"/>
    <xf numFmtId="0" fontId="27" fillId="32" borderId="94" xfId="0" applyFont="1" applyFill="1" applyBorder="1" applyAlignment="1">
      <alignment horizontal="center"/>
    </xf>
    <xf numFmtId="0" fontId="0" fillId="32" borderId="90" xfId="0" applyFill="1" applyBorder="1"/>
    <xf numFmtId="0" fontId="0" fillId="32" borderId="95" xfId="0" applyFill="1" applyBorder="1"/>
    <xf numFmtId="0" fontId="13" fillId="0" borderId="92" xfId="0" applyFont="1" applyBorder="1" applyAlignment="1">
      <alignment horizontal="left" vertical="center"/>
    </xf>
    <xf numFmtId="0" fontId="47" fillId="5" borderId="61" xfId="0" applyFont="1" applyFill="1" applyBorder="1" applyAlignment="1">
      <alignment horizontal="left" vertical="center"/>
    </xf>
    <xf numFmtId="0" fontId="47" fillId="31" borderId="61" xfId="0" applyFont="1" applyFill="1" applyBorder="1" applyAlignment="1">
      <alignment horizontal="left" vertical="center"/>
    </xf>
    <xf numFmtId="0" fontId="47" fillId="13" borderId="63" xfId="0" applyFont="1" applyFill="1" applyBorder="1" applyAlignment="1">
      <alignment horizontal="center"/>
    </xf>
    <xf numFmtId="0" fontId="13" fillId="8" borderId="92" xfId="0" applyFont="1" applyFill="1" applyBorder="1" applyAlignment="1">
      <alignment horizontal="left" vertical="center"/>
    </xf>
    <xf numFmtId="0" fontId="13" fillId="8" borderId="94" xfId="0" applyFont="1" applyFill="1" applyBorder="1" applyAlignment="1">
      <alignment horizontal="left" vertical="center"/>
    </xf>
    <xf numFmtId="0" fontId="0" fillId="31" borderId="62" xfId="0" applyFill="1" applyBorder="1" applyAlignment="1">
      <alignment horizontal="center"/>
    </xf>
    <xf numFmtId="0" fontId="8" fillId="0" borderId="56" xfId="0" applyFont="1" applyBorder="1"/>
    <xf numFmtId="0" fontId="50" fillId="5" borderId="53" xfId="0" applyFont="1" applyFill="1" applyBorder="1" applyAlignment="1">
      <alignment horizontal="center"/>
    </xf>
    <xf numFmtId="0" fontId="50" fillId="5" borderId="53" xfId="0" applyFont="1" applyFill="1" applyBorder="1"/>
    <xf numFmtId="0" fontId="0" fillId="0" borderId="53" xfId="0" applyBorder="1"/>
    <xf numFmtId="173" fontId="0" fillId="24" borderId="90" xfId="0" applyNumberFormat="1" applyFill="1" applyBorder="1" applyAlignment="1">
      <alignment horizontal="center"/>
    </xf>
    <xf numFmtId="173" fontId="0" fillId="24" borderId="97" xfId="0" applyNumberFormat="1" applyFill="1" applyBorder="1" applyAlignment="1">
      <alignment horizontal="center"/>
    </xf>
    <xf numFmtId="0" fontId="29" fillId="0" borderId="10" xfId="26" applyFont="1" applyBorder="1" applyAlignment="1">
      <alignment horizontal="center"/>
    </xf>
    <xf numFmtId="0" fontId="29" fillId="0" borderId="15" xfId="26" applyFont="1" applyBorder="1" applyAlignment="1">
      <alignment horizontal="center"/>
    </xf>
    <xf numFmtId="0" fontId="29" fillId="0" borderId="10" xfId="26" applyFont="1" applyBorder="1" applyAlignment="1">
      <alignment horizontal="center" vertical="center"/>
    </xf>
    <xf numFmtId="0" fontId="29" fillId="0" borderId="15" xfId="26" applyFont="1" applyBorder="1" applyAlignment="1">
      <alignment horizontal="center" vertical="center"/>
    </xf>
    <xf numFmtId="0" fontId="29" fillId="0" borderId="14" xfId="26" applyFont="1" applyBorder="1" applyAlignment="1">
      <alignment horizontal="center"/>
    </xf>
    <xf numFmtId="0" fontId="29" fillId="0" borderId="16" xfId="26" applyFont="1" applyBorder="1" applyAlignment="1">
      <alignment horizontal="center"/>
    </xf>
    <xf numFmtId="0" fontId="51" fillId="5" borderId="105" xfId="4" applyFont="1" applyFill="1" applyBorder="1" applyAlignment="1">
      <alignment horizontal="center" vertical="center"/>
    </xf>
    <xf numFmtId="0" fontId="51" fillId="5" borderId="105" xfId="3" applyFont="1" applyFill="1" applyBorder="1" applyAlignment="1">
      <alignment horizontal="center" vertical="center" wrapText="1"/>
    </xf>
    <xf numFmtId="0" fontId="51" fillId="5" borderId="105" xfId="3" applyFont="1" applyFill="1" applyBorder="1" applyAlignment="1">
      <alignment horizontal="center" vertical="center"/>
    </xf>
    <xf numFmtId="0" fontId="8" fillId="3" borderId="105" xfId="10" applyFont="1" applyBorder="1" applyAlignment="1">
      <alignment horizontal="center" vertical="center"/>
    </xf>
    <xf numFmtId="170" fontId="8" fillId="8" borderId="105" xfId="6" applyFont="1" applyFill="1" applyBorder="1" applyAlignment="1">
      <alignment horizontal="right" vertical="center" wrapText="1"/>
    </xf>
    <xf numFmtId="0" fontId="29" fillId="3" borderId="105" xfId="10" applyFont="1" applyBorder="1" applyAlignment="1">
      <alignment vertical="center"/>
    </xf>
    <xf numFmtId="170" fontId="8" fillId="3" borderId="105" xfId="6" applyFont="1" applyBorder="1" applyAlignment="1">
      <alignment horizontal="right" vertical="center" wrapText="1"/>
    </xf>
    <xf numFmtId="0" fontId="29" fillId="3" borderId="105" xfId="10" applyFont="1" applyBorder="1" applyAlignment="1">
      <alignment horizontal="center" vertical="center"/>
    </xf>
    <xf numFmtId="3" fontId="13" fillId="34" borderId="107"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05" xfId="9" applyFont="1" applyFill="1" applyBorder="1" applyAlignment="1">
      <alignment horizontal="center" vertical="center"/>
    </xf>
    <xf numFmtId="3" fontId="52" fillId="34" borderId="106" xfId="5" applyFont="1" applyFill="1" applyBorder="1" applyAlignment="1">
      <alignment horizontal="right" vertical="center"/>
    </xf>
    <xf numFmtId="3" fontId="52" fillId="34" borderId="107" xfId="5" applyFont="1" applyFill="1" applyBorder="1" applyAlignment="1">
      <alignment horizontal="right" vertical="center"/>
    </xf>
    <xf numFmtId="3" fontId="52" fillId="34" borderId="108" xfId="5" applyFont="1" applyFill="1" applyBorder="1" applyAlignment="1">
      <alignment horizontal="right" vertical="center"/>
    </xf>
    <xf numFmtId="170" fontId="8" fillId="3" borderId="105" xfId="6" applyFont="1" applyBorder="1" applyAlignment="1">
      <alignment horizontal="center" vertical="center"/>
    </xf>
    <xf numFmtId="4" fontId="32" fillId="0" borderId="105" xfId="7" applyFont="1" applyFill="1" applyBorder="1" applyAlignment="1">
      <alignment horizontal="right" vertical="center"/>
    </xf>
    <xf numFmtId="0" fontId="0" fillId="34" borderId="107" xfId="0" applyFill="1" applyBorder="1" applyAlignment="1">
      <alignment horizontal="center" vertical="center"/>
    </xf>
    <xf numFmtId="4" fontId="8" fillId="34" borderId="107" xfId="7" applyFont="1" applyFill="1" applyBorder="1" applyAlignment="1">
      <alignment horizontal="right" vertical="center"/>
    </xf>
    <xf numFmtId="3" fontId="13" fillId="34" borderId="108" xfId="5" applyFont="1" applyFill="1" applyBorder="1" applyAlignment="1">
      <alignment horizontal="right" vertical="center" wrapText="1"/>
    </xf>
    <xf numFmtId="4" fontId="8" fillId="8" borderId="105" xfId="7" applyFont="1" applyFill="1" applyBorder="1" applyAlignment="1">
      <alignment horizontal="right" vertical="center" wrapText="1"/>
    </xf>
    <xf numFmtId="4" fontId="8" fillId="3" borderId="105" xfId="7" applyFont="1" applyBorder="1" applyAlignment="1">
      <alignment horizontal="center" vertical="center"/>
    </xf>
    <xf numFmtId="4" fontId="8" fillId="3" borderId="105" xfId="7" applyFont="1" applyBorder="1" applyAlignment="1">
      <alignment horizontal="right" vertical="center" wrapText="1"/>
    </xf>
    <xf numFmtId="0" fontId="29" fillId="0" borderId="105" xfId="10" applyFont="1" applyFill="1" applyBorder="1" applyAlignment="1">
      <alignment vertical="center"/>
    </xf>
    <xf numFmtId="0" fontId="8" fillId="0" borderId="105" xfId="10" applyFont="1" applyFill="1" applyBorder="1" applyAlignment="1">
      <alignment horizontal="center" vertical="center"/>
    </xf>
    <xf numFmtId="0" fontId="8" fillId="0" borderId="105" xfId="27" applyFont="1" applyBorder="1" applyAlignment="1">
      <alignment horizontal="right" vertical="center" wrapText="1"/>
    </xf>
    <xf numFmtId="3" fontId="13" fillId="34" borderId="106" xfId="5" applyFont="1" applyFill="1" applyBorder="1" applyAlignment="1">
      <alignment horizontal="right" vertical="center"/>
    </xf>
    <xf numFmtId="4" fontId="8" fillId="6" borderId="105" xfId="7" applyFont="1" applyFill="1" applyBorder="1" applyAlignment="1">
      <alignment horizontal="right" vertical="center"/>
    </xf>
    <xf numFmtId="4" fontId="8" fillId="6" borderId="105" xfId="7" applyFont="1" applyFill="1" applyBorder="1" applyAlignment="1">
      <alignment horizontal="center" vertical="center"/>
    </xf>
    <xf numFmtId="4" fontId="8" fillId="0" borderId="105" xfId="7" applyFont="1" applyFill="1" applyBorder="1" applyAlignment="1">
      <alignment horizontal="right" vertical="center" wrapText="1"/>
    </xf>
    <xf numFmtId="0" fontId="29" fillId="3" borderId="105" xfId="10" applyFont="1" applyBorder="1" applyAlignment="1">
      <alignment vertical="center" wrapText="1"/>
    </xf>
    <xf numFmtId="4" fontId="8" fillId="0" borderId="105" xfId="7" applyFont="1" applyFill="1" applyBorder="1" applyAlignment="1">
      <alignment horizontal="center" vertical="center"/>
    </xf>
    <xf numFmtId="0" fontId="51" fillId="32" borderId="105" xfId="3" applyFont="1" applyFill="1" applyBorder="1" applyAlignment="1">
      <alignment horizontal="center" vertical="center" wrapText="1"/>
    </xf>
    <xf numFmtId="0" fontId="8" fillId="0" borderId="105" xfId="26" applyBorder="1"/>
    <xf numFmtId="0" fontId="8" fillId="0" borderId="105" xfId="26" applyBorder="1" applyAlignment="1">
      <alignment vertical="center"/>
    </xf>
    <xf numFmtId="0" fontId="35" fillId="12" borderId="105" xfId="26" applyFont="1" applyFill="1" applyBorder="1" applyAlignment="1">
      <alignment horizontal="center" vertical="center"/>
    </xf>
    <xf numFmtId="0" fontId="54" fillId="0" borderId="0" xfId="0" applyFont="1"/>
    <xf numFmtId="0" fontId="56" fillId="0" borderId="0" xfId="0" applyFont="1"/>
    <xf numFmtId="0" fontId="13" fillId="0" borderId="33" xfId="0" applyFont="1" applyBorder="1" applyAlignment="1">
      <alignment horizontal="center"/>
    </xf>
    <xf numFmtId="0" fontId="13" fillId="0" borderId="31" xfId="0" applyFont="1" applyBorder="1" applyAlignment="1">
      <alignment horizontal="center"/>
    </xf>
    <xf numFmtId="0" fontId="56" fillId="0" borderId="33" xfId="0" applyFont="1" applyBorder="1" applyAlignment="1">
      <alignment horizontal="center"/>
    </xf>
    <xf numFmtId="0" fontId="56" fillId="0" borderId="31" xfId="0" applyFont="1" applyBorder="1" applyAlignment="1">
      <alignment horizontal="center"/>
    </xf>
    <xf numFmtId="0" fontId="56" fillId="0" borderId="27" xfId="0" applyFont="1" applyBorder="1"/>
    <xf numFmtId="0" fontId="56" fillId="0" borderId="109" xfId="0" applyFont="1" applyBorder="1" applyAlignment="1">
      <alignment horizontal="center" vertical="center"/>
    </xf>
    <xf numFmtId="0" fontId="56" fillId="0" borderId="113" xfId="0" applyFont="1" applyBorder="1" applyAlignment="1">
      <alignment horizontal="center" vertical="center"/>
    </xf>
    <xf numFmtId="0" fontId="13" fillId="12" borderId="116" xfId="0" applyFont="1" applyFill="1" applyBorder="1" applyAlignment="1">
      <alignment horizontal="center"/>
    </xf>
    <xf numFmtId="0" fontId="56" fillId="12" borderId="116" xfId="0" applyFont="1" applyFill="1" applyBorder="1"/>
    <xf numFmtId="0" fontId="56" fillId="12" borderId="122" xfId="0" applyFont="1" applyFill="1" applyBorder="1"/>
    <xf numFmtId="0" fontId="54" fillId="12" borderId="122" xfId="0" applyFont="1" applyFill="1" applyBorder="1"/>
    <xf numFmtId="10" fontId="0" fillId="0" borderId="119" xfId="0" applyNumberFormat="1" applyBorder="1" applyAlignment="1">
      <alignment horizontal="center" vertical="center"/>
    </xf>
    <xf numFmtId="10" fontId="0" fillId="0" borderId="123" xfId="0" applyNumberFormat="1" applyBorder="1" applyAlignment="1">
      <alignment horizontal="center" vertical="center"/>
    </xf>
    <xf numFmtId="10" fontId="0" fillId="0" borderId="124" xfId="0" applyNumberFormat="1" applyBorder="1" applyAlignment="1">
      <alignment horizontal="center" vertical="center"/>
    </xf>
    <xf numFmtId="10" fontId="0" fillId="0" borderId="125" xfId="0" applyNumberFormat="1" applyBorder="1" applyAlignment="1">
      <alignment horizontal="center" vertical="center"/>
    </xf>
    <xf numFmtId="0" fontId="56" fillId="0" borderId="126" xfId="0" applyFont="1" applyBorder="1" applyAlignment="1">
      <alignment horizontal="center" vertical="center"/>
    </xf>
    <xf numFmtId="0" fontId="56" fillId="0" borderId="127" xfId="0" applyFont="1" applyBorder="1" applyAlignment="1">
      <alignment horizontal="center" vertical="center"/>
    </xf>
    <xf numFmtId="0" fontId="27" fillId="5" borderId="8" xfId="26" applyFont="1" applyFill="1" applyBorder="1" applyAlignment="1">
      <alignment horizontal="center"/>
    </xf>
    <xf numFmtId="0" fontId="54" fillId="8" borderId="0" xfId="0" applyFont="1" applyFill="1"/>
    <xf numFmtId="0" fontId="58" fillId="42" borderId="0" xfId="0" applyFont="1" applyFill="1"/>
    <xf numFmtId="0" fontId="8" fillId="37" borderId="27" xfId="0" applyFont="1" applyFill="1" applyBorder="1"/>
    <xf numFmtId="0" fontId="56" fillId="0" borderId="132" xfId="0" applyFont="1" applyBorder="1" applyAlignment="1">
      <alignment horizontal="center"/>
    </xf>
    <xf numFmtId="0" fontId="54" fillId="12" borderId="133" xfId="0" applyFont="1" applyFill="1" applyBorder="1" applyAlignment="1">
      <alignment horizontal="center"/>
    </xf>
    <xf numFmtId="0" fontId="8" fillId="39" borderId="133" xfId="0" applyFont="1" applyFill="1" applyBorder="1"/>
    <xf numFmtId="0" fontId="8" fillId="39" borderId="0" xfId="0" applyFont="1" applyFill="1"/>
    <xf numFmtId="0" fontId="13" fillId="41" borderId="27" xfId="0" quotePrefix="1" applyFont="1" applyFill="1" applyBorder="1"/>
    <xf numFmtId="0" fontId="13" fillId="41" borderId="0" xfId="0" quotePrefix="1" applyFont="1" applyFill="1"/>
    <xf numFmtId="0" fontId="54" fillId="39" borderId="0" xfId="0" applyFont="1" applyFill="1"/>
    <xf numFmtId="0" fontId="13" fillId="0" borderId="148" xfId="0" applyFont="1" applyBorder="1" applyAlignment="1">
      <alignment horizontal="center"/>
    </xf>
    <xf numFmtId="0" fontId="13" fillId="0" borderId="36" xfId="0" applyFont="1" applyBorder="1" applyAlignment="1">
      <alignment horizontal="center"/>
    </xf>
    <xf numFmtId="0" fontId="13" fillId="0" borderId="149" xfId="0" applyFont="1" applyBorder="1" applyAlignment="1">
      <alignment horizontal="center"/>
    </xf>
    <xf numFmtId="0" fontId="13" fillId="0" borderId="140" xfId="0" applyFont="1" applyBorder="1" applyAlignment="1">
      <alignment horizontal="center"/>
    </xf>
    <xf numFmtId="0" fontId="8" fillId="39" borderId="117" xfId="0" applyFont="1" applyFill="1" applyBorder="1"/>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68" fontId="33" fillId="43" borderId="143" xfId="30" applyNumberFormat="1" applyFont="1" applyFill="1" applyBorder="1" applyAlignment="1">
      <alignment horizontal="center" vertical="center"/>
    </xf>
    <xf numFmtId="0" fontId="59" fillId="0" borderId="143" xfId="0" applyFont="1" applyBorder="1" applyAlignment="1">
      <alignment horizontal="center" vertical="center"/>
    </xf>
    <xf numFmtId="0" fontId="59" fillId="0" borderId="145" xfId="0" applyFont="1" applyBorder="1" applyAlignment="1">
      <alignment horizontal="center" vertical="center"/>
    </xf>
    <xf numFmtId="0" fontId="59" fillId="0" borderId="40" xfId="0" applyFont="1" applyBorder="1" applyAlignment="1">
      <alignment horizontal="center" vertical="center"/>
    </xf>
    <xf numFmtId="0" fontId="59" fillId="41" borderId="145" xfId="0" applyFont="1" applyFill="1" applyBorder="1" applyAlignment="1">
      <alignment horizontal="center" vertical="center"/>
    </xf>
    <xf numFmtId="0" fontId="59" fillId="41" borderId="40" xfId="0" applyFont="1" applyFill="1" applyBorder="1" applyAlignment="1">
      <alignment horizontal="center" vertical="center"/>
    </xf>
    <xf numFmtId="3" fontId="59" fillId="40" borderId="40" xfId="0" applyNumberFormat="1" applyFont="1" applyFill="1" applyBorder="1" applyAlignment="1">
      <alignment horizontal="center" vertical="center"/>
    </xf>
    <xf numFmtId="3" fontId="59" fillId="40" borderId="145" xfId="0" applyNumberFormat="1" applyFont="1" applyFill="1" applyBorder="1" applyAlignment="1">
      <alignment horizontal="center" vertical="center"/>
    </xf>
    <xf numFmtId="0" fontId="62" fillId="0" borderId="40" xfId="0" applyFont="1" applyBorder="1" applyAlignment="1">
      <alignment horizontal="center" vertical="center"/>
    </xf>
    <xf numFmtId="0" fontId="8" fillId="0" borderId="40" xfId="0" quotePrefix="1" applyFont="1" applyBorder="1" applyAlignment="1">
      <alignment horizontal="center" vertical="center"/>
    </xf>
    <xf numFmtId="9" fontId="38" fillId="0" borderId="0" xfId="16" applyFont="1"/>
    <xf numFmtId="9" fontId="0" fillId="0" borderId="84" xfId="0" applyNumberFormat="1" applyBorder="1" applyAlignment="1">
      <alignment horizontal="center"/>
    </xf>
    <xf numFmtId="9" fontId="13" fillId="0" borderId="61" xfId="0" applyNumberFormat="1" applyFont="1" applyBorder="1" applyAlignment="1">
      <alignment horizontal="center"/>
    </xf>
    <xf numFmtId="9" fontId="13" fillId="0" borderId="62" xfId="0" applyNumberFormat="1" applyFont="1" applyBorder="1" applyAlignment="1">
      <alignment horizontal="center"/>
    </xf>
    <xf numFmtId="9" fontId="8" fillId="0" borderId="66" xfId="0" applyNumberFormat="1" applyFont="1" applyBorder="1" applyAlignment="1">
      <alignment horizontal="center"/>
    </xf>
    <xf numFmtId="9" fontId="8" fillId="0" borderId="71" xfId="0" applyNumberFormat="1" applyFont="1" applyBorder="1" applyAlignment="1">
      <alignment horizontal="center"/>
    </xf>
    <xf numFmtId="9" fontId="8" fillId="0" borderId="74" xfId="0" applyNumberFormat="1" applyFont="1" applyBorder="1" applyAlignment="1">
      <alignment horizontal="center"/>
    </xf>
    <xf numFmtId="3" fontId="0" fillId="0" borderId="0" xfId="0" applyNumberFormat="1"/>
    <xf numFmtId="10" fontId="0" fillId="0" borderId="0" xfId="0" applyNumberFormat="1"/>
    <xf numFmtId="4" fontId="32" fillId="12" borderId="105"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9" borderId="105" xfId="7" applyFont="1" applyFill="1" applyBorder="1" applyAlignment="1">
      <alignment horizontal="right" vertical="center"/>
    </xf>
    <xf numFmtId="4" fontId="32" fillId="28" borderId="105" xfId="7" applyFont="1" applyFill="1" applyBorder="1" applyAlignment="1">
      <alignment horizontal="right" vertical="center"/>
    </xf>
    <xf numFmtId="4" fontId="25" fillId="12" borderId="105" xfId="7" applyFont="1" applyFill="1" applyBorder="1" applyAlignment="1">
      <alignment horizontal="right" vertical="center"/>
    </xf>
    <xf numFmtId="4" fontId="25" fillId="28" borderId="105" xfId="7" applyFont="1" applyFill="1" applyBorder="1" applyAlignment="1">
      <alignment horizontal="right" vertical="center"/>
    </xf>
    <xf numFmtId="3" fontId="59" fillId="40" borderId="40" xfId="0" quotePrefix="1" applyNumberFormat="1" applyFont="1" applyFill="1" applyBorder="1" applyAlignment="1">
      <alignment horizontal="center" vertical="center"/>
    </xf>
    <xf numFmtId="3" fontId="59" fillId="40" borderId="145" xfId="0" quotePrefix="1" applyNumberFormat="1" applyFont="1" applyFill="1" applyBorder="1" applyAlignment="1">
      <alignment horizontal="center" vertical="center"/>
    </xf>
    <xf numFmtId="1" fontId="54" fillId="40" borderId="33" xfId="0" applyNumberFormat="1" applyFont="1" applyFill="1" applyBorder="1" applyAlignment="1">
      <alignment horizontal="center" vertical="center"/>
    </xf>
    <xf numFmtId="4" fontId="5" fillId="0" borderId="40" xfId="29" applyNumberFormat="1" applyBorder="1" applyAlignment="1">
      <alignment horizontal="center"/>
    </xf>
    <xf numFmtId="0" fontId="26" fillId="0" borderId="0" xfId="0" applyFont="1" applyAlignment="1">
      <alignment horizontal="center"/>
    </xf>
    <xf numFmtId="0" fontId="66" fillId="0" borderId="0" xfId="0" applyFont="1"/>
    <xf numFmtId="0" fontId="0" fillId="0" borderId="40" xfId="0" applyBorder="1"/>
    <xf numFmtId="0" fontId="65" fillId="0" borderId="0" xfId="0" applyFont="1"/>
    <xf numFmtId="3" fontId="54" fillId="0" borderId="33" xfId="0" applyNumberFormat="1" applyFont="1" applyBorder="1" applyAlignment="1">
      <alignment horizontal="center" vertical="center"/>
    </xf>
    <xf numFmtId="0" fontId="54" fillId="0" borderId="33" xfId="0" applyFont="1" applyBorder="1" applyAlignment="1">
      <alignment horizontal="center" vertical="center"/>
    </xf>
    <xf numFmtId="168" fontId="33" fillId="38" borderId="40" xfId="16" applyNumberFormat="1" applyFont="1" applyFill="1" applyBorder="1" applyAlignment="1">
      <alignment horizontal="center" vertical="center"/>
    </xf>
    <xf numFmtId="3" fontId="62" fillId="0" borderId="40" xfId="0" applyNumberFormat="1" applyFont="1" applyBorder="1" applyAlignment="1">
      <alignment horizontal="center" vertical="center"/>
    </xf>
    <xf numFmtId="3" fontId="62" fillId="38" borderId="40" xfId="0" applyNumberFormat="1" applyFont="1" applyFill="1" applyBorder="1" applyAlignment="1">
      <alignment horizontal="center" vertical="center"/>
    </xf>
    <xf numFmtId="168" fontId="33" fillId="43" borderId="161" xfId="30" applyNumberFormat="1" applyFont="1" applyFill="1" applyBorder="1" applyAlignment="1">
      <alignment horizontal="center" vertical="center"/>
    </xf>
    <xf numFmtId="3" fontId="4" fillId="43" borderId="38" xfId="30" applyNumberFormat="1" applyFill="1" applyBorder="1" applyAlignment="1">
      <alignment horizontal="center" vertical="center"/>
    </xf>
    <xf numFmtId="168" fontId="33" fillId="38" borderId="38" xfId="16" applyNumberFormat="1" applyFont="1" applyFill="1" applyBorder="1" applyAlignment="1">
      <alignment horizontal="center" vertical="center"/>
    </xf>
    <xf numFmtId="3" fontId="62" fillId="0" borderId="38" xfId="0" applyNumberFormat="1" applyFont="1" applyBorder="1" applyAlignment="1">
      <alignment horizontal="center" vertical="center"/>
    </xf>
    <xf numFmtId="0" fontId="62" fillId="0" borderId="38" xfId="0" applyFont="1" applyBorder="1" applyAlignment="1">
      <alignment horizontal="center" vertical="center"/>
    </xf>
    <xf numFmtId="3" fontId="62" fillId="38" borderId="38" xfId="0" applyNumberFormat="1" applyFont="1" applyFill="1" applyBorder="1" applyAlignment="1">
      <alignment horizontal="center" vertical="center"/>
    </xf>
    <xf numFmtId="0" fontId="62" fillId="38" borderId="162" xfId="0" applyFont="1" applyFill="1" applyBorder="1" applyAlignment="1">
      <alignment horizontal="center" vertical="center"/>
    </xf>
    <xf numFmtId="1" fontId="54" fillId="0" borderId="40" xfId="0" applyNumberFormat="1" applyFont="1" applyBorder="1" applyAlignment="1">
      <alignment horizontal="center" vertical="center"/>
    </xf>
    <xf numFmtId="1" fontId="59" fillId="0" borderId="40" xfId="0" applyNumberFormat="1" applyFont="1" applyBorder="1" applyAlignment="1">
      <alignment horizontal="center" vertical="center"/>
    </xf>
    <xf numFmtId="1" fontId="54" fillId="0" borderId="145" xfId="0" applyNumberFormat="1" applyFont="1" applyBorder="1" applyAlignment="1">
      <alignment horizontal="center" vertical="center"/>
    </xf>
    <xf numFmtId="1" fontId="54" fillId="0" borderId="136" xfId="0" applyNumberFormat="1" applyFont="1" applyBorder="1" applyAlignment="1">
      <alignment horizontal="center" vertical="center"/>
    </xf>
    <xf numFmtId="1" fontId="59" fillId="0" borderId="145" xfId="0" applyNumberFormat="1" applyFont="1" applyBorder="1" applyAlignment="1">
      <alignment horizontal="center" vertical="center"/>
    </xf>
    <xf numFmtId="1" fontId="62" fillId="38" borderId="146" xfId="0" applyNumberFormat="1" applyFont="1" applyFill="1" applyBorder="1" applyAlignment="1">
      <alignment horizontal="center" vertical="center"/>
    </xf>
    <xf numFmtId="1" fontId="62" fillId="38" borderId="159" xfId="0" applyNumberFormat="1" applyFont="1" applyFill="1" applyBorder="1" applyAlignment="1">
      <alignment horizontal="center" vertical="center"/>
    </xf>
    <xf numFmtId="1" fontId="62" fillId="38" borderId="160" xfId="0" applyNumberFormat="1" applyFont="1" applyFill="1" applyBorder="1" applyAlignment="1">
      <alignment horizontal="center" vertical="center"/>
    </xf>
    <xf numFmtId="168" fontId="8" fillId="0" borderId="142" xfId="16" applyNumberFormat="1" applyFont="1" applyFill="1" applyBorder="1" applyAlignment="1">
      <alignment horizontal="center" vertical="center"/>
    </xf>
    <xf numFmtId="168" fontId="8" fillId="0" borderId="143" xfId="16" applyNumberFormat="1" applyFont="1" applyFill="1" applyBorder="1" applyAlignment="1">
      <alignment horizontal="center" vertical="center"/>
    </xf>
    <xf numFmtId="168" fontId="0" fillId="0" borderId="144" xfId="16" applyNumberFormat="1" applyFont="1" applyFill="1" applyBorder="1" applyAlignment="1">
      <alignment horizontal="center" vertical="center"/>
    </xf>
    <xf numFmtId="1" fontId="62" fillId="0" borderId="145" xfId="0" applyNumberFormat="1" applyFont="1" applyBorder="1" applyAlignment="1">
      <alignment horizontal="center" vertical="center"/>
    </xf>
    <xf numFmtId="1" fontId="62" fillId="0" borderId="40" xfId="0" applyNumberFormat="1" applyFont="1" applyBorder="1" applyAlignment="1">
      <alignment horizontal="center" vertical="center"/>
    </xf>
    <xf numFmtId="1" fontId="62" fillId="0" borderId="136" xfId="0" applyNumberFormat="1" applyFont="1" applyBorder="1" applyAlignment="1">
      <alignment horizontal="center" vertical="center"/>
    </xf>
    <xf numFmtId="1" fontId="59" fillId="41" borderId="40" xfId="0" applyNumberFormat="1" applyFont="1" applyFill="1" applyBorder="1" applyAlignment="1">
      <alignment horizontal="center" vertical="center"/>
    </xf>
    <xf numFmtId="1" fontId="59" fillId="41" borderId="145" xfId="0" applyNumberFormat="1" applyFont="1" applyFill="1" applyBorder="1" applyAlignment="1">
      <alignment horizontal="center" vertical="center"/>
    </xf>
    <xf numFmtId="1" fontId="54" fillId="40" borderId="40" xfId="0" applyNumberFormat="1" applyFont="1" applyFill="1" applyBorder="1" applyAlignment="1">
      <alignment horizontal="center" vertical="center"/>
    </xf>
    <xf numFmtId="1" fontId="54" fillId="40" borderId="142" xfId="0" applyNumberFormat="1" applyFont="1" applyFill="1" applyBorder="1" applyAlignment="1">
      <alignment horizontal="center" vertical="center"/>
    </xf>
    <xf numFmtId="1" fontId="54" fillId="40" borderId="143" xfId="0" applyNumberFormat="1" applyFont="1" applyFill="1" applyBorder="1" applyAlignment="1">
      <alignment horizontal="center" vertical="center"/>
    </xf>
    <xf numFmtId="1" fontId="54" fillId="40" borderId="145" xfId="0" applyNumberFormat="1" applyFont="1" applyFill="1" applyBorder="1" applyAlignment="1">
      <alignment horizontal="center" vertical="center"/>
    </xf>
    <xf numFmtId="1" fontId="54" fillId="40" borderId="38" xfId="0" applyNumberFormat="1" applyFont="1" applyFill="1" applyBorder="1" applyAlignment="1">
      <alignment horizontal="center" vertical="center"/>
    </xf>
    <xf numFmtId="1" fontId="54" fillId="40" borderId="162" xfId="0" applyNumberFormat="1" applyFont="1" applyFill="1" applyBorder="1" applyAlignment="1">
      <alignment horizontal="center" vertical="center"/>
    </xf>
    <xf numFmtId="1" fontId="0" fillId="0" borderId="40" xfId="0" applyNumberFormat="1" applyBorder="1" applyAlignment="1">
      <alignment horizontal="center" vertical="center"/>
    </xf>
    <xf numFmtId="1" fontId="0" fillId="0" borderId="142" xfId="0" applyNumberFormat="1" applyBorder="1" applyAlignment="1">
      <alignment horizontal="center" vertical="center"/>
    </xf>
    <xf numFmtId="1" fontId="0" fillId="0" borderId="143" xfId="0" applyNumberFormat="1" applyBorder="1" applyAlignment="1">
      <alignment horizontal="center" vertical="center"/>
    </xf>
    <xf numFmtId="1" fontId="0" fillId="0" borderId="144" xfId="0" applyNumberFormat="1" applyBorder="1" applyAlignment="1">
      <alignment horizontal="center" vertical="center"/>
    </xf>
    <xf numFmtId="1" fontId="0" fillId="0" borderId="145" xfId="0" applyNumberFormat="1" applyBorder="1" applyAlignment="1">
      <alignment horizontal="center" vertical="center"/>
    </xf>
    <xf numFmtId="1" fontId="0" fillId="0" borderId="136" xfId="0" applyNumberFormat="1" applyBorder="1" applyAlignment="1">
      <alignment horizontal="center" vertical="center"/>
    </xf>
    <xf numFmtId="1" fontId="54" fillId="40" borderId="134" xfId="0" applyNumberFormat="1" applyFont="1" applyFill="1" applyBorder="1" applyAlignment="1">
      <alignment horizontal="center" vertical="center"/>
    </xf>
    <xf numFmtId="1" fontId="54" fillId="40" borderId="135" xfId="0" applyNumberFormat="1" applyFont="1" applyFill="1" applyBorder="1" applyAlignment="1">
      <alignment horizontal="center" vertical="center"/>
    </xf>
    <xf numFmtId="1" fontId="54" fillId="40" borderId="137" xfId="0" applyNumberFormat="1" applyFont="1" applyFill="1" applyBorder="1" applyAlignment="1">
      <alignment horizontal="center" vertical="center"/>
    </xf>
    <xf numFmtId="1" fontId="54" fillId="40" borderId="138" xfId="0" applyNumberFormat="1" applyFont="1" applyFill="1" applyBorder="1" applyAlignment="1">
      <alignment horizontal="center" vertical="center"/>
    </xf>
    <xf numFmtId="1" fontId="54" fillId="40" borderId="139" xfId="0" applyNumberFormat="1" applyFont="1" applyFill="1" applyBorder="1" applyAlignment="1">
      <alignment horizontal="center" vertical="center"/>
    </xf>
    <xf numFmtId="4" fontId="5" fillId="0" borderId="145" xfId="29" applyNumberFormat="1" applyBorder="1" applyAlignment="1">
      <alignment horizontal="center"/>
    </xf>
    <xf numFmtId="4" fontId="5" fillId="0" borderId="136" xfId="29" applyNumberFormat="1" applyBorder="1" applyAlignment="1">
      <alignment horizontal="center"/>
    </xf>
    <xf numFmtId="9" fontId="0" fillId="0" borderId="0" xfId="16" applyFont="1" applyBorder="1" applyAlignment="1">
      <alignment horizontal="left"/>
    </xf>
    <xf numFmtId="3" fontId="59" fillId="0" borderId="40" xfId="0" applyNumberFormat="1" applyFont="1" applyBorder="1" applyAlignment="1">
      <alignment horizontal="center" vertical="center"/>
    </xf>
    <xf numFmtId="3" fontId="59" fillId="0" borderId="145" xfId="0" applyNumberFormat="1" applyFont="1" applyBorder="1" applyAlignment="1">
      <alignment horizontal="center" vertical="center"/>
    </xf>
    <xf numFmtId="2" fontId="8" fillId="24" borderId="17"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6" fillId="19" borderId="0" xfId="21"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70"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4" fontId="35" fillId="19" borderId="0" xfId="21"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7" xfId="0" applyFont="1" applyFill="1" applyBorder="1" applyAlignment="1">
      <alignment horizontal="center" vertical="center" wrapText="1"/>
    </xf>
    <xf numFmtId="0" fontId="34" fillId="8" borderId="17" xfId="0" applyFont="1" applyFill="1" applyBorder="1" applyAlignment="1">
      <alignment horizontal="center" vertical="center" wrapText="1"/>
    </xf>
    <xf numFmtId="173" fontId="0" fillId="0" borderId="90" xfId="0" applyNumberFormat="1" applyBorder="1" applyAlignment="1">
      <alignment horizontal="center" wrapText="1"/>
    </xf>
    <xf numFmtId="0" fontId="47" fillId="9" borderId="61" xfId="0" applyFont="1" applyFill="1" applyBorder="1" applyAlignment="1">
      <alignment horizontal="center" vertical="center" wrapText="1"/>
    </xf>
    <xf numFmtId="0" fontId="47" fillId="10" borderId="62" xfId="0" applyFont="1" applyFill="1" applyBorder="1" applyAlignment="1">
      <alignment horizontal="center" vertical="center" wrapText="1"/>
    </xf>
    <xf numFmtId="0" fontId="47" fillId="11" borderId="62" xfId="0" applyFont="1" applyFill="1" applyBorder="1" applyAlignment="1">
      <alignment horizontal="center" vertical="center" wrapText="1"/>
    </xf>
    <xf numFmtId="0" fontId="47" fillId="15" borderId="62" xfId="0" applyFont="1" applyFill="1" applyBorder="1" applyAlignment="1">
      <alignment horizontal="center" vertical="center" wrapText="1"/>
    </xf>
    <xf numFmtId="0" fontId="47" fillId="23" borderId="91" xfId="0" applyFont="1" applyFill="1" applyBorder="1" applyAlignment="1">
      <alignment horizontal="center" vertical="center" wrapText="1"/>
    </xf>
    <xf numFmtId="0" fontId="47" fillId="16" borderId="62" xfId="0" applyFont="1" applyFill="1" applyBorder="1" applyAlignment="1">
      <alignment horizontal="center" vertical="center" wrapText="1"/>
    </xf>
    <xf numFmtId="0" fontId="47" fillId="10" borderId="53" xfId="0" applyFont="1" applyFill="1" applyBorder="1" applyAlignment="1">
      <alignment horizontal="center" vertical="center" wrapText="1"/>
    </xf>
    <xf numFmtId="0" fontId="47" fillId="11" borderId="53" xfId="0" applyFont="1" applyFill="1" applyBorder="1" applyAlignment="1">
      <alignment horizontal="center" vertical="center" wrapText="1"/>
    </xf>
    <xf numFmtId="0" fontId="47" fillId="15" borderId="53" xfId="0" applyFont="1" applyFill="1" applyBorder="1" applyAlignment="1">
      <alignment horizontal="center" vertical="center" wrapText="1"/>
    </xf>
    <xf numFmtId="0" fontId="47" fillId="23" borderId="53" xfId="0" applyFont="1" applyFill="1" applyBorder="1" applyAlignment="1">
      <alignment horizontal="center" vertical="center" wrapText="1"/>
    </xf>
    <xf numFmtId="0" fontId="47" fillId="16" borderId="53" xfId="0" applyFont="1" applyFill="1" applyBorder="1" applyAlignment="1">
      <alignment horizontal="center" vertical="center" wrapText="1"/>
    </xf>
    <xf numFmtId="0" fontId="56" fillId="0" borderId="0" xfId="0" applyFont="1" applyAlignment="1">
      <alignment horizontal="center" vertical="center"/>
    </xf>
    <xf numFmtId="2" fontId="8" fillId="24" borderId="46" xfId="0" applyNumberFormat="1" applyFont="1" applyFill="1" applyBorder="1" applyAlignment="1">
      <alignment horizontal="center"/>
    </xf>
    <xf numFmtId="2" fontId="33" fillId="24" borderId="46" xfId="16" applyNumberFormat="1" applyFont="1" applyFill="1" applyBorder="1" applyAlignment="1">
      <alignment horizontal="center"/>
    </xf>
    <xf numFmtId="0" fontId="8" fillId="7" borderId="163" xfId="0" applyFont="1" applyFill="1" applyBorder="1"/>
    <xf numFmtId="0" fontId="27" fillId="32" borderId="50" xfId="0" applyFont="1" applyFill="1" applyBorder="1" applyAlignment="1">
      <alignment horizontal="center"/>
    </xf>
    <xf numFmtId="0" fontId="13" fillId="0" borderId="50" xfId="0" applyFont="1" applyBorder="1" applyAlignment="1">
      <alignment horizontal="center"/>
    </xf>
    <xf numFmtId="167" fontId="13" fillId="24" borderId="18" xfId="0" applyNumberFormat="1" applyFont="1" applyFill="1" applyBorder="1" applyAlignment="1">
      <alignment horizontal="center"/>
    </xf>
    <xf numFmtId="2" fontId="33" fillId="24" borderId="50" xfId="16" applyNumberFormat="1" applyFont="1" applyFill="1" applyBorder="1" applyAlignment="1">
      <alignment horizontal="center"/>
    </xf>
    <xf numFmtId="10" fontId="64" fillId="8" borderId="50" xfId="0" applyNumberFormat="1" applyFont="1" applyFill="1" applyBorder="1" applyAlignment="1">
      <alignment horizontal="center"/>
    </xf>
    <xf numFmtId="0" fontId="8" fillId="0" borderId="0" xfId="0" applyFont="1" applyAlignment="1">
      <alignment horizontal="center"/>
    </xf>
    <xf numFmtId="10" fontId="8" fillId="0" borderId="115"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9" fillId="40" borderId="146" xfId="0" applyNumberFormat="1" applyFont="1" applyFill="1" applyBorder="1" applyAlignment="1">
      <alignment horizontal="center" vertical="center"/>
    </xf>
    <xf numFmtId="1" fontId="59" fillId="40" borderId="159" xfId="0" applyNumberFormat="1" applyFont="1" applyFill="1" applyBorder="1" applyAlignment="1">
      <alignment horizontal="center" vertical="center"/>
    </xf>
    <xf numFmtId="0" fontId="0" fillId="0" borderId="40" xfId="0" applyBorder="1" applyAlignment="1">
      <alignment horizontal="center"/>
    </xf>
    <xf numFmtId="167" fontId="0" fillId="0" borderId="40" xfId="0" applyNumberFormat="1" applyBorder="1" applyAlignment="1">
      <alignment horizontal="center"/>
    </xf>
    <xf numFmtId="168" fontId="65" fillId="0" borderId="40" xfId="16" applyNumberFormat="1" applyFont="1" applyBorder="1" applyAlignment="1">
      <alignment horizontal="center"/>
    </xf>
    <xf numFmtId="0" fontId="65" fillId="0" borderId="40" xfId="0" applyFont="1" applyBorder="1"/>
    <xf numFmtId="166" fontId="65" fillId="0" borderId="40" xfId="0" applyNumberFormat="1" applyFont="1" applyBorder="1" applyAlignment="1">
      <alignment horizontal="center"/>
    </xf>
    <xf numFmtId="9" fontId="0" fillId="0" borderId="0" xfId="16" applyFont="1" applyAlignment="1">
      <alignment horizontal="left"/>
    </xf>
    <xf numFmtId="0" fontId="54" fillId="0" borderId="164" xfId="0" applyFont="1" applyBorder="1"/>
    <xf numFmtId="0" fontId="54" fillId="0" borderId="30" xfId="0" applyFont="1" applyBorder="1"/>
    <xf numFmtId="3" fontId="59" fillId="0" borderId="142" xfId="0" applyNumberFormat="1" applyFont="1" applyBorder="1" applyAlignment="1">
      <alignment horizontal="center" vertical="center"/>
    </xf>
    <xf numFmtId="3" fontId="68" fillId="0" borderId="145" xfId="0" quotePrefix="1" applyNumberFormat="1" applyFont="1" applyBorder="1" applyAlignment="1">
      <alignment horizontal="center" vertical="center"/>
    </xf>
    <xf numFmtId="3" fontId="68" fillId="0" borderId="40" xfId="0" quotePrefix="1" applyNumberFormat="1" applyFont="1" applyBorder="1" applyAlignment="1">
      <alignment horizontal="center" vertical="center"/>
    </xf>
    <xf numFmtId="3" fontId="68" fillId="0" borderId="136" xfId="0" quotePrefix="1" applyNumberFormat="1" applyFont="1" applyBorder="1" applyAlignment="1">
      <alignment horizontal="center" vertical="center"/>
    </xf>
    <xf numFmtId="0" fontId="54" fillId="40" borderId="134" xfId="0" applyFont="1" applyFill="1" applyBorder="1" applyAlignment="1">
      <alignment horizontal="center" vertical="center"/>
    </xf>
    <xf numFmtId="0" fontId="54" fillId="40" borderId="2" xfId="0" applyFont="1" applyFill="1" applyBorder="1" applyAlignment="1">
      <alignment horizontal="center" vertical="center"/>
    </xf>
    <xf numFmtId="1" fontId="54" fillId="40" borderId="113" xfId="0" applyNumberFormat="1" applyFont="1" applyFill="1" applyBorder="1" applyAlignment="1">
      <alignment horizontal="center" vertical="center"/>
    </xf>
    <xf numFmtId="1" fontId="54" fillId="40" borderId="166" xfId="0" applyNumberFormat="1" applyFont="1" applyFill="1" applyBorder="1" applyAlignment="1">
      <alignment horizontal="center" vertical="center"/>
    </xf>
    <xf numFmtId="3" fontId="59" fillId="41" borderId="167" xfId="0" applyNumberFormat="1" applyFont="1" applyFill="1" applyBorder="1" applyAlignment="1">
      <alignment horizontal="center" vertical="center"/>
    </xf>
    <xf numFmtId="3" fontId="59" fillId="41" borderId="3" xfId="0" applyNumberFormat="1" applyFont="1" applyFill="1" applyBorder="1" applyAlignment="1">
      <alignment horizontal="center" vertical="center"/>
    </xf>
    <xf numFmtId="3" fontId="59" fillId="41" borderId="29"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68" xfId="0" applyNumberFormat="1" applyFont="1" applyFill="1" applyBorder="1" applyAlignment="1">
      <alignment horizontal="center" vertical="center"/>
    </xf>
    <xf numFmtId="1" fontId="59" fillId="41" borderId="38" xfId="0" applyNumberFormat="1" applyFont="1" applyFill="1" applyBorder="1" applyAlignment="1">
      <alignment horizontal="center" vertical="center"/>
    </xf>
    <xf numFmtId="1" fontId="59" fillId="0" borderId="38" xfId="0" applyNumberFormat="1" applyFont="1" applyBorder="1" applyAlignment="1">
      <alignment horizontal="center" vertical="center"/>
    </xf>
    <xf numFmtId="0" fontId="0" fillId="37" borderId="27" xfId="0" applyFill="1" applyBorder="1"/>
    <xf numFmtId="0" fontId="65" fillId="0" borderId="0" xfId="29" applyFont="1" applyAlignment="1">
      <alignment horizontal="center" vertical="center"/>
    </xf>
    <xf numFmtId="0" fontId="5" fillId="0" borderId="0" xfId="29"/>
    <xf numFmtId="0" fontId="5" fillId="0" borderId="31" xfId="29" applyBorder="1"/>
    <xf numFmtId="0" fontId="54" fillId="0" borderId="169" xfId="0" applyFont="1" applyBorder="1"/>
    <xf numFmtId="0" fontId="56" fillId="0" borderId="111" xfId="0" applyFont="1" applyBorder="1" applyAlignment="1">
      <alignment horizontal="center" vertical="center"/>
    </xf>
    <xf numFmtId="0" fontId="56" fillId="0" borderId="112" xfId="0" applyFont="1" applyBorder="1" applyAlignment="1">
      <alignment horizontal="center" vertical="center"/>
    </xf>
    <xf numFmtId="0" fontId="54" fillId="0" borderId="170" xfId="0" applyFont="1" applyBorder="1"/>
    <xf numFmtId="0" fontId="54" fillId="0" borderId="110" xfId="0" applyFont="1" applyBorder="1" applyAlignment="1">
      <alignment horizontal="center" vertical="center"/>
    </xf>
    <xf numFmtId="0" fontId="54" fillId="0" borderId="171" xfId="0" applyFont="1" applyBorder="1"/>
    <xf numFmtId="10" fontId="0" fillId="0" borderId="0" xfId="0" applyNumberFormat="1" applyAlignment="1">
      <alignment horizontal="center" vertical="center"/>
    </xf>
    <xf numFmtId="0" fontId="54" fillId="0" borderId="110" xfId="0" applyFont="1" applyBorder="1"/>
    <xf numFmtId="9" fontId="23" fillId="0" borderId="0" xfId="16" applyFont="1" applyAlignment="1">
      <alignment horizontal="center" vertical="center"/>
    </xf>
    <xf numFmtId="1" fontId="59" fillId="41" borderId="134" xfId="0" applyNumberFormat="1" applyFont="1" applyFill="1" applyBorder="1" applyAlignment="1">
      <alignment horizontal="center" vertical="center"/>
    </xf>
    <xf numFmtId="1" fontId="59" fillId="41" borderId="2" xfId="0" applyNumberFormat="1" applyFont="1" applyFill="1" applyBorder="1" applyAlignment="1">
      <alignment horizontal="center" vertical="center"/>
    </xf>
    <xf numFmtId="1" fontId="59" fillId="41" borderId="32" xfId="0" applyNumberFormat="1" applyFont="1" applyFill="1" applyBorder="1" applyAlignment="1">
      <alignment horizontal="center" vertical="center"/>
    </xf>
    <xf numFmtId="3" fontId="0" fillId="0" borderId="40" xfId="0" applyNumberFormat="1" applyBorder="1" applyAlignment="1">
      <alignment horizontal="center" vertical="center"/>
    </xf>
    <xf numFmtId="3" fontId="0" fillId="0" borderId="136" xfId="0" applyNumberFormat="1" applyBorder="1" applyAlignment="1">
      <alignment horizontal="center" vertical="center"/>
    </xf>
    <xf numFmtId="1" fontId="54" fillId="40" borderId="173" xfId="0" applyNumberFormat="1" applyFont="1" applyFill="1" applyBorder="1" applyAlignment="1">
      <alignment horizontal="center" vertical="center"/>
    </xf>
    <xf numFmtId="0" fontId="54" fillId="40" borderId="32" xfId="0" applyFont="1" applyFill="1" applyBorder="1" applyAlignment="1">
      <alignment horizontal="center" vertical="center"/>
    </xf>
    <xf numFmtId="1" fontId="0" fillId="0" borderId="174" xfId="0" applyNumberFormat="1" applyBorder="1" applyAlignment="1">
      <alignment horizontal="center" vertical="center"/>
    </xf>
    <xf numFmtId="1" fontId="0" fillId="0" borderId="39" xfId="0" applyNumberFormat="1" applyBorder="1" applyAlignment="1">
      <alignment horizontal="center" vertical="center"/>
    </xf>
    <xf numFmtId="3" fontId="68" fillId="0" borderId="145" xfId="0" applyNumberFormat="1" applyFont="1" applyBorder="1" applyAlignment="1">
      <alignment horizontal="center" vertical="center"/>
    </xf>
    <xf numFmtId="2" fontId="0" fillId="24" borderId="50" xfId="0" applyNumberFormat="1" applyFill="1" applyBorder="1" applyAlignment="1">
      <alignment horizontal="center"/>
    </xf>
    <xf numFmtId="167" fontId="0" fillId="24" borderId="18" xfId="0" applyNumberFormat="1" applyFill="1" applyBorder="1" applyAlignment="1">
      <alignment horizontal="center"/>
    </xf>
    <xf numFmtId="175" fontId="0" fillId="0" borderId="0" xfId="0" applyNumberFormat="1" applyAlignment="1">
      <alignment horizontal="center"/>
    </xf>
    <xf numFmtId="1" fontId="59" fillId="0" borderId="134"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8" fillId="0" borderId="167" xfId="0" applyNumberFormat="1" applyFont="1" applyBorder="1" applyAlignment="1">
      <alignment horizontal="center" vertical="center"/>
    </xf>
    <xf numFmtId="10" fontId="70" fillId="35" borderId="105" xfId="26" applyNumberFormat="1" applyFont="1" applyFill="1" applyBorder="1"/>
    <xf numFmtId="174" fontId="8" fillId="0" borderId="105" xfId="26" applyNumberFormat="1" applyBorder="1"/>
    <xf numFmtId="168" fontId="54" fillId="0" borderId="0" xfId="16" applyNumberFormat="1" applyFont="1"/>
    <xf numFmtId="3" fontId="68" fillId="38" borderId="40" xfId="0" quotePrefix="1" applyNumberFormat="1" applyFont="1" applyFill="1" applyBorder="1" applyAlignment="1">
      <alignment horizontal="center" vertical="center"/>
    </xf>
    <xf numFmtId="3" fontId="68" fillId="38" borderId="38" xfId="0" quotePrefix="1" applyNumberFormat="1" applyFont="1" applyFill="1" applyBorder="1" applyAlignment="1">
      <alignment horizontal="center" vertical="center"/>
    </xf>
    <xf numFmtId="3" fontId="25" fillId="38" borderId="40" xfId="0" applyNumberFormat="1" applyFont="1" applyFill="1" applyBorder="1" applyAlignment="1">
      <alignment horizontal="center" vertical="center"/>
    </xf>
    <xf numFmtId="3" fontId="25" fillId="38" borderId="38" xfId="0" applyNumberFormat="1" applyFont="1" applyFill="1" applyBorder="1" applyAlignment="1">
      <alignment horizontal="center" vertical="center"/>
    </xf>
    <xf numFmtId="0" fontId="68" fillId="38" borderId="40" xfId="0" applyFont="1" applyFill="1" applyBorder="1" applyAlignment="1">
      <alignment horizontal="center" vertical="center"/>
    </xf>
    <xf numFmtId="0" fontId="68" fillId="38" borderId="38" xfId="0" applyFont="1" applyFill="1" applyBorder="1" applyAlignment="1">
      <alignment horizontal="center" vertical="center"/>
    </xf>
    <xf numFmtId="1" fontId="68" fillId="0" borderId="145" xfId="0" applyNumberFormat="1" applyFont="1" applyBorder="1" applyAlignment="1">
      <alignment horizontal="center" vertical="center"/>
    </xf>
    <xf numFmtId="1" fontId="25" fillId="0" borderId="145" xfId="0" applyNumberFormat="1" applyFont="1" applyBorder="1" applyAlignment="1">
      <alignment horizontal="center" vertical="center"/>
    </xf>
    <xf numFmtId="1" fontId="68" fillId="0" borderId="40" xfId="0" applyNumberFormat="1" applyFont="1" applyBorder="1" applyAlignment="1">
      <alignment horizontal="center" vertical="center"/>
    </xf>
    <xf numFmtId="1" fontId="68" fillId="0" borderId="136"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29"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1" fillId="0" borderId="0" xfId="0" applyNumberFormat="1" applyFont="1" applyAlignment="1">
      <alignment horizontal="left"/>
    </xf>
    <xf numFmtId="0" fontId="8" fillId="0" borderId="0" xfId="26" applyAlignment="1">
      <alignment vertical="center" wrapText="1"/>
    </xf>
    <xf numFmtId="3" fontId="52" fillId="34" borderId="107" xfId="5" applyFont="1" applyFill="1" applyBorder="1" applyAlignment="1">
      <alignment horizontal="right" vertical="center" wrapText="1"/>
    </xf>
    <xf numFmtId="4" fontId="8" fillId="34" borderId="107" xfId="7" applyFont="1" applyFill="1" applyBorder="1" applyAlignment="1">
      <alignment horizontal="right" vertical="center" wrapText="1"/>
    </xf>
    <xf numFmtId="4" fontId="32" fillId="0" borderId="105" xfId="7" applyFont="1" applyFill="1" applyBorder="1" applyAlignment="1">
      <alignment horizontal="right" vertical="center" wrapText="1"/>
    </xf>
    <xf numFmtId="0" fontId="8" fillId="0" borderId="105" xfId="10"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0" fontId="0" fillId="0" borderId="0" xfId="26" applyFont="1"/>
    <xf numFmtId="2" fontId="8" fillId="0" borderId="0" xfId="26" applyNumberFormat="1"/>
    <xf numFmtId="2" fontId="0" fillId="0" borderId="0" xfId="26" applyNumberFormat="1" applyFont="1"/>
    <xf numFmtId="0" fontId="59" fillId="0" borderId="0" xfId="0" applyFont="1"/>
    <xf numFmtId="0" fontId="59" fillId="0" borderId="0" xfId="0" applyFont="1" applyAlignment="1">
      <alignment horizontal="center"/>
    </xf>
    <xf numFmtId="167" fontId="8" fillId="0" borderId="0" xfId="0" applyNumberFormat="1" applyFont="1"/>
    <xf numFmtId="166" fontId="8" fillId="0" borderId="0" xfId="0" applyNumberFormat="1" applyFont="1"/>
    <xf numFmtId="167" fontId="26" fillId="0" borderId="0" xfId="0" applyNumberFormat="1" applyFont="1"/>
    <xf numFmtId="168" fontId="8" fillId="24" borderId="17" xfId="16" applyNumberFormat="1" applyFont="1" applyFill="1" applyBorder="1" applyAlignment="1">
      <alignment horizontal="center"/>
    </xf>
    <xf numFmtId="173" fontId="34" fillId="24" borderId="90" xfId="0" applyNumberFormat="1" applyFont="1" applyFill="1" applyBorder="1" applyAlignment="1">
      <alignment horizontal="center"/>
    </xf>
    <xf numFmtId="0" fontId="47" fillId="9" borderId="61" xfId="0" applyFont="1" applyFill="1" applyBorder="1" applyAlignment="1">
      <alignment horizontal="center" vertical="center"/>
    </xf>
    <xf numFmtId="0" fontId="47" fillId="31" borderId="61" xfId="0" applyFont="1" applyFill="1" applyBorder="1" applyAlignment="1">
      <alignment horizontal="center" vertical="center"/>
    </xf>
    <xf numFmtId="4" fontId="25" fillId="9" borderId="105" xfId="7" applyFont="1" applyFill="1" applyBorder="1" applyAlignment="1">
      <alignment horizontal="right" vertical="center"/>
    </xf>
    <xf numFmtId="0" fontId="8" fillId="12" borderId="105" xfId="10" applyFont="1" applyFill="1" applyBorder="1" applyAlignment="1">
      <alignment horizontal="right" vertical="center"/>
    </xf>
    <xf numFmtId="0" fontId="25" fillId="0" borderId="17" xfId="0" applyFont="1" applyBorder="1" applyAlignment="1">
      <alignment horizontal="center"/>
    </xf>
    <xf numFmtId="0" fontId="8" fillId="0" borderId="17" xfId="0" applyFont="1" applyBorder="1" applyAlignment="1">
      <alignment horizontal="center"/>
    </xf>
    <xf numFmtId="0" fontId="47" fillId="5" borderId="132" xfId="0" applyFont="1" applyFill="1" applyBorder="1" applyAlignment="1">
      <alignment horizontal="center"/>
    </xf>
    <xf numFmtId="0" fontId="27" fillId="32" borderId="10" xfId="0" applyFont="1" applyFill="1" applyBorder="1" applyAlignment="1">
      <alignment horizontal="center"/>
    </xf>
    <xf numFmtId="0" fontId="0" fillId="8" borderId="178" xfId="0" applyFill="1" applyBorder="1" applyAlignment="1">
      <alignment vertical="center" wrapText="1"/>
    </xf>
    <xf numFmtId="0" fontId="0" fillId="8" borderId="175" xfId="0" applyFill="1" applyBorder="1" applyAlignment="1">
      <alignment vertical="center" wrapText="1"/>
    </xf>
    <xf numFmtId="0" fontId="47" fillId="5" borderId="117" xfId="0" applyFont="1" applyFill="1" applyBorder="1" applyAlignment="1">
      <alignment horizontal="center"/>
    </xf>
    <xf numFmtId="0" fontId="27" fillId="32" borderId="178" xfId="0" applyFont="1" applyFill="1" applyBorder="1" applyAlignment="1">
      <alignment horizontal="center"/>
    </xf>
    <xf numFmtId="0" fontId="0" fillId="8" borderId="178" xfId="0" applyFill="1" applyBorder="1" applyAlignment="1">
      <alignment horizontal="left"/>
    </xf>
    <xf numFmtId="0" fontId="0" fillId="8" borderId="175" xfId="0" applyFill="1" applyBorder="1" applyAlignment="1">
      <alignment horizontal="left"/>
    </xf>
    <xf numFmtId="0" fontId="13" fillId="17" borderId="93" xfId="0" applyFont="1" applyFill="1" applyBorder="1" applyAlignment="1">
      <alignment horizontal="left" vertical="center"/>
    </xf>
    <xf numFmtId="173" fontId="0" fillId="17" borderId="89" xfId="0" applyNumberFormat="1" applyFill="1" applyBorder="1" applyAlignment="1">
      <alignment horizontal="center"/>
    </xf>
    <xf numFmtId="0" fontId="13" fillId="17" borderId="94" xfId="0" applyFont="1" applyFill="1" applyBorder="1" applyAlignment="1">
      <alignment horizontal="left" vertical="center"/>
    </xf>
    <xf numFmtId="9" fontId="0" fillId="17" borderId="90" xfId="16" applyFont="1" applyFill="1" applyBorder="1" applyAlignment="1">
      <alignment horizontal="center"/>
    </xf>
    <xf numFmtId="9" fontId="8" fillId="17" borderId="89" xfId="16" applyFont="1" applyFill="1" applyBorder="1" applyAlignment="1">
      <alignment horizontal="center"/>
    </xf>
    <xf numFmtId="2" fontId="8" fillId="17" borderId="90" xfId="0" applyNumberFormat="1" applyFont="1" applyFill="1" applyBorder="1" applyAlignment="1">
      <alignment horizontal="center" vertical="center"/>
    </xf>
    <xf numFmtId="2" fontId="0" fillId="17" borderId="90" xfId="0" applyNumberFormat="1" applyFill="1" applyBorder="1" applyAlignment="1">
      <alignment horizontal="center"/>
    </xf>
    <xf numFmtId="0" fontId="13" fillId="17" borderId="92" xfId="0" applyFont="1" applyFill="1" applyBorder="1" applyAlignment="1">
      <alignment horizontal="left" vertical="center"/>
    </xf>
    <xf numFmtId="2" fontId="0" fillId="17" borderId="88" xfId="0" applyNumberFormat="1" applyFill="1" applyBorder="1" applyAlignment="1">
      <alignment horizontal="center"/>
    </xf>
    <xf numFmtId="2" fontId="8" fillId="17" borderId="90" xfId="0" applyNumberFormat="1" applyFont="1" applyFill="1" applyBorder="1" applyAlignment="1">
      <alignment horizontal="center"/>
    </xf>
    <xf numFmtId="169" fontId="0" fillId="17" borderId="90" xfId="0" applyNumberFormat="1" applyFill="1" applyBorder="1" applyAlignment="1">
      <alignment horizontal="center"/>
    </xf>
    <xf numFmtId="9" fontId="0" fillId="0" borderId="88" xfId="16" applyFont="1" applyFill="1" applyBorder="1" applyAlignment="1">
      <alignment horizontal="center"/>
    </xf>
    <xf numFmtId="0" fontId="13" fillId="0" borderId="94" xfId="0" applyFont="1" applyBorder="1" applyAlignment="1">
      <alignment horizontal="left" vertical="center"/>
    </xf>
    <xf numFmtId="9" fontId="0" fillId="0" borderId="90" xfId="16" applyFont="1" applyFill="1" applyBorder="1" applyAlignment="1">
      <alignment horizontal="center"/>
    </xf>
    <xf numFmtId="2" fontId="0" fillId="0" borderId="88" xfId="0" applyNumberFormat="1" applyBorder="1" applyAlignment="1">
      <alignment horizontal="center"/>
    </xf>
    <xf numFmtId="0" fontId="13" fillId="0" borderId="93" xfId="0" applyFont="1" applyBorder="1" applyAlignment="1">
      <alignment horizontal="left" vertical="center"/>
    </xf>
    <xf numFmtId="2" fontId="0" fillId="0" borderId="90" xfId="0" applyNumberFormat="1" applyBorder="1" applyAlignment="1">
      <alignment horizontal="center"/>
    </xf>
    <xf numFmtId="2" fontId="8" fillId="17" borderId="88" xfId="0" applyNumberFormat="1" applyFont="1" applyFill="1" applyBorder="1" applyAlignment="1">
      <alignment horizontal="center"/>
    </xf>
    <xf numFmtId="2" fontId="0" fillId="17" borderId="89" xfId="0" applyNumberFormat="1" applyFill="1" applyBorder="1" applyAlignment="1">
      <alignment horizontal="center"/>
    </xf>
    <xf numFmtId="0" fontId="14" fillId="17" borderId="94" xfId="0" applyFont="1" applyFill="1" applyBorder="1" applyAlignment="1">
      <alignment horizontal="left" vertical="center"/>
    </xf>
    <xf numFmtId="2" fontId="0" fillId="17" borderId="90" xfId="16" applyNumberFormat="1" applyFont="1" applyFill="1" applyBorder="1" applyAlignment="1">
      <alignment horizontal="center"/>
    </xf>
    <xf numFmtId="176" fontId="0" fillId="17" borderId="90" xfId="0" applyNumberFormat="1" applyFill="1" applyBorder="1" applyAlignment="1">
      <alignment horizontal="center"/>
    </xf>
    <xf numFmtId="0" fontId="13" fillId="0" borderId="96" xfId="0" applyFont="1" applyBorder="1" applyAlignment="1">
      <alignment horizontal="left" vertical="center"/>
    </xf>
    <xf numFmtId="9" fontId="0" fillId="0" borderId="97" xfId="16" applyFont="1" applyFill="1" applyBorder="1" applyAlignment="1">
      <alignment horizontal="center"/>
    </xf>
    <xf numFmtId="10" fontId="8" fillId="0" borderId="89" xfId="16" applyNumberFormat="1" applyFont="1" applyFill="1" applyBorder="1" applyAlignment="1">
      <alignment horizontal="center"/>
    </xf>
    <xf numFmtId="10" fontId="0" fillId="0" borderId="89" xfId="16" applyNumberFormat="1" applyFont="1" applyFill="1" applyBorder="1" applyAlignment="1">
      <alignment horizontal="center"/>
    </xf>
    <xf numFmtId="169" fontId="0" fillId="0" borderId="89" xfId="0" applyNumberFormat="1" applyBorder="1" applyAlignment="1">
      <alignment horizontal="center"/>
    </xf>
    <xf numFmtId="169" fontId="8" fillId="0" borderId="88" xfId="0" applyNumberFormat="1" applyFont="1" applyBorder="1" applyAlignment="1">
      <alignment horizontal="center"/>
    </xf>
    <xf numFmtId="169" fontId="0" fillId="0" borderId="88" xfId="0" applyNumberFormat="1" applyBorder="1" applyAlignment="1">
      <alignment horizontal="center"/>
    </xf>
    <xf numFmtId="2" fontId="0" fillId="0" borderId="89" xfId="0" applyNumberFormat="1" applyBorder="1" applyAlignment="1">
      <alignment horizontal="center"/>
    </xf>
    <xf numFmtId="169" fontId="0" fillId="0" borderId="90" xfId="0" applyNumberFormat="1" applyBorder="1" applyAlignment="1">
      <alignment horizontal="center"/>
    </xf>
    <xf numFmtId="168" fontId="0" fillId="0" borderId="88" xfId="16" applyNumberFormat="1" applyFont="1" applyFill="1" applyBorder="1" applyAlignment="1">
      <alignment horizontal="center"/>
    </xf>
    <xf numFmtId="173" fontId="26" fillId="18" borderId="195" xfId="0" applyNumberFormat="1" applyFont="1" applyFill="1" applyBorder="1" applyAlignment="1">
      <alignment horizontal="center"/>
    </xf>
    <xf numFmtId="173" fontId="26" fillId="18" borderId="196" xfId="0" applyNumberFormat="1" applyFont="1" applyFill="1" applyBorder="1" applyAlignment="1">
      <alignment horizontal="center"/>
    </xf>
    <xf numFmtId="9" fontId="26" fillId="31" borderId="63" xfId="16" applyFont="1" applyFill="1" applyBorder="1" applyAlignment="1">
      <alignment horizontal="center" vertical="center"/>
    </xf>
    <xf numFmtId="9" fontId="26" fillId="18" borderId="195" xfId="16" applyFont="1" applyFill="1" applyBorder="1" applyAlignment="1">
      <alignment horizontal="center"/>
    </xf>
    <xf numFmtId="9" fontId="26" fillId="18" borderId="95" xfId="16" applyFont="1" applyFill="1" applyBorder="1" applyAlignment="1">
      <alignment horizontal="center"/>
    </xf>
    <xf numFmtId="9" fontId="26" fillId="18" borderId="196" xfId="16" applyFont="1" applyFill="1" applyBorder="1" applyAlignment="1">
      <alignment horizontal="center"/>
    </xf>
    <xf numFmtId="0" fontId="26" fillId="31" borderId="63" xfId="0" applyFont="1" applyFill="1" applyBorder="1" applyAlignment="1">
      <alignment horizontal="center" vertical="center"/>
    </xf>
    <xf numFmtId="2" fontId="26" fillId="18" borderId="95" xfId="0" applyNumberFormat="1" applyFont="1" applyFill="1" applyBorder="1" applyAlignment="1">
      <alignment horizontal="center"/>
    </xf>
    <xf numFmtId="2" fontId="26" fillId="18" borderId="196" xfId="0" applyNumberFormat="1" applyFont="1" applyFill="1" applyBorder="1" applyAlignment="1">
      <alignment horizontal="center"/>
    </xf>
    <xf numFmtId="2" fontId="26" fillId="31" borderId="63" xfId="16" applyNumberFormat="1" applyFont="1" applyFill="1" applyBorder="1" applyAlignment="1">
      <alignment horizontal="center" vertical="center"/>
    </xf>
    <xf numFmtId="2" fontId="26" fillId="18" borderId="195" xfId="0" applyNumberFormat="1" applyFont="1" applyFill="1" applyBorder="1" applyAlignment="1">
      <alignment horizontal="center"/>
    </xf>
    <xf numFmtId="10" fontId="26" fillId="31" borderId="63" xfId="0" applyNumberFormat="1" applyFont="1" applyFill="1" applyBorder="1" applyAlignment="1">
      <alignment horizontal="center" vertical="center"/>
    </xf>
    <xf numFmtId="171" fontId="26" fillId="31" borderId="63" xfId="19" applyNumberFormat="1" applyFont="1" applyFill="1" applyBorder="1" applyAlignment="1">
      <alignment horizontal="center" vertical="center"/>
    </xf>
    <xf numFmtId="2" fontId="26" fillId="18" borderId="95" xfId="16" applyNumberFormat="1" applyFont="1" applyFill="1" applyBorder="1" applyAlignment="1">
      <alignment horizontal="center"/>
    </xf>
    <xf numFmtId="0" fontId="26" fillId="31" borderId="63" xfId="0" applyFont="1" applyFill="1" applyBorder="1" applyAlignment="1">
      <alignment horizontal="center"/>
    </xf>
    <xf numFmtId="9" fontId="26" fillId="18" borderId="65" xfId="16" applyFont="1" applyFill="1" applyBorder="1" applyAlignment="1">
      <alignment horizontal="center"/>
    </xf>
    <xf numFmtId="0" fontId="13" fillId="0" borderId="83" xfId="0" applyFont="1" applyBorder="1" applyAlignment="1">
      <alignment horizontal="left"/>
    </xf>
    <xf numFmtId="3" fontId="54" fillId="0" borderId="134" xfId="0" applyNumberFormat="1" applyFont="1" applyBorder="1" applyAlignment="1">
      <alignment horizontal="center" vertical="center"/>
    </xf>
    <xf numFmtId="3" fontId="54" fillId="8" borderId="135" xfId="0" applyNumberFormat="1" applyFont="1" applyFill="1" applyBorder="1" applyAlignment="1">
      <alignment horizontal="center" vertical="center"/>
    </xf>
    <xf numFmtId="0" fontId="54" fillId="0" borderId="197" xfId="0" applyFont="1" applyBorder="1"/>
    <xf numFmtId="4" fontId="5" fillId="0" borderId="198" xfId="29" applyNumberFormat="1" applyBorder="1" applyAlignment="1">
      <alignment horizontal="center"/>
    </xf>
    <xf numFmtId="0" fontId="54" fillId="0" borderId="37" xfId="0" applyFont="1" applyBorder="1"/>
    <xf numFmtId="10" fontId="5" fillId="0" borderId="0" xfId="29" quotePrefix="1" applyNumberFormat="1" applyAlignment="1">
      <alignment horizontal="right"/>
    </xf>
    <xf numFmtId="1" fontId="54" fillId="40" borderId="199" xfId="0" applyNumberFormat="1" applyFont="1" applyFill="1" applyBorder="1" applyAlignment="1">
      <alignment horizontal="center" vertical="center"/>
    </xf>
    <xf numFmtId="1" fontId="54" fillId="40" borderId="167" xfId="0" applyNumberFormat="1" applyFont="1" applyFill="1" applyBorder="1" applyAlignment="1">
      <alignment horizontal="center" vertical="center"/>
    </xf>
    <xf numFmtId="1" fontId="54" fillId="40" borderId="3" xfId="0" applyNumberFormat="1" applyFont="1" applyFill="1" applyBorder="1" applyAlignment="1">
      <alignment horizontal="center" vertical="center"/>
    </xf>
    <xf numFmtId="1" fontId="54" fillId="40" borderId="29" xfId="0" applyNumberFormat="1" applyFont="1" applyFill="1" applyBorder="1" applyAlignment="1">
      <alignment horizontal="center" vertical="center"/>
    </xf>
    <xf numFmtId="1" fontId="0" fillId="0" borderId="167" xfId="0" applyNumberFormat="1" applyBorder="1" applyAlignment="1">
      <alignment horizontal="center" vertical="center"/>
    </xf>
    <xf numFmtId="1" fontId="0" fillId="0" borderId="3" xfId="0" applyNumberFormat="1" applyBorder="1" applyAlignment="1">
      <alignment horizontal="center" vertical="center"/>
    </xf>
    <xf numFmtId="1" fontId="0" fillId="0" borderId="172" xfId="0" applyNumberFormat="1" applyBorder="1" applyAlignment="1">
      <alignment horizontal="center" vertical="center"/>
    </xf>
    <xf numFmtId="1" fontId="0" fillId="0" borderId="30" xfId="0" applyNumberFormat="1" applyBorder="1" applyAlignment="1">
      <alignment horizontal="center" vertical="center"/>
    </xf>
    <xf numFmtId="0" fontId="54" fillId="0" borderId="135" xfId="0" applyFont="1" applyBorder="1" applyAlignment="1">
      <alignment horizontal="center" vertical="center"/>
    </xf>
    <xf numFmtId="1" fontId="54" fillId="0" borderId="134" xfId="0" applyNumberFormat="1" applyFont="1" applyBorder="1" applyAlignment="1">
      <alignment horizontal="center" vertical="center"/>
    </xf>
    <xf numFmtId="1" fontId="54" fillId="0" borderId="2" xfId="0" applyNumberFormat="1" applyFont="1" applyBorder="1" applyAlignment="1">
      <alignment horizontal="center" vertical="center"/>
    </xf>
    <xf numFmtId="1" fontId="54" fillId="0" borderId="165" xfId="0" applyNumberFormat="1" applyFont="1" applyBorder="1" applyAlignment="1">
      <alignment horizontal="center" vertical="center"/>
    </xf>
    <xf numFmtId="4" fontId="5" fillId="0" borderId="172" xfId="29" applyNumberFormat="1" applyBorder="1" applyAlignment="1">
      <alignment horizontal="center"/>
    </xf>
    <xf numFmtId="4" fontId="5" fillId="0" borderId="167" xfId="29" applyNumberFormat="1" applyBorder="1" applyAlignment="1">
      <alignment horizontal="center"/>
    </xf>
    <xf numFmtId="4" fontId="5" fillId="0" borderId="3" xfId="29" applyNumberFormat="1" applyBorder="1" applyAlignment="1">
      <alignment horizontal="center"/>
    </xf>
    <xf numFmtId="0" fontId="27" fillId="0" borderId="0" xfId="26" applyFont="1" applyAlignment="1">
      <alignment horizontal="center" vertical="center"/>
    </xf>
    <xf numFmtId="4" fontId="25" fillId="0" borderId="0" xfId="7" applyFont="1" applyFill="1" applyBorder="1">
      <alignment horizontal="right"/>
    </xf>
    <xf numFmtId="0" fontId="47" fillId="31" borderId="54" xfId="0" applyFont="1" applyFill="1" applyBorder="1" applyAlignment="1">
      <alignment horizontal="left" vertical="center"/>
    </xf>
    <xf numFmtId="10" fontId="0" fillId="0" borderId="45" xfId="0" applyNumberFormat="1" applyBorder="1" applyAlignment="1">
      <alignment horizontal="center" vertical="center"/>
    </xf>
    <xf numFmtId="0" fontId="13" fillId="8" borderId="96" xfId="0" applyFont="1" applyFill="1" applyBorder="1" applyAlignment="1">
      <alignment horizontal="left" vertical="center"/>
    </xf>
    <xf numFmtId="10" fontId="0" fillId="8" borderId="97" xfId="16" applyNumberFormat="1" applyFont="1" applyFill="1" applyBorder="1" applyAlignment="1">
      <alignment horizontal="center" vertical="center"/>
    </xf>
    <xf numFmtId="10" fontId="0" fillId="8" borderId="98" xfId="16" applyNumberFormat="1" applyFont="1" applyFill="1" applyBorder="1" applyAlignment="1">
      <alignment horizontal="center" vertical="center"/>
    </xf>
    <xf numFmtId="0" fontId="47" fillId="0" borderId="0" xfId="0" applyFont="1" applyAlignment="1">
      <alignment horizontal="left" vertical="center"/>
    </xf>
    <xf numFmtId="10" fontId="0" fillId="0" borderId="0" xfId="16" applyNumberFormat="1" applyFont="1" applyFill="1" applyBorder="1" applyAlignment="1">
      <alignment horizontal="center" vertical="center"/>
    </xf>
    <xf numFmtId="0" fontId="58" fillId="36" borderId="65" xfId="0" applyFont="1" applyFill="1" applyBorder="1" applyAlignment="1">
      <alignment horizontal="center" vertical="center"/>
    </xf>
    <xf numFmtId="173" fontId="0" fillId="0" borderId="195" xfId="0" applyNumberFormat="1" applyBorder="1" applyAlignment="1">
      <alignment horizontal="center"/>
    </xf>
    <xf numFmtId="173" fontId="0" fillId="17" borderId="196" xfId="0" applyNumberFormat="1" applyFill="1" applyBorder="1" applyAlignment="1">
      <alignment horizontal="center"/>
    </xf>
    <xf numFmtId="0" fontId="0" fillId="31" borderId="63" xfId="0" applyFill="1" applyBorder="1" applyAlignment="1">
      <alignment horizontal="center"/>
    </xf>
    <xf numFmtId="9" fontId="0" fillId="0" borderId="195" xfId="16" applyFont="1" applyFill="1" applyBorder="1" applyAlignment="1">
      <alignment horizontal="center"/>
    </xf>
    <xf numFmtId="9" fontId="0" fillId="17" borderId="95" xfId="16" applyFont="1" applyFill="1" applyBorder="1" applyAlignment="1">
      <alignment horizontal="center"/>
    </xf>
    <xf numFmtId="9" fontId="0" fillId="0" borderId="95" xfId="16" applyFont="1" applyFill="1" applyBorder="1" applyAlignment="1">
      <alignment horizontal="center"/>
    </xf>
    <xf numFmtId="9" fontId="0" fillId="17" borderId="196" xfId="16" applyFont="1" applyFill="1" applyBorder="1" applyAlignment="1">
      <alignment horizontal="center"/>
    </xf>
    <xf numFmtId="2" fontId="0" fillId="0" borderId="195" xfId="0" applyNumberFormat="1" applyBorder="1" applyAlignment="1">
      <alignment horizontal="center"/>
    </xf>
    <xf numFmtId="2" fontId="0" fillId="17" borderId="95" xfId="0" applyNumberFormat="1" applyFill="1" applyBorder="1" applyAlignment="1">
      <alignment horizontal="center"/>
    </xf>
    <xf numFmtId="2" fontId="0" fillId="0" borderId="196" xfId="0" applyNumberFormat="1" applyBorder="1" applyAlignment="1">
      <alignment horizontal="center"/>
    </xf>
    <xf numFmtId="2" fontId="0" fillId="17" borderId="195" xfId="0" applyNumberFormat="1" applyFill="1" applyBorder="1" applyAlignment="1">
      <alignment horizontal="center"/>
    </xf>
    <xf numFmtId="2" fontId="0" fillId="0" borderId="95" xfId="0" applyNumberFormat="1" applyBorder="1" applyAlignment="1">
      <alignment horizontal="center"/>
    </xf>
    <xf numFmtId="2" fontId="0" fillId="17" borderId="196" xfId="0" applyNumberFormat="1" applyFill="1" applyBorder="1" applyAlignment="1">
      <alignment horizontal="center"/>
    </xf>
    <xf numFmtId="169" fontId="0" fillId="0" borderId="195" xfId="0" applyNumberFormat="1" applyBorder="1" applyAlignment="1">
      <alignment horizontal="center"/>
    </xf>
    <xf numFmtId="169" fontId="0" fillId="17" borderId="95" xfId="0" applyNumberFormat="1" applyFill="1" applyBorder="1" applyAlignment="1">
      <alignment horizontal="center"/>
    </xf>
    <xf numFmtId="169" fontId="0" fillId="0" borderId="95" xfId="0" applyNumberFormat="1" applyBorder="1" applyAlignment="1">
      <alignment horizontal="center"/>
    </xf>
    <xf numFmtId="169" fontId="0" fillId="0" borderId="196" xfId="0" applyNumberFormat="1" applyBorder="1" applyAlignment="1">
      <alignment horizontal="center"/>
    </xf>
    <xf numFmtId="168" fontId="0" fillId="0" borderId="195" xfId="16" applyNumberFormat="1" applyFont="1" applyFill="1" applyBorder="1" applyAlignment="1">
      <alignment horizontal="center"/>
    </xf>
    <xf numFmtId="2" fontId="0" fillId="17" borderId="95" xfId="16" applyNumberFormat="1" applyFont="1" applyFill="1" applyBorder="1" applyAlignment="1">
      <alignment horizontal="center"/>
    </xf>
    <xf numFmtId="10" fontId="0" fillId="0" borderId="196" xfId="16" applyNumberFormat="1" applyFont="1" applyFill="1" applyBorder="1" applyAlignment="1">
      <alignment horizontal="center"/>
    </xf>
    <xf numFmtId="10" fontId="0" fillId="17" borderId="95" xfId="16" applyNumberFormat="1" applyFont="1" applyFill="1" applyBorder="1" applyAlignment="1">
      <alignment horizontal="center" vertical="center"/>
    </xf>
    <xf numFmtId="176" fontId="0" fillId="8" borderId="95" xfId="0" applyNumberFormat="1" applyFill="1" applyBorder="1" applyAlignment="1">
      <alignment horizontal="right" vertical="center"/>
    </xf>
    <xf numFmtId="176" fontId="0" fillId="17" borderId="95" xfId="0" applyNumberFormat="1" applyFill="1" applyBorder="1" applyAlignment="1">
      <alignment horizontal="center"/>
    </xf>
    <xf numFmtId="9" fontId="0" fillId="0" borderId="98" xfId="16" applyFont="1" applyFill="1" applyBorder="1" applyAlignment="1">
      <alignment horizontal="center"/>
    </xf>
    <xf numFmtId="0" fontId="73" fillId="36" borderId="63" xfId="0" applyFont="1" applyFill="1" applyBorder="1" applyAlignment="1">
      <alignment horizontal="center" vertical="center" wrapText="1"/>
    </xf>
    <xf numFmtId="9" fontId="0" fillId="0" borderId="0" xfId="16" applyFont="1" applyBorder="1" applyAlignment="1">
      <alignment horizontal="center" vertical="center"/>
    </xf>
    <xf numFmtId="0" fontId="27" fillId="5" borderId="203" xfId="26" applyFont="1" applyFill="1" applyBorder="1" applyAlignment="1">
      <alignment horizontal="center" vertical="center"/>
    </xf>
    <xf numFmtId="4" fontId="25" fillId="28" borderId="204" xfId="7" applyFont="1" applyFill="1" applyBorder="1">
      <alignment horizontal="right"/>
    </xf>
    <xf numFmtId="4" fontId="8" fillId="12" borderId="204" xfId="7" applyFont="1" applyFill="1" applyBorder="1">
      <alignment horizontal="right"/>
    </xf>
    <xf numFmtId="4" fontId="32" fillId="9" borderId="205" xfId="7" applyFont="1" applyFill="1" applyBorder="1">
      <alignment horizontal="right"/>
    </xf>
    <xf numFmtId="0" fontId="58" fillId="36" borderId="0" xfId="24" applyFont="1" applyFill="1"/>
    <xf numFmtId="0" fontId="74" fillId="36" borderId="0" xfId="24" applyFont="1" applyFill="1" applyAlignment="1">
      <alignment horizontal="left" vertical="center"/>
    </xf>
    <xf numFmtId="0" fontId="74"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10" fontId="75" fillId="0" borderId="0" xfId="24" applyNumberFormat="1" applyFont="1" applyAlignment="1">
      <alignment horizontal="center"/>
    </xf>
    <xf numFmtId="10" fontId="8" fillId="0" borderId="0" xfId="24" applyNumberFormat="1"/>
    <xf numFmtId="168" fontId="0" fillId="0" borderId="0" xfId="16" applyNumberFormat="1" applyFont="1"/>
    <xf numFmtId="0" fontId="75" fillId="0" borderId="0" xfId="24" applyFont="1"/>
    <xf numFmtId="0" fontId="50" fillId="31" borderId="0" xfId="24" applyFont="1" applyFill="1"/>
    <xf numFmtId="168" fontId="38" fillId="0" borderId="0" xfId="24" applyNumberFormat="1" applyFont="1"/>
    <xf numFmtId="0" fontId="27" fillId="32" borderId="214" xfId="0" applyFont="1" applyFill="1" applyBorder="1" applyAlignment="1">
      <alignment horizontal="center"/>
    </xf>
    <xf numFmtId="0" fontId="13" fillId="0" borderId="214" xfId="0" applyFont="1" applyBorder="1" applyAlignment="1">
      <alignment horizontal="center"/>
    </xf>
    <xf numFmtId="0" fontId="0" fillId="0" borderId="214" xfId="0" applyBorder="1" applyAlignment="1">
      <alignment horizontal="center"/>
    </xf>
    <xf numFmtId="0" fontId="27" fillId="10" borderId="54" xfId="0" applyFont="1" applyFill="1" applyBorder="1" applyAlignment="1">
      <alignment horizontal="center" vertical="center" wrapText="1"/>
    </xf>
    <xf numFmtId="0" fontId="27" fillId="11" borderId="54" xfId="0" applyFont="1" applyFill="1" applyBorder="1" applyAlignment="1">
      <alignment horizontal="center" vertical="center" wrapText="1"/>
    </xf>
    <xf numFmtId="0" fontId="48" fillId="15" borderId="54" xfId="0" applyFont="1" applyFill="1" applyBorder="1" applyAlignment="1">
      <alignment horizontal="center" vertical="center" wrapText="1"/>
    </xf>
    <xf numFmtId="0" fontId="27" fillId="23" borderId="54" xfId="0" applyFont="1" applyFill="1" applyBorder="1" applyAlignment="1">
      <alignment horizontal="center" vertical="center" wrapText="1"/>
    </xf>
    <xf numFmtId="0" fontId="27" fillId="16" borderId="54" xfId="0" applyFont="1" applyFill="1" applyBorder="1" applyAlignment="1">
      <alignment horizontal="center" vertical="center" wrapText="1"/>
    </xf>
    <xf numFmtId="0" fontId="57" fillId="0" borderId="0" xfId="24" applyFont="1" applyAlignment="1">
      <alignment horizontal="center"/>
    </xf>
    <xf numFmtId="0" fontId="8" fillId="24" borderId="0" xfId="0" applyFont="1" applyFill="1" applyAlignment="1">
      <alignment horizontal="center" vertical="center"/>
    </xf>
    <xf numFmtId="177" fontId="76" fillId="46" borderId="0" xfId="16" applyNumberFormat="1" applyFont="1" applyFill="1" applyBorder="1" applyAlignment="1">
      <alignment horizontal="center"/>
    </xf>
    <xf numFmtId="0" fontId="58" fillId="0" borderId="0" xfId="24" applyFont="1"/>
    <xf numFmtId="0" fontId="74" fillId="0" borderId="0" xfId="24" applyFont="1" applyAlignment="1">
      <alignment horizontal="center" vertical="center"/>
    </xf>
    <xf numFmtId="0" fontId="75" fillId="0" borderId="0" xfId="0" applyFont="1" applyAlignment="1">
      <alignment horizontal="center"/>
    </xf>
    <xf numFmtId="0" fontId="13" fillId="8" borderId="0" xfId="24" applyFont="1" applyFill="1" applyAlignment="1">
      <alignment horizontal="center" vertical="center"/>
    </xf>
    <xf numFmtId="0" fontId="78" fillId="5" borderId="105" xfId="4" applyFont="1" applyFill="1" applyBorder="1" applyAlignment="1">
      <alignment horizontal="center" vertical="center"/>
    </xf>
    <xf numFmtId="0" fontId="47" fillId="23" borderId="62" xfId="0" applyFont="1" applyFill="1" applyBorder="1" applyAlignment="1">
      <alignment horizontal="center" vertical="center" wrapText="1"/>
    </xf>
    <xf numFmtId="0" fontId="47" fillId="16" borderId="63" xfId="0" applyFont="1" applyFill="1" applyBorder="1" applyAlignment="1">
      <alignment horizontal="center" vertical="center" wrapText="1"/>
    </xf>
    <xf numFmtId="3" fontId="62" fillId="38" borderId="162" xfId="0" applyNumberFormat="1" applyFont="1" applyFill="1" applyBorder="1" applyAlignment="1">
      <alignment horizontal="center" vertical="center"/>
    </xf>
    <xf numFmtId="3" fontId="1" fillId="43" borderId="38" xfId="30" applyNumberFormat="1" applyFont="1" applyFill="1" applyBorder="1" applyAlignment="1">
      <alignment horizontal="center" vertical="center"/>
    </xf>
    <xf numFmtId="9" fontId="8" fillId="0" borderId="100" xfId="16" applyFont="1" applyBorder="1" applyAlignment="1">
      <alignment horizontal="center" vertical="center"/>
    </xf>
    <xf numFmtId="9" fontId="8" fillId="17" borderId="90" xfId="16" applyFont="1" applyFill="1" applyBorder="1" applyAlignment="1">
      <alignment horizontal="center" vertical="center"/>
    </xf>
    <xf numFmtId="10" fontId="35" fillId="19" borderId="0" xfId="16" applyNumberFormat="1" applyFont="1" applyFill="1" applyAlignment="1">
      <alignment horizontal="center"/>
    </xf>
    <xf numFmtId="168" fontId="35" fillId="19" borderId="0" xfId="16" applyNumberFormat="1" applyFont="1" applyFill="1" applyAlignment="1">
      <alignment horizontal="center"/>
    </xf>
    <xf numFmtId="10" fontId="35" fillId="19" borderId="0" xfId="0" applyNumberFormat="1" applyFont="1" applyFill="1" applyAlignment="1">
      <alignment horizontal="center"/>
    </xf>
    <xf numFmtId="0" fontId="1" fillId="0" borderId="40" xfId="0" applyFont="1" applyBorder="1"/>
    <xf numFmtId="166" fontId="1" fillId="0" borderId="40" xfId="0" applyNumberFormat="1" applyFont="1" applyBorder="1" applyAlignment="1">
      <alignment horizontal="center"/>
    </xf>
    <xf numFmtId="166" fontId="1" fillId="0" borderId="0" xfId="0" applyNumberFormat="1" applyFont="1" applyAlignment="1">
      <alignment horizontal="center"/>
    </xf>
    <xf numFmtId="4" fontId="5" fillId="0" borderId="165" xfId="29" applyNumberFormat="1" applyBorder="1" applyAlignment="1">
      <alignment horizontal="center"/>
    </xf>
    <xf numFmtId="173" fontId="8" fillId="24" borderId="17" xfId="0" applyNumberFormat="1" applyFont="1" applyFill="1" applyBorder="1" applyAlignment="1">
      <alignment horizontal="center" vertical="center"/>
    </xf>
    <xf numFmtId="3" fontId="5" fillId="0" borderId="145" xfId="29" applyNumberFormat="1" applyBorder="1" applyAlignment="1">
      <alignment horizontal="center"/>
    </xf>
    <xf numFmtId="1" fontId="54" fillId="0" borderId="142" xfId="0" applyNumberFormat="1" applyFont="1" applyBorder="1" applyAlignment="1">
      <alignment horizontal="center" vertical="center"/>
    </xf>
    <xf numFmtId="1" fontId="54" fillId="0" borderId="143" xfId="0" applyNumberFormat="1" applyFont="1" applyBorder="1" applyAlignment="1">
      <alignment horizontal="center" vertical="center"/>
    </xf>
    <xf numFmtId="1" fontId="54" fillId="0" borderId="144" xfId="0" applyNumberFormat="1" applyFont="1" applyBorder="1" applyAlignment="1">
      <alignment horizontal="center" vertical="center"/>
    </xf>
    <xf numFmtId="4" fontId="5" fillId="0" borderId="146" xfId="29" applyNumberFormat="1" applyBorder="1" applyAlignment="1">
      <alignment horizontal="center"/>
    </xf>
    <xf numFmtId="4" fontId="5" fillId="0" borderId="159" xfId="29" applyNumberFormat="1" applyBorder="1" applyAlignment="1">
      <alignment horizontal="center"/>
    </xf>
    <xf numFmtId="4" fontId="5" fillId="0" borderId="160" xfId="29" applyNumberFormat="1" applyBorder="1" applyAlignment="1">
      <alignment horizontal="center"/>
    </xf>
    <xf numFmtId="0" fontId="8" fillId="0" borderId="225" xfId="0" quotePrefix="1" applyFont="1" applyBorder="1" applyAlignment="1">
      <alignment horizontal="center" vertical="center"/>
    </xf>
    <xf numFmtId="0" fontId="8" fillId="0" borderId="39" xfId="0" quotePrefix="1" applyFont="1" applyBorder="1" applyAlignment="1">
      <alignment horizontal="center" vertical="center"/>
    </xf>
    <xf numFmtId="0" fontId="54" fillId="0" borderId="0" xfId="0" applyFont="1" applyAlignment="1">
      <alignment horizontal="center" vertical="center"/>
    </xf>
    <xf numFmtId="0" fontId="8" fillId="0" borderId="0" xfId="24" applyAlignment="1">
      <alignment horizontal="center"/>
    </xf>
    <xf numFmtId="0" fontId="54" fillId="0" borderId="221" xfId="0" applyFont="1" applyBorder="1" applyAlignment="1">
      <alignment horizontal="center" vertical="center"/>
    </xf>
    <xf numFmtId="10" fontId="8" fillId="0" borderId="40" xfId="0" applyNumberFormat="1" applyFont="1" applyBorder="1" applyAlignment="1">
      <alignment horizontal="center" vertical="center"/>
    </xf>
    <xf numFmtId="2" fontId="8" fillId="0" borderId="0" xfId="24" applyNumberFormat="1" applyAlignment="1">
      <alignment horizontal="center" vertical="center"/>
    </xf>
    <xf numFmtId="0" fontId="65" fillId="0" borderId="40" xfId="29" applyFont="1" applyBorder="1"/>
    <xf numFmtId="167" fontId="13" fillId="0" borderId="226" xfId="0" applyNumberFormat="1" applyFont="1" applyBorder="1" applyAlignment="1">
      <alignment horizontal="center"/>
    </xf>
    <xf numFmtId="167" fontId="13" fillId="0" borderId="35" xfId="0" applyNumberFormat="1" applyFont="1" applyBorder="1" applyAlignment="1">
      <alignment horizontal="center"/>
    </xf>
    <xf numFmtId="167" fontId="13" fillId="0" borderId="227" xfId="0" applyNumberFormat="1" applyFont="1" applyBorder="1" applyAlignment="1">
      <alignment horizontal="center"/>
    </xf>
    <xf numFmtId="0" fontId="13" fillId="0" borderId="226" xfId="0" applyFont="1" applyBorder="1" applyAlignment="1">
      <alignment horizontal="center"/>
    </xf>
    <xf numFmtId="10" fontId="0" fillId="33" borderId="65" xfId="0" applyNumberFormat="1" applyFill="1" applyBorder="1"/>
    <xf numFmtId="167" fontId="0" fillId="0" borderId="229" xfId="0" applyNumberFormat="1" applyBorder="1" applyAlignment="1">
      <alignment horizontal="center"/>
    </xf>
    <xf numFmtId="167" fontId="0" fillId="0" borderId="45" xfId="0" applyNumberFormat="1" applyBorder="1" applyAlignment="1">
      <alignment horizontal="center"/>
    </xf>
    <xf numFmtId="166" fontId="8" fillId="0" borderId="90" xfId="0" applyNumberFormat="1" applyFont="1" applyBorder="1" applyAlignment="1">
      <alignment horizontal="center"/>
    </xf>
    <xf numFmtId="1" fontId="8" fillId="0" borderId="230" xfId="0" applyNumberFormat="1" applyFont="1" applyBorder="1" applyAlignment="1">
      <alignment horizontal="center" vertical="center"/>
    </xf>
    <xf numFmtId="1" fontId="8" fillId="0" borderId="231" xfId="0" applyNumberFormat="1" applyFont="1" applyBorder="1" applyAlignment="1">
      <alignment horizontal="center" vertical="center"/>
    </xf>
    <xf numFmtId="1" fontId="8" fillId="0" borderId="232" xfId="0" applyNumberFormat="1" applyFont="1" applyBorder="1" applyAlignment="1">
      <alignment horizontal="center" vertical="center"/>
    </xf>
    <xf numFmtId="3" fontId="8" fillId="0" borderId="233" xfId="0" applyNumberFormat="1" applyFont="1" applyBorder="1" applyAlignment="1">
      <alignment horizontal="center" vertical="center"/>
    </xf>
    <xf numFmtId="1" fontId="59" fillId="0" borderId="234" xfId="0" applyNumberFormat="1" applyFont="1" applyBorder="1" applyAlignment="1">
      <alignment horizontal="center" vertical="center"/>
    </xf>
    <xf numFmtId="1" fontId="59" fillId="41" borderId="235" xfId="0" applyNumberFormat="1" applyFont="1" applyFill="1" applyBorder="1" applyAlignment="1">
      <alignment horizontal="center" vertical="center"/>
    </xf>
    <xf numFmtId="1" fontId="59" fillId="41" borderId="236" xfId="0" applyNumberFormat="1" applyFont="1" applyFill="1" applyBorder="1" applyAlignment="1">
      <alignment horizontal="center" vertical="center"/>
    </xf>
    <xf numFmtId="1" fontId="59" fillId="0" borderId="233" xfId="0" applyNumberFormat="1" applyFont="1" applyBorder="1" applyAlignment="1">
      <alignment horizontal="center" vertical="center"/>
    </xf>
    <xf numFmtId="1" fontId="59" fillId="41" borderId="233" xfId="0" applyNumberFormat="1" applyFont="1" applyFill="1" applyBorder="1" applyAlignment="1">
      <alignment horizontal="center" vertical="center"/>
    </xf>
    <xf numFmtId="1" fontId="59" fillId="41" borderId="234" xfId="0" applyNumberFormat="1" applyFont="1" applyFill="1" applyBorder="1" applyAlignment="1">
      <alignment horizontal="center" vertical="center"/>
    </xf>
    <xf numFmtId="0" fontId="8" fillId="0" borderId="237" xfId="0" quotePrefix="1" applyFont="1" applyBorder="1" applyAlignment="1">
      <alignment horizontal="center" vertical="center"/>
    </xf>
    <xf numFmtId="0" fontId="8" fillId="0" borderId="234" xfId="0" quotePrefix="1" applyFont="1" applyBorder="1" applyAlignment="1">
      <alignment horizontal="center" vertical="center"/>
    </xf>
    <xf numFmtId="1" fontId="59" fillId="0" borderId="236" xfId="0" applyNumberFormat="1" applyFont="1" applyBorder="1" applyAlignment="1">
      <alignment horizontal="center" vertical="center"/>
    </xf>
    <xf numFmtId="3" fontId="59" fillId="41" borderId="238" xfId="0" applyNumberFormat="1" applyFont="1" applyFill="1" applyBorder="1" applyAlignment="1">
      <alignment horizontal="center" vertical="center"/>
    </xf>
    <xf numFmtId="3" fontId="59" fillId="41" borderId="239" xfId="0" applyNumberFormat="1" applyFont="1" applyFill="1" applyBorder="1" applyAlignment="1">
      <alignment horizontal="center" vertical="center"/>
    </xf>
    <xf numFmtId="3" fontId="59" fillId="41" borderId="240" xfId="0" applyNumberFormat="1" applyFont="1" applyFill="1" applyBorder="1" applyAlignment="1">
      <alignment horizontal="center" vertical="center"/>
    </xf>
    <xf numFmtId="3" fontId="59" fillId="41" borderId="241" xfId="0" applyNumberFormat="1" applyFont="1" applyFill="1" applyBorder="1" applyAlignment="1">
      <alignment horizontal="center" vertical="center"/>
    </xf>
    <xf numFmtId="3" fontId="59" fillId="41" borderId="242" xfId="0" applyNumberFormat="1" applyFont="1" applyFill="1" applyBorder="1" applyAlignment="1">
      <alignment horizontal="center" vertical="center"/>
    </xf>
    <xf numFmtId="0" fontId="59" fillId="0" borderId="161" xfId="0" applyFont="1" applyBorder="1" applyAlignment="1">
      <alignment horizontal="center" vertical="center"/>
    </xf>
    <xf numFmtId="0" fontId="59" fillId="0" borderId="38" xfId="0" applyFont="1" applyBorder="1" applyAlignment="1">
      <alignment horizontal="center" vertical="center"/>
    </xf>
    <xf numFmtId="3" fontId="59" fillId="40" borderId="38" xfId="0" applyNumberFormat="1" applyFont="1" applyFill="1" applyBorder="1" applyAlignment="1">
      <alignment horizontal="center" vertical="center"/>
    </xf>
    <xf numFmtId="0" fontId="59" fillId="41" borderId="38" xfId="0" applyFont="1" applyFill="1" applyBorder="1" applyAlignment="1">
      <alignment horizontal="center" vertical="center"/>
    </xf>
    <xf numFmtId="3" fontId="59" fillId="40" borderId="38" xfId="0" quotePrefix="1" applyNumberFormat="1" applyFont="1" applyFill="1" applyBorder="1" applyAlignment="1">
      <alignment horizontal="center" vertical="center"/>
    </xf>
    <xf numFmtId="3" fontId="59" fillId="0" borderId="38" xfId="0" applyNumberFormat="1" applyFont="1" applyBorder="1" applyAlignment="1">
      <alignment horizontal="center" vertical="center"/>
    </xf>
    <xf numFmtId="0" fontId="56" fillId="0" borderId="110" xfId="0" applyFont="1" applyBorder="1" applyAlignment="1">
      <alignment horizontal="center"/>
    </xf>
    <xf numFmtId="0" fontId="13" fillId="0" borderId="235" xfId="0" applyFont="1" applyBorder="1" applyAlignment="1">
      <alignment horizontal="center"/>
    </xf>
    <xf numFmtId="0" fontId="8" fillId="37" borderId="243" xfId="0" applyFont="1" applyFill="1" applyBorder="1"/>
    <xf numFmtId="0" fontId="13" fillId="0" borderId="243" xfId="0" applyFont="1" applyBorder="1"/>
    <xf numFmtId="0" fontId="8" fillId="0" borderId="243" xfId="0" applyFont="1" applyBorder="1"/>
    <xf numFmtId="0" fontId="13" fillId="0" borderId="244" xfId="0" applyFont="1" applyBorder="1" applyAlignment="1">
      <alignment horizontal="center"/>
    </xf>
    <xf numFmtId="0" fontId="8" fillId="0" borderId="141" xfId="0" applyFont="1" applyBorder="1"/>
    <xf numFmtId="9" fontId="33" fillId="38" borderId="174" xfId="16" applyFont="1" applyFill="1" applyBorder="1" applyAlignment="1">
      <alignment horizontal="center" vertical="center"/>
    </xf>
    <xf numFmtId="3" fontId="1" fillId="43" borderId="1" xfId="30" applyNumberFormat="1" applyFont="1" applyFill="1" applyBorder="1" applyAlignment="1">
      <alignment horizontal="center" vertical="center"/>
    </xf>
    <xf numFmtId="168" fontId="33" fillId="38" borderId="39" xfId="16" applyNumberFormat="1" applyFont="1" applyFill="1" applyBorder="1" applyAlignment="1">
      <alignment horizontal="center" vertical="center"/>
    </xf>
    <xf numFmtId="3" fontId="62" fillId="0" borderId="39" xfId="0" applyNumberFormat="1" applyFont="1" applyBorder="1" applyAlignment="1">
      <alignment horizontal="center" vertical="center"/>
    </xf>
    <xf numFmtId="0" fontId="68" fillId="38" borderId="39" xfId="0" applyFont="1" applyFill="1" applyBorder="1" applyAlignment="1">
      <alignment horizontal="center" vertical="center"/>
    </xf>
    <xf numFmtId="3" fontId="25" fillId="38" borderId="39" xfId="0" applyNumberFormat="1" applyFont="1" applyFill="1" applyBorder="1" applyAlignment="1">
      <alignment horizontal="center" vertical="center"/>
    </xf>
    <xf numFmtId="3" fontId="62" fillId="38" borderId="39" xfId="0" applyNumberFormat="1" applyFont="1" applyFill="1" applyBorder="1" applyAlignment="1">
      <alignment horizontal="center" vertical="center"/>
    </xf>
    <xf numFmtId="0" fontId="62" fillId="0" borderId="39" xfId="0" applyFont="1" applyBorder="1" applyAlignment="1">
      <alignment horizontal="center" vertical="center"/>
    </xf>
    <xf numFmtId="3" fontId="68" fillId="38" borderId="39" xfId="0" quotePrefix="1" applyNumberFormat="1" applyFont="1" applyFill="1" applyBorder="1" applyAlignment="1">
      <alignment horizontal="center" vertical="center"/>
    </xf>
    <xf numFmtId="0" fontId="62" fillId="38" borderId="245" xfId="0" applyFont="1" applyFill="1" applyBorder="1" applyAlignment="1">
      <alignment horizontal="center" vertical="center"/>
    </xf>
    <xf numFmtId="0" fontId="56" fillId="0" borderId="246" xfId="0" applyFont="1" applyBorder="1" applyAlignment="1">
      <alignment horizontal="center"/>
    </xf>
    <xf numFmtId="0" fontId="57" fillId="0" borderId="183" xfId="0" applyFont="1" applyBorder="1" applyAlignment="1">
      <alignment horizontal="center"/>
    </xf>
    <xf numFmtId="0" fontId="13" fillId="37" borderId="243" xfId="0" applyFont="1" applyFill="1" applyBorder="1"/>
    <xf numFmtId="0" fontId="27" fillId="32" borderId="21" xfId="0" applyFont="1" applyFill="1" applyBorder="1" applyAlignment="1">
      <alignment horizontal="center"/>
    </xf>
    <xf numFmtId="14" fontId="13" fillId="0" borderId="248" xfId="0" applyNumberFormat="1" applyFont="1" applyBorder="1" applyAlignment="1">
      <alignment horizontal="center" vertical="center"/>
    </xf>
    <xf numFmtId="14" fontId="13" fillId="0" borderId="249" xfId="0" applyNumberFormat="1" applyFont="1" applyBorder="1" applyAlignment="1">
      <alignment horizontal="center" vertical="center"/>
    </xf>
    <xf numFmtId="0" fontId="8" fillId="0" borderId="253" xfId="0" applyFont="1" applyBorder="1" applyAlignment="1">
      <alignment horizontal="center" vertical="center"/>
    </xf>
    <xf numFmtId="0" fontId="0" fillId="0" borderId="254" xfId="0" applyBorder="1" applyAlignment="1">
      <alignment horizontal="center" vertical="center"/>
    </xf>
    <xf numFmtId="0" fontId="0" fillId="0" borderId="255" xfId="0" applyBorder="1"/>
    <xf numFmtId="0" fontId="0" fillId="0" borderId="255" xfId="0" quotePrefix="1" applyBorder="1"/>
    <xf numFmtId="2" fontId="0" fillId="24" borderId="256" xfId="16" applyNumberFormat="1" applyFont="1" applyFill="1" applyBorder="1" applyAlignment="1">
      <alignment horizontal="center"/>
    </xf>
    <xf numFmtId="168" fontId="0" fillId="24" borderId="256" xfId="16" applyNumberFormat="1" applyFont="1" applyFill="1" applyBorder="1" applyAlignment="1">
      <alignment horizontal="center"/>
    </xf>
    <xf numFmtId="169" fontId="0" fillId="24" borderId="256" xfId="16" applyNumberFormat="1" applyFont="1" applyFill="1" applyBorder="1" applyAlignment="1">
      <alignment horizontal="center"/>
    </xf>
    <xf numFmtId="169" fontId="0" fillId="24" borderId="256" xfId="0" applyNumberFormat="1" applyFill="1" applyBorder="1" applyAlignment="1">
      <alignment horizontal="center"/>
    </xf>
    <xf numFmtId="0" fontId="13" fillId="0" borderId="255" xfId="0" applyFont="1" applyBorder="1" applyAlignment="1">
      <alignment horizontal="center"/>
    </xf>
    <xf numFmtId="0" fontId="0" fillId="7" borderId="0" xfId="0" applyFill="1"/>
    <xf numFmtId="14" fontId="40" fillId="0" borderId="250" xfId="0" applyNumberFormat="1" applyFont="1" applyBorder="1" applyAlignment="1">
      <alignment horizontal="center" vertical="center"/>
    </xf>
    <xf numFmtId="178" fontId="8" fillId="24" borderId="17" xfId="0" applyNumberFormat="1" applyFont="1" applyFill="1" applyBorder="1" applyAlignment="1">
      <alignment horizontal="center"/>
    </xf>
    <xf numFmtId="179" fontId="8" fillId="24" borderId="17" xfId="34" applyNumberFormat="1" applyFont="1" applyFill="1" applyBorder="1" applyAlignment="1">
      <alignment horizontal="center" vertical="center"/>
    </xf>
    <xf numFmtId="10" fontId="0" fillId="24" borderId="256" xfId="16" applyNumberFormat="1" applyFont="1" applyFill="1" applyBorder="1" applyAlignment="1">
      <alignment horizontal="center"/>
    </xf>
    <xf numFmtId="9" fontId="8" fillId="0" borderId="84" xfId="0" applyNumberFormat="1" applyFont="1" applyBorder="1" applyAlignment="1">
      <alignment horizontal="center"/>
    </xf>
    <xf numFmtId="1" fontId="0" fillId="0" borderId="84" xfId="0" applyNumberFormat="1" applyBorder="1" applyAlignment="1">
      <alignment horizontal="center"/>
    </xf>
    <xf numFmtId="9" fontId="81" fillId="0" borderId="83" xfId="16" applyFont="1" applyBorder="1"/>
    <xf numFmtId="10" fontId="81" fillId="33" borderId="81" xfId="0" applyNumberFormat="1" applyFont="1" applyFill="1" applyBorder="1"/>
    <xf numFmtId="9" fontId="81" fillId="0" borderId="71" xfId="0" applyNumberFormat="1" applyFont="1" applyBorder="1" applyAlignment="1">
      <alignment horizontal="center"/>
    </xf>
    <xf numFmtId="0" fontId="82" fillId="0" borderId="83" xfId="0" applyFont="1" applyBorder="1" applyAlignment="1">
      <alignment horizontal="left"/>
    </xf>
    <xf numFmtId="1" fontId="82" fillId="0" borderId="84" xfId="0" applyNumberFormat="1" applyFont="1" applyBorder="1" applyAlignment="1">
      <alignment horizontal="center"/>
    </xf>
    <xf numFmtId="0" fontId="82" fillId="0" borderId="78" xfId="0" applyFont="1" applyBorder="1" applyAlignment="1">
      <alignment horizontal="left"/>
    </xf>
    <xf numFmtId="1" fontId="13" fillId="0" borderId="226" xfId="0" applyNumberFormat="1" applyFont="1" applyBorder="1" applyAlignment="1">
      <alignment horizontal="center"/>
    </xf>
    <xf numFmtId="1" fontId="13" fillId="0" borderId="35" xfId="0" applyNumberFormat="1" applyFont="1" applyBorder="1" applyAlignment="1">
      <alignment horizontal="center"/>
    </xf>
    <xf numFmtId="1" fontId="13" fillId="0" borderId="227" xfId="0" applyNumberFormat="1" applyFont="1" applyBorder="1" applyAlignment="1">
      <alignment horizontal="center"/>
    </xf>
    <xf numFmtId="9" fontId="8" fillId="0" borderId="77" xfId="0" applyNumberFormat="1" applyFont="1" applyBorder="1" applyAlignment="1">
      <alignment horizontal="center"/>
    </xf>
    <xf numFmtId="9" fontId="8" fillId="0" borderId="78" xfId="0" applyNumberFormat="1" applyFont="1" applyBorder="1" applyAlignment="1">
      <alignment horizontal="center"/>
    </xf>
    <xf numFmtId="9" fontId="13" fillId="0" borderId="63" xfId="0" applyNumberFormat="1" applyFont="1" applyBorder="1" applyAlignment="1">
      <alignment horizontal="center"/>
    </xf>
    <xf numFmtId="9" fontId="8" fillId="0" borderId="79" xfId="0" applyNumberFormat="1" applyFont="1" applyBorder="1" applyAlignment="1">
      <alignment horizontal="center"/>
    </xf>
    <xf numFmtId="9" fontId="81" fillId="0" borderId="84" xfId="0" applyNumberFormat="1" applyFont="1" applyBorder="1" applyAlignment="1">
      <alignment horizontal="center"/>
    </xf>
    <xf numFmtId="9" fontId="0" fillId="0" borderId="83" xfId="0" applyNumberFormat="1" applyBorder="1" applyAlignment="1">
      <alignment horizontal="center"/>
    </xf>
    <xf numFmtId="9" fontId="81" fillId="0" borderId="83" xfId="0" applyNumberFormat="1" applyFont="1" applyBorder="1" applyAlignment="1">
      <alignment horizontal="center"/>
    </xf>
    <xf numFmtId="9" fontId="8" fillId="0" borderId="83" xfId="0" applyNumberFormat="1" applyFont="1" applyBorder="1" applyAlignment="1">
      <alignment horizontal="center"/>
    </xf>
    <xf numFmtId="9" fontId="81" fillId="0" borderId="78" xfId="0" applyNumberFormat="1" applyFont="1" applyBorder="1" applyAlignment="1">
      <alignment horizontal="center"/>
    </xf>
    <xf numFmtId="1" fontId="0" fillId="0" borderId="0" xfId="0" applyNumberFormat="1" applyAlignment="1">
      <alignment horizontal="center"/>
    </xf>
    <xf numFmtId="0" fontId="10" fillId="0" borderId="0" xfId="11" applyAlignment="1" applyProtection="1"/>
    <xf numFmtId="0" fontId="0" fillId="18" borderId="0" xfId="0" applyFill="1"/>
    <xf numFmtId="0" fontId="43" fillId="0" borderId="0" xfId="0" applyFont="1"/>
    <xf numFmtId="0" fontId="9" fillId="0" borderId="0" xfId="0" applyFont="1"/>
    <xf numFmtId="0" fontId="8" fillId="8" borderId="17" xfId="0" applyFont="1" applyFill="1" applyBorder="1" applyAlignment="1">
      <alignment horizontal="left" vertical="center" wrapText="1"/>
    </xf>
    <xf numFmtId="3" fontId="8" fillId="0" borderId="0" xfId="24" applyNumberFormat="1"/>
    <xf numFmtId="0" fontId="0" fillId="0" borderId="0" xfId="0" applyAlignment="1">
      <alignment horizontal="left"/>
    </xf>
    <xf numFmtId="177" fontId="75" fillId="0" borderId="0" xfId="24" applyNumberFormat="1" applyFont="1"/>
    <xf numFmtId="0" fontId="13" fillId="0" borderId="148" xfId="0" applyFont="1" applyBorder="1" applyAlignment="1">
      <alignment horizontal="center" wrapText="1"/>
    </xf>
    <xf numFmtId="168" fontId="33" fillId="8" borderId="38" xfId="16" applyNumberFormat="1" applyFont="1" applyFill="1" applyBorder="1" applyAlignment="1">
      <alignment horizontal="center" vertical="center"/>
    </xf>
    <xf numFmtId="3" fontId="68" fillId="38" borderId="39" xfId="0" applyNumberFormat="1" applyFont="1" applyFill="1" applyBorder="1" applyAlignment="1">
      <alignment horizontal="center" vertical="center"/>
    </xf>
    <xf numFmtId="2" fontId="76" fillId="46" borderId="0" xfId="16" applyNumberFormat="1" applyFont="1" applyFill="1" applyAlignment="1">
      <alignment horizontal="center"/>
    </xf>
    <xf numFmtId="0" fontId="86" fillId="0" borderId="56" xfId="0" applyFont="1" applyBorder="1"/>
    <xf numFmtId="0" fontId="86" fillId="0" borderId="57" xfId="0" applyFont="1" applyBorder="1"/>
    <xf numFmtId="0" fontId="86" fillId="0" borderId="44" xfId="0" applyFont="1" applyBorder="1"/>
    <xf numFmtId="0" fontId="86" fillId="0" borderId="0" xfId="0" applyFont="1"/>
    <xf numFmtId="0" fontId="0" fillId="0" borderId="0" xfId="0" applyAlignment="1">
      <alignment horizontal="center" vertical="center" wrapText="1"/>
    </xf>
    <xf numFmtId="0" fontId="86" fillId="0" borderId="59" xfId="0" applyFont="1" applyBorder="1"/>
    <xf numFmtId="0" fontId="86" fillId="0" borderId="64" xfId="0" applyFont="1" applyBorder="1"/>
    <xf numFmtId="0" fontId="0" fillId="0" borderId="64" xfId="0" applyBorder="1" applyAlignment="1">
      <alignment horizontal="center" vertical="center" wrapText="1"/>
    </xf>
    <xf numFmtId="0" fontId="87" fillId="0" borderId="44" xfId="0" applyFont="1" applyBorder="1"/>
    <xf numFmtId="0" fontId="38" fillId="23" borderId="0" xfId="0" applyFont="1" applyFill="1"/>
    <xf numFmtId="0" fontId="38" fillId="9" borderId="0" xfId="0" applyFont="1" applyFill="1"/>
    <xf numFmtId="0" fontId="38" fillId="12" borderId="0" xfId="0" applyFont="1" applyFill="1"/>
    <xf numFmtId="3" fontId="38" fillId="9" borderId="0" xfId="0" applyNumberFormat="1" applyFont="1" applyFill="1"/>
    <xf numFmtId="10" fontId="38" fillId="0" borderId="0" xfId="0" applyNumberFormat="1" applyFont="1"/>
    <xf numFmtId="10" fontId="38" fillId="0" borderId="0" xfId="16" applyNumberFormat="1" applyFont="1"/>
    <xf numFmtId="9" fontId="76" fillId="46" borderId="0" xfId="16" applyFont="1" applyFill="1" applyAlignment="1">
      <alignment horizontal="center"/>
    </xf>
    <xf numFmtId="10" fontId="75" fillId="0" borderId="0" xfId="16" applyNumberFormat="1" applyFont="1"/>
    <xf numFmtId="10" fontId="76" fillId="46" borderId="0" xfId="16" applyNumberFormat="1" applyFont="1" applyFill="1" applyBorder="1" applyAlignment="1">
      <alignment horizontal="center"/>
    </xf>
    <xf numFmtId="2" fontId="75" fillId="0" borderId="0" xfId="16" applyNumberFormat="1" applyFont="1" applyAlignment="1">
      <alignment horizontal="center"/>
    </xf>
    <xf numFmtId="2" fontId="8" fillId="0" borderId="0" xfId="24" applyNumberFormat="1"/>
    <xf numFmtId="180" fontId="54" fillId="0" borderId="0" xfId="16" applyNumberFormat="1" applyFont="1"/>
    <xf numFmtId="0" fontId="42" fillId="23" borderId="0" xfId="0" applyFont="1" applyFill="1"/>
    <xf numFmtId="0" fontId="35" fillId="0" borderId="0" xfId="0" applyFont="1" applyAlignment="1">
      <alignment horizontal="center" vertical="top" wrapText="1"/>
    </xf>
    <xf numFmtId="0" fontId="0" fillId="0" borderId="51" xfId="0" applyBorder="1" applyAlignment="1">
      <alignment horizontal="left"/>
    </xf>
    <xf numFmtId="0" fontId="0" fillId="0" borderId="52" xfId="0" applyBorder="1" applyAlignment="1">
      <alignment horizontal="left"/>
    </xf>
    <xf numFmtId="0" fontId="8" fillId="16" borderId="51" xfId="0" applyFont="1" applyFill="1" applyBorder="1" applyAlignment="1">
      <alignment horizontal="left"/>
    </xf>
    <xf numFmtId="0" fontId="8" fillId="16" borderId="52" xfId="0" applyFont="1" applyFill="1" applyBorder="1" applyAlignment="1">
      <alignment horizontal="left"/>
    </xf>
    <xf numFmtId="0" fontId="47" fillId="5" borderId="255" xfId="0" applyFont="1" applyFill="1" applyBorder="1" applyAlignment="1">
      <alignment horizontal="center"/>
    </xf>
    <xf numFmtId="0" fontId="47" fillId="5" borderId="17" xfId="0" applyFont="1" applyFill="1" applyBorder="1" applyAlignment="1">
      <alignment horizontal="center"/>
    </xf>
    <xf numFmtId="0" fontId="46" fillId="18" borderId="59" xfId="0" applyFont="1" applyFill="1" applyBorder="1" applyAlignment="1">
      <alignment horizontal="center"/>
    </xf>
    <xf numFmtId="0" fontId="46" fillId="18" borderId="64" xfId="0" applyFont="1" applyFill="1" applyBorder="1" applyAlignment="1">
      <alignment horizontal="center"/>
    </xf>
    <xf numFmtId="0" fontId="46" fillId="18" borderId="65" xfId="0" applyFont="1" applyFill="1" applyBorder="1" applyAlignment="1">
      <alignment horizontal="center"/>
    </xf>
    <xf numFmtId="167" fontId="9" fillId="12" borderId="140" xfId="0" applyNumberFormat="1" applyFont="1" applyFill="1" applyBorder="1" applyAlignment="1">
      <alignment horizontal="center" vertical="center"/>
    </xf>
    <xf numFmtId="167" fontId="9" fillId="12" borderId="117" xfId="0" applyNumberFormat="1" applyFont="1" applyFill="1" applyBorder="1" applyAlignment="1">
      <alignment horizontal="center" vertical="center"/>
    </xf>
    <xf numFmtId="167" fontId="9" fillId="12" borderId="141" xfId="0" applyNumberFormat="1" applyFont="1" applyFill="1" applyBorder="1" applyAlignment="1">
      <alignment horizontal="center" vertical="center"/>
    </xf>
    <xf numFmtId="0" fontId="13" fillId="0" borderId="19" xfId="0" applyFont="1" applyBorder="1" applyAlignment="1">
      <alignment horizontal="center"/>
    </xf>
    <xf numFmtId="0" fontId="13" fillId="0" borderId="20" xfId="0" applyFont="1" applyBorder="1" applyAlignment="1">
      <alignment horizontal="center"/>
    </xf>
    <xf numFmtId="0" fontId="9" fillId="12" borderId="0" xfId="0" applyFont="1" applyFill="1" applyAlignment="1">
      <alignment horizontal="center" vertical="center" wrapText="1"/>
    </xf>
    <xf numFmtId="0" fontId="9" fillId="12" borderId="133" xfId="0" applyFont="1" applyFill="1" applyBorder="1" applyAlignment="1">
      <alignment horizontal="center" vertical="center" wrapText="1"/>
    </xf>
    <xf numFmtId="0" fontId="34" fillId="8" borderId="179" xfId="0" applyFont="1" applyFill="1" applyBorder="1" applyAlignment="1">
      <alignment horizontal="center" vertical="center" wrapText="1"/>
    </xf>
    <xf numFmtId="0" fontId="0" fillId="8" borderId="180" xfId="0" applyFill="1" applyBorder="1" applyAlignment="1">
      <alignment horizontal="center" vertical="center" wrapText="1"/>
    </xf>
    <xf numFmtId="0" fontId="0" fillId="8" borderId="181" xfId="0" applyFill="1" applyBorder="1" applyAlignment="1">
      <alignment horizontal="center" vertical="center" wrapText="1"/>
    </xf>
    <xf numFmtId="0" fontId="34" fillId="8" borderId="119" xfId="0" applyFont="1" applyFill="1" applyBorder="1" applyAlignment="1">
      <alignment horizontal="center" vertical="center" wrapText="1"/>
    </xf>
    <xf numFmtId="0" fontId="34" fillId="8" borderId="133" xfId="0" applyFont="1" applyFill="1" applyBorder="1" applyAlignment="1">
      <alignment horizontal="center" vertical="center" wrapText="1"/>
    </xf>
    <xf numFmtId="0" fontId="34" fillId="8" borderId="141" xfId="0" applyFont="1" applyFill="1" applyBorder="1" applyAlignment="1">
      <alignment horizontal="center" vertical="center" wrapText="1"/>
    </xf>
    <xf numFmtId="0" fontId="9" fillId="0" borderId="251" xfId="0" applyFont="1" applyBorder="1" applyAlignment="1">
      <alignment horizontal="center" vertical="center"/>
    </xf>
    <xf numFmtId="0" fontId="9" fillId="0" borderId="57" xfId="0" applyFont="1" applyBorder="1" applyAlignment="1">
      <alignment horizontal="center" vertical="center"/>
    </xf>
    <xf numFmtId="0" fontId="9" fillId="0" borderId="252" xfId="0" applyFont="1" applyBorder="1" applyAlignment="1">
      <alignment horizontal="center" vertical="center"/>
    </xf>
    <xf numFmtId="0" fontId="27" fillId="32" borderId="28" xfId="0" applyFont="1" applyFill="1" applyBorder="1" applyAlignment="1">
      <alignment horizontal="center"/>
    </xf>
    <xf numFmtId="0" fontId="27" fillId="32" borderId="22" xfId="0" applyFont="1" applyFill="1" applyBorder="1" applyAlignment="1">
      <alignment horizontal="center"/>
    </xf>
    <xf numFmtId="0" fontId="27" fillId="32" borderId="21" xfId="0" applyFont="1" applyFill="1" applyBorder="1" applyAlignment="1">
      <alignment horizontal="center"/>
    </xf>
    <xf numFmtId="0" fontId="27" fillId="32" borderId="19" xfId="0" applyFont="1" applyFill="1" applyBorder="1" applyAlignment="1">
      <alignment horizontal="center"/>
    </xf>
    <xf numFmtId="14" fontId="13" fillId="0" borderId="21" xfId="0" applyNumberFormat="1" applyFont="1" applyBorder="1" applyAlignment="1">
      <alignment horizontal="center"/>
    </xf>
    <xf numFmtId="14" fontId="13" fillId="0" borderId="20" xfId="0" applyNumberFormat="1" applyFont="1" applyBorder="1" applyAlignment="1">
      <alignment horizontal="center"/>
    </xf>
    <xf numFmtId="0" fontId="8" fillId="0" borderId="17" xfId="0" applyFont="1" applyBorder="1" applyAlignment="1">
      <alignment horizontal="left"/>
    </xf>
    <xf numFmtId="0" fontId="8" fillId="0" borderId="17" xfId="0" quotePrefix="1" applyFont="1" applyBorder="1" applyAlignment="1">
      <alignment horizontal="left"/>
    </xf>
    <xf numFmtId="0" fontId="35" fillId="8" borderId="17" xfId="0" applyFont="1" applyFill="1" applyBorder="1" applyAlignment="1">
      <alignment horizontal="center" vertical="center" wrapText="1"/>
    </xf>
    <xf numFmtId="0" fontId="47" fillId="31" borderId="24" xfId="0" applyFont="1" applyFill="1" applyBorder="1" applyAlignment="1">
      <alignment horizontal="center" vertical="center" wrapText="1"/>
    </xf>
    <xf numFmtId="0" fontId="47" fillId="31" borderId="17" xfId="0" applyFont="1" applyFill="1" applyBorder="1" applyAlignment="1">
      <alignment horizontal="center" vertical="center" wrapText="1"/>
    </xf>
    <xf numFmtId="0" fontId="47" fillId="31" borderId="247" xfId="0" applyFont="1" applyFill="1" applyBorder="1" applyAlignment="1">
      <alignment horizontal="center" vertical="center" wrapText="1"/>
    </xf>
    <xf numFmtId="0" fontId="47" fillId="31" borderId="256" xfId="0" applyFont="1" applyFill="1" applyBorder="1" applyAlignment="1">
      <alignment horizontal="center" vertical="center" wrapText="1"/>
    </xf>
    <xf numFmtId="0" fontId="47" fillId="5" borderId="41" xfId="0" applyFont="1" applyFill="1" applyBorder="1" applyAlignment="1">
      <alignment horizontal="center"/>
    </xf>
    <xf numFmtId="0" fontId="47" fillId="5" borderId="42" xfId="0" applyFont="1" applyFill="1" applyBorder="1" applyAlignment="1">
      <alignment horizontal="center"/>
    </xf>
    <xf numFmtId="0" fontId="47" fillId="5" borderId="43" xfId="0" applyFont="1" applyFill="1" applyBorder="1" applyAlignment="1">
      <alignment horizontal="center"/>
    </xf>
    <xf numFmtId="0" fontId="13" fillId="8" borderId="21" xfId="16" applyNumberFormat="1" applyFont="1" applyFill="1" applyBorder="1" applyAlignment="1">
      <alignment horizontal="left"/>
    </xf>
    <xf numFmtId="0" fontId="13" fillId="8" borderId="20" xfId="16" applyNumberFormat="1" applyFont="1" applyFill="1" applyBorder="1" applyAlignment="1">
      <alignment horizontal="left"/>
    </xf>
    <xf numFmtId="0" fontId="27" fillId="32" borderId="20" xfId="0" applyFont="1" applyFill="1" applyBorder="1" applyAlignment="1">
      <alignment horizontal="center"/>
    </xf>
    <xf numFmtId="0" fontId="47" fillId="5" borderId="133" xfId="0" applyFont="1" applyFill="1" applyBorder="1" applyAlignment="1">
      <alignment horizontal="center"/>
    </xf>
    <xf numFmtId="0" fontId="47" fillId="5" borderId="182" xfId="0" applyFont="1" applyFill="1" applyBorder="1" applyAlignment="1">
      <alignment horizontal="center"/>
    </xf>
    <xf numFmtId="0" fontId="47" fillId="5" borderId="28" xfId="0" applyFont="1" applyFill="1" applyBorder="1" applyAlignment="1">
      <alignment horizontal="center"/>
    </xf>
    <xf numFmtId="0" fontId="47" fillId="5" borderId="22" xfId="0" applyFont="1" applyFill="1" applyBorder="1" applyAlignment="1">
      <alignment horizontal="center"/>
    </xf>
    <xf numFmtId="0" fontId="47" fillId="5" borderId="23" xfId="0" applyFont="1" applyFill="1" applyBorder="1" applyAlignment="1">
      <alignment horizontal="center"/>
    </xf>
    <xf numFmtId="0" fontId="0" fillId="8" borderId="28" xfId="0" applyFill="1" applyBorder="1" applyAlignment="1">
      <alignment horizontal="center" vertical="center" wrapText="1"/>
    </xf>
    <xf numFmtId="0" fontId="0" fillId="8" borderId="23" xfId="0" applyFill="1" applyBorder="1" applyAlignment="1">
      <alignment horizontal="center" vertical="center" wrapText="1"/>
    </xf>
    <xf numFmtId="0" fontId="27" fillId="32" borderId="19" xfId="0" applyFont="1" applyFill="1" applyBorder="1" applyAlignment="1">
      <alignment horizontal="center" vertical="center" wrapText="1"/>
    </xf>
    <xf numFmtId="0" fontId="27" fillId="32" borderId="257" xfId="0" applyFont="1" applyFill="1" applyBorder="1" applyAlignment="1">
      <alignment horizontal="center" vertical="center" wrapText="1"/>
    </xf>
    <xf numFmtId="0" fontId="0" fillId="8" borderId="21" xfId="0" applyFill="1" applyBorder="1" applyAlignment="1">
      <alignment horizontal="center" vertical="center" wrapText="1"/>
    </xf>
    <xf numFmtId="0" fontId="0" fillId="8" borderId="257" xfId="0" applyFill="1" applyBorder="1" applyAlignment="1">
      <alignment horizontal="center" vertical="center" wrapText="1"/>
    </xf>
    <xf numFmtId="0" fontId="13" fillId="0" borderId="122" xfId="0" applyFont="1" applyBorder="1" applyAlignment="1">
      <alignment horizontal="center" vertical="center" wrapText="1"/>
    </xf>
    <xf numFmtId="0" fontId="13" fillId="0" borderId="176" xfId="0" applyFont="1" applyBorder="1" applyAlignment="1">
      <alignment horizontal="center" vertical="center" wrapText="1"/>
    </xf>
    <xf numFmtId="0" fontId="13" fillId="0" borderId="177" xfId="0" applyFont="1" applyBorder="1" applyAlignment="1">
      <alignment horizontal="center" vertical="center" wrapText="1"/>
    </xf>
    <xf numFmtId="0" fontId="13" fillId="0" borderId="120"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19" xfId="0" applyFont="1" applyBorder="1" applyAlignment="1">
      <alignment horizontal="center" vertical="center" wrapText="1"/>
    </xf>
    <xf numFmtId="0" fontId="13" fillId="0" borderId="133" xfId="0" applyFont="1" applyBorder="1" applyAlignment="1">
      <alignment horizontal="center" vertical="center" wrapText="1"/>
    </xf>
    <xf numFmtId="0" fontId="13" fillId="0" borderId="182" xfId="0" applyFont="1" applyBorder="1" applyAlignment="1">
      <alignment horizontal="center" vertical="center" wrapText="1"/>
    </xf>
    <xf numFmtId="0" fontId="21" fillId="0" borderId="255" xfId="0" applyFont="1" applyBorder="1" applyAlignment="1">
      <alignment horizontal="center" wrapText="1"/>
    </xf>
    <xf numFmtId="0" fontId="21" fillId="0" borderId="21" xfId="0" applyFont="1" applyBorder="1" applyAlignment="1">
      <alignment horizontal="center" wrapText="1"/>
    </xf>
    <xf numFmtId="0" fontId="21" fillId="0" borderId="255" xfId="0" applyFont="1" applyBorder="1" applyAlignment="1">
      <alignment horizontal="center" vertical="center" wrapText="1"/>
    </xf>
    <xf numFmtId="0" fontId="21" fillId="0" borderId="21" xfId="0" applyFont="1" applyBorder="1" applyAlignment="1">
      <alignment horizontal="center" vertical="center" wrapText="1"/>
    </xf>
    <xf numFmtId="0" fontId="47" fillId="5" borderId="258" xfId="0" applyFont="1" applyFill="1" applyBorder="1" applyAlignment="1">
      <alignment horizontal="center"/>
    </xf>
    <xf numFmtId="0" fontId="46" fillId="18" borderId="44" xfId="0" applyFont="1" applyFill="1" applyBorder="1" applyAlignment="1">
      <alignment horizontal="center"/>
    </xf>
    <xf numFmtId="0" fontId="46" fillId="18" borderId="0" xfId="0" applyFont="1" applyFill="1" applyAlignment="1">
      <alignment horizontal="center"/>
    </xf>
    <xf numFmtId="0" fontId="46" fillId="18" borderId="45" xfId="0" applyFont="1" applyFill="1" applyBorder="1" applyAlignment="1">
      <alignment horizontal="center"/>
    </xf>
    <xf numFmtId="0" fontId="0" fillId="8" borderId="20" xfId="0" applyFill="1" applyBorder="1" applyAlignment="1">
      <alignment horizontal="center" vertical="center" wrapText="1"/>
    </xf>
    <xf numFmtId="0" fontId="0" fillId="0" borderId="21" xfId="0" applyBorder="1" applyAlignment="1">
      <alignment horizontal="center" vertical="center"/>
    </xf>
    <xf numFmtId="0" fontId="0" fillId="0" borderId="20" xfId="0" applyBorder="1" applyAlignment="1">
      <alignment horizontal="center" vertical="center"/>
    </xf>
    <xf numFmtId="0" fontId="0" fillId="8" borderId="191" xfId="0" applyFill="1" applyBorder="1" applyAlignment="1">
      <alignment horizontal="center"/>
    </xf>
    <xf numFmtId="0" fontId="0" fillId="8" borderId="192" xfId="0" applyFill="1" applyBorder="1" applyAlignment="1">
      <alignment horizontal="center"/>
    </xf>
    <xf numFmtId="0" fontId="0" fillId="8" borderId="193" xfId="0" applyFill="1" applyBorder="1" applyAlignment="1">
      <alignment horizontal="center"/>
    </xf>
    <xf numFmtId="0" fontId="0" fillId="8" borderId="188" xfId="0" applyFill="1" applyBorder="1" applyAlignment="1">
      <alignment horizontal="center"/>
    </xf>
    <xf numFmtId="0" fontId="0" fillId="8" borderId="189" xfId="0" applyFill="1" applyBorder="1" applyAlignment="1">
      <alignment horizontal="center"/>
    </xf>
    <xf numFmtId="0" fontId="0" fillId="8" borderId="190" xfId="0" applyFill="1" applyBorder="1" applyAlignment="1">
      <alignment horizontal="center"/>
    </xf>
    <xf numFmtId="0" fontId="8" fillId="0" borderId="17" xfId="0" applyFont="1" applyBorder="1" applyAlignment="1">
      <alignment horizontal="left" vertical="center"/>
    </xf>
    <xf numFmtId="0" fontId="47" fillId="5" borderId="122" xfId="0" applyFont="1" applyFill="1" applyBorder="1" applyAlignment="1">
      <alignment horizontal="center"/>
    </xf>
    <xf numFmtId="0" fontId="47" fillId="5" borderId="176" xfId="0" applyFont="1" applyFill="1" applyBorder="1" applyAlignment="1">
      <alignment horizontal="center"/>
    </xf>
    <xf numFmtId="0" fontId="47" fillId="5" borderId="177" xfId="0" applyFont="1" applyFill="1" applyBorder="1" applyAlignment="1">
      <alignment horizontal="center"/>
    </xf>
    <xf numFmtId="0" fontId="47" fillId="5" borderId="10" xfId="0" applyFont="1" applyFill="1" applyBorder="1" applyAlignment="1">
      <alignment horizontal="center"/>
    </xf>
    <xf numFmtId="0" fontId="47" fillId="5" borderId="0" xfId="0" applyFont="1" applyFill="1" applyAlignment="1">
      <alignment horizontal="center"/>
    </xf>
    <xf numFmtId="0" fontId="47" fillId="5" borderId="117" xfId="0" applyFont="1" applyFill="1" applyBorder="1" applyAlignment="1">
      <alignment horizontal="center"/>
    </xf>
    <xf numFmtId="0" fontId="27" fillId="32" borderId="132" xfId="0" applyFont="1" applyFill="1" applyBorder="1" applyAlignment="1">
      <alignment horizontal="center"/>
    </xf>
    <xf numFmtId="0" fontId="27" fillId="32" borderId="116" xfId="0" applyFont="1" applyFill="1" applyBorder="1" applyAlignment="1">
      <alignment horizontal="center"/>
    </xf>
    <xf numFmtId="0" fontId="27" fillId="32" borderId="183" xfId="0" applyFont="1" applyFill="1" applyBorder="1" applyAlignment="1">
      <alignment horizontal="center"/>
    </xf>
    <xf numFmtId="0" fontId="27" fillId="32" borderId="119" xfId="0" applyFont="1" applyFill="1" applyBorder="1" applyAlignment="1">
      <alignment horizontal="center"/>
    </xf>
    <xf numFmtId="0" fontId="27" fillId="32" borderId="133" xfId="0" applyFont="1" applyFill="1" applyBorder="1" applyAlignment="1">
      <alignment horizontal="center"/>
    </xf>
    <xf numFmtId="0" fontId="27" fillId="32" borderId="141" xfId="0" applyFont="1" applyFill="1" applyBorder="1" applyAlignment="1">
      <alignment horizontal="center"/>
    </xf>
    <xf numFmtId="0" fontId="9" fillId="8" borderId="121" xfId="0" applyFont="1" applyFill="1" applyBorder="1" applyAlignment="1">
      <alignment horizontal="center" vertical="center" wrapText="1"/>
    </xf>
    <xf numFmtId="0" fontId="9" fillId="8" borderId="118" xfId="0" applyFont="1" applyFill="1" applyBorder="1" applyAlignment="1">
      <alignment horizontal="center" vertical="center" wrapText="1"/>
    </xf>
    <xf numFmtId="168" fontId="45" fillId="12" borderId="122" xfId="16" applyNumberFormat="1" applyFont="1" applyFill="1" applyBorder="1" applyAlignment="1">
      <alignment horizontal="center" vertical="center"/>
    </xf>
    <xf numFmtId="168" fontId="45" fillId="12" borderId="140" xfId="16" applyNumberFormat="1" applyFont="1" applyFill="1" applyBorder="1" applyAlignment="1">
      <alignment horizontal="center" vertical="center"/>
    </xf>
    <xf numFmtId="168" fontId="45" fillId="12" borderId="119" xfId="16" applyNumberFormat="1" applyFont="1" applyFill="1" applyBorder="1" applyAlignment="1">
      <alignment horizontal="center" vertical="center"/>
    </xf>
    <xf numFmtId="168" fontId="45" fillId="12" borderId="141" xfId="16" applyNumberFormat="1" applyFont="1" applyFill="1" applyBorder="1" applyAlignment="1">
      <alignment horizontal="center" vertical="center"/>
    </xf>
    <xf numFmtId="168" fontId="45" fillId="12" borderId="120" xfId="16" applyNumberFormat="1" applyFont="1" applyFill="1" applyBorder="1" applyAlignment="1">
      <alignment horizontal="center" vertical="center"/>
    </xf>
    <xf numFmtId="168" fontId="45" fillId="12" borderId="117" xfId="16" applyNumberFormat="1" applyFont="1" applyFill="1" applyBorder="1" applyAlignment="1">
      <alignment horizontal="center" vertical="center"/>
    </xf>
    <xf numFmtId="168" fontId="9" fillId="0" borderId="121" xfId="16" applyNumberFormat="1" applyFont="1" applyBorder="1" applyAlignment="1">
      <alignment horizontal="center" vertical="center" wrapText="1"/>
    </xf>
    <xf numFmtId="168" fontId="9" fillId="0" borderId="224" xfId="16" applyNumberFormat="1" applyFont="1" applyBorder="1" applyAlignment="1">
      <alignment horizontal="center" vertical="center" wrapText="1"/>
    </xf>
    <xf numFmtId="168" fontId="9" fillId="0" borderId="118" xfId="16" applyNumberFormat="1" applyFont="1" applyBorder="1" applyAlignment="1">
      <alignment horizontal="center" vertical="center" wrapText="1"/>
    </xf>
    <xf numFmtId="168" fontId="9" fillId="0" borderId="222" xfId="16" applyNumberFormat="1" applyFont="1" applyBorder="1" applyAlignment="1">
      <alignment horizontal="center" vertical="center" wrapText="1"/>
    </xf>
    <xf numFmtId="9" fontId="45" fillId="12" borderId="223" xfId="16" applyFont="1" applyFill="1" applyBorder="1" applyAlignment="1">
      <alignment horizontal="center" vertical="center"/>
    </xf>
    <xf numFmtId="9" fontId="45" fillId="12" borderId="194" xfId="16" applyFont="1" applyFill="1" applyBorder="1" applyAlignment="1">
      <alignment horizontal="center" vertical="center"/>
    </xf>
    <xf numFmtId="9" fontId="45" fillId="12" borderId="184" xfId="16" applyFont="1" applyFill="1" applyBorder="1" applyAlignment="1">
      <alignment horizontal="center" vertical="center"/>
    </xf>
    <xf numFmtId="0" fontId="13" fillId="8" borderId="261" xfId="16" applyNumberFormat="1" applyFont="1" applyFill="1" applyBorder="1" applyAlignment="1">
      <alignment horizontal="left" vertical="center"/>
    </xf>
    <xf numFmtId="0" fontId="13" fillId="8" borderId="262" xfId="16" applyNumberFormat="1" applyFont="1" applyFill="1" applyBorder="1" applyAlignment="1">
      <alignment horizontal="left" vertical="center"/>
    </xf>
    <xf numFmtId="0" fontId="13" fillId="8" borderId="263" xfId="16" applyNumberFormat="1" applyFont="1" applyFill="1" applyBorder="1" applyAlignment="1">
      <alignment horizontal="left" vertical="center"/>
    </xf>
    <xf numFmtId="0" fontId="13" fillId="8" borderId="0" xfId="16" applyNumberFormat="1" applyFont="1" applyFill="1" applyBorder="1" applyAlignment="1">
      <alignment horizontal="left" vertical="center"/>
    </xf>
    <xf numFmtId="0" fontId="13" fillId="8" borderId="28" xfId="16" applyNumberFormat="1" applyFont="1" applyFill="1" applyBorder="1" applyAlignment="1">
      <alignment horizontal="left" vertical="center"/>
    </xf>
    <xf numFmtId="0" fontId="13" fillId="8" borderId="22" xfId="16" applyNumberFormat="1" applyFont="1" applyFill="1" applyBorder="1" applyAlignment="1">
      <alignment horizontal="left" vertical="center"/>
    </xf>
    <xf numFmtId="0" fontId="13" fillId="8" borderId="264" xfId="16" applyNumberFormat="1" applyFont="1" applyFill="1" applyBorder="1" applyAlignment="1">
      <alignment horizontal="left" vertical="center"/>
    </xf>
    <xf numFmtId="0" fontId="13" fillId="8" borderId="265" xfId="16" applyNumberFormat="1" applyFont="1" applyFill="1" applyBorder="1" applyAlignment="1">
      <alignment horizontal="left" vertical="center"/>
    </xf>
    <xf numFmtId="0" fontId="13" fillId="8" borderId="23" xfId="16" applyNumberFormat="1" applyFont="1" applyFill="1" applyBorder="1" applyAlignment="1">
      <alignment horizontal="left" vertical="center"/>
    </xf>
    <xf numFmtId="9" fontId="8" fillId="8" borderId="247" xfId="16" applyFont="1" applyFill="1" applyBorder="1" applyAlignment="1">
      <alignment horizontal="center" vertical="center"/>
    </xf>
    <xf numFmtId="9" fontId="8" fillId="8" borderId="266" xfId="16" applyFont="1" applyFill="1" applyBorder="1" applyAlignment="1">
      <alignment horizontal="center" vertical="center"/>
    </xf>
    <xf numFmtId="9" fontId="8" fillId="8" borderId="24" xfId="16" applyFont="1" applyFill="1" applyBorder="1" applyAlignment="1">
      <alignment horizontal="center" vertical="center"/>
    </xf>
    <xf numFmtId="9" fontId="8" fillId="8" borderId="264" xfId="16" applyFont="1" applyFill="1" applyBorder="1" applyAlignment="1">
      <alignment horizontal="center" vertical="center"/>
    </xf>
    <xf numFmtId="9" fontId="8" fillId="8" borderId="265" xfId="16" applyFont="1" applyFill="1" applyBorder="1" applyAlignment="1">
      <alignment horizontal="center" vertical="center"/>
    </xf>
    <xf numFmtId="9" fontId="8" fillId="8" borderId="23" xfId="16" applyFont="1" applyFill="1" applyBorder="1" applyAlignment="1">
      <alignment horizontal="center" vertical="center"/>
    </xf>
    <xf numFmtId="0" fontId="47" fillId="5" borderId="175" xfId="0" applyFont="1" applyFill="1" applyBorder="1" applyAlignment="1">
      <alignment horizontal="center"/>
    </xf>
    <xf numFmtId="0" fontId="47" fillId="5" borderId="116" xfId="0" applyFont="1" applyFill="1" applyBorder="1" applyAlignment="1">
      <alignment horizontal="center"/>
    </xf>
    <xf numFmtId="0" fontId="0" fillId="8" borderId="185" xfId="0" applyFill="1" applyBorder="1" applyAlignment="1">
      <alignment horizontal="center" vertical="center" wrapText="1"/>
    </xf>
    <xf numFmtId="0" fontId="0" fillId="8" borderId="186" xfId="0" applyFill="1" applyBorder="1" applyAlignment="1">
      <alignment horizontal="center" vertical="center" wrapText="1"/>
    </xf>
    <xf numFmtId="0" fontId="0" fillId="8" borderId="187" xfId="0" applyFill="1" applyBorder="1" applyAlignment="1">
      <alignment horizontal="center" vertical="center" wrapText="1"/>
    </xf>
    <xf numFmtId="0" fontId="27" fillId="9" borderId="54" xfId="0" applyFont="1" applyFill="1" applyBorder="1" applyAlignment="1">
      <alignment horizontal="center" vertical="center"/>
    </xf>
    <xf numFmtId="0" fontId="47" fillId="5" borderId="46" xfId="0" applyFont="1" applyFill="1" applyBorder="1" applyAlignment="1">
      <alignment horizontal="center"/>
    </xf>
    <xf numFmtId="0" fontId="47" fillId="5" borderId="50" xfId="0" applyFont="1" applyFill="1" applyBorder="1" applyAlignment="1">
      <alignment horizontal="center"/>
    </xf>
    <xf numFmtId="0" fontId="8" fillId="0" borderId="155" xfId="0" applyFont="1" applyBorder="1" applyAlignment="1">
      <alignment horizontal="left" vertical="center" wrapText="1"/>
    </xf>
    <xf numFmtId="0" fontId="69" fillId="0" borderId="150" xfId="0" applyFont="1" applyBorder="1" applyAlignment="1">
      <alignment horizontal="left" vertical="center"/>
    </xf>
    <xf numFmtId="0" fontId="69" fillId="0" borderId="151" xfId="0" applyFont="1" applyBorder="1" applyAlignment="1">
      <alignment horizontal="left" vertical="center"/>
    </xf>
    <xf numFmtId="0" fontId="69" fillId="0" borderId="156" xfId="0" applyFont="1" applyBorder="1" applyAlignment="1">
      <alignment horizontal="left" vertical="center"/>
    </xf>
    <xf numFmtId="0" fontId="69" fillId="0" borderId="0" xfId="0" applyFont="1" applyAlignment="1">
      <alignment horizontal="left" vertical="center"/>
    </xf>
    <xf numFmtId="0" fontId="69" fillId="0" borderId="152" xfId="0" applyFont="1" applyBorder="1" applyAlignment="1">
      <alignment horizontal="left" vertical="center"/>
    </xf>
    <xf numFmtId="0" fontId="69" fillId="0" borderId="157" xfId="0" applyFont="1" applyBorder="1" applyAlignment="1">
      <alignment horizontal="left" vertical="center"/>
    </xf>
    <xf numFmtId="0" fontId="69" fillId="0" borderId="153" xfId="0" applyFont="1" applyBorder="1" applyAlignment="1">
      <alignment horizontal="left" vertical="center"/>
    </xf>
    <xf numFmtId="0" fontId="69" fillId="0" borderId="154" xfId="0" applyFont="1" applyBorder="1" applyAlignment="1">
      <alignment horizontal="left" vertical="center"/>
    </xf>
    <xf numFmtId="0" fontId="8" fillId="0" borderId="150" xfId="0" applyFont="1" applyBorder="1" applyAlignment="1">
      <alignment horizontal="left" vertical="center"/>
    </xf>
    <xf numFmtId="0" fontId="8" fillId="0" borderId="151" xfId="0" applyFont="1" applyBorder="1" applyAlignment="1">
      <alignment horizontal="left" vertical="center"/>
    </xf>
    <xf numFmtId="0" fontId="8" fillId="0" borderId="156" xfId="0" applyFont="1" applyBorder="1" applyAlignment="1">
      <alignment horizontal="left" vertical="center"/>
    </xf>
    <xf numFmtId="0" fontId="0" fillId="0" borderId="0" xfId="0" applyAlignment="1">
      <alignment horizontal="left" vertical="center"/>
    </xf>
    <xf numFmtId="0" fontId="8" fillId="0" borderId="152" xfId="0" applyFont="1" applyBorder="1" applyAlignment="1">
      <alignment horizontal="left" vertical="center"/>
    </xf>
    <xf numFmtId="0" fontId="8" fillId="0" borderId="157" xfId="0" applyFont="1" applyBorder="1" applyAlignment="1">
      <alignment horizontal="left" vertical="center"/>
    </xf>
    <xf numFmtId="0" fontId="8" fillId="0" borderId="153" xfId="0" applyFont="1" applyBorder="1" applyAlignment="1">
      <alignment horizontal="left" vertical="center"/>
    </xf>
    <xf numFmtId="0" fontId="8" fillId="0" borderId="154" xfId="0" applyFont="1" applyBorder="1" applyAlignment="1">
      <alignment horizontal="left" vertical="center"/>
    </xf>
    <xf numFmtId="0" fontId="27" fillId="32" borderId="46" xfId="0" applyFont="1" applyFill="1" applyBorder="1" applyAlignment="1">
      <alignment horizontal="center"/>
    </xf>
    <xf numFmtId="0" fontId="0" fillId="0" borderId="10" xfId="0" applyBorder="1"/>
    <xf numFmtId="0" fontId="8" fillId="0" borderId="2" xfId="0" applyFont="1" applyBorder="1" applyAlignment="1">
      <alignment horizontal="left" vertical="top" wrapText="1"/>
    </xf>
    <xf numFmtId="0" fontId="8" fillId="0" borderId="49" xfId="0" applyFont="1" applyBorder="1" applyAlignment="1">
      <alignment horizontal="left" vertical="top" wrapText="1"/>
    </xf>
    <xf numFmtId="0" fontId="0" fillId="0" borderId="217" xfId="0" applyBorder="1" applyAlignment="1">
      <alignment horizontal="left" vertical="top" wrapText="1"/>
    </xf>
    <xf numFmtId="0" fontId="8" fillId="0" borderId="40" xfId="0" applyFont="1" applyBorder="1" applyAlignment="1">
      <alignment horizontal="left" vertical="top" wrapText="1"/>
    </xf>
    <xf numFmtId="0" fontId="8" fillId="0" borderId="47" xfId="0" applyFont="1" applyBorder="1" applyAlignment="1">
      <alignment horizontal="left" vertical="top" wrapText="1"/>
    </xf>
    <xf numFmtId="0" fontId="0" fillId="0" borderId="218" xfId="0" applyBorder="1" applyAlignment="1">
      <alignment horizontal="left" vertical="top" wrapText="1"/>
    </xf>
    <xf numFmtId="0" fontId="0" fillId="0" borderId="219" xfId="0" applyBorder="1" applyAlignment="1">
      <alignment horizontal="left" vertical="top" wrapText="1"/>
    </xf>
    <xf numFmtId="0" fontId="0" fillId="0" borderId="220" xfId="0" applyBorder="1" applyAlignment="1">
      <alignment horizontal="left" vertical="top" wrapText="1"/>
    </xf>
    <xf numFmtId="0" fontId="47" fillId="5" borderId="214" xfId="0" applyFont="1" applyFill="1" applyBorder="1" applyAlignment="1">
      <alignment horizontal="center"/>
    </xf>
    <xf numFmtId="0" fontId="0" fillId="0" borderId="215" xfId="0" applyBorder="1" applyAlignment="1">
      <alignment horizontal="left" vertical="center" wrapText="1"/>
    </xf>
    <xf numFmtId="0" fontId="69" fillId="0" borderId="10" xfId="0" applyFont="1" applyBorder="1" applyAlignment="1">
      <alignment horizontal="left" vertical="center"/>
    </xf>
    <xf numFmtId="0" fontId="69" fillId="0" borderId="216" xfId="0" applyFont="1" applyBorder="1" applyAlignment="1">
      <alignment horizontal="left" vertical="center"/>
    </xf>
    <xf numFmtId="0" fontId="63" fillId="8" borderId="46" xfId="0" applyFont="1" applyFill="1" applyBorder="1" applyAlignment="1">
      <alignment horizontal="center"/>
    </xf>
    <xf numFmtId="0" fontId="27" fillId="8" borderId="46" xfId="0" applyFont="1" applyFill="1" applyBorder="1" applyAlignment="1">
      <alignment horizontal="center"/>
    </xf>
    <xf numFmtId="0" fontId="63" fillId="8" borderId="48" xfId="0" applyFont="1" applyFill="1" applyBorder="1" applyAlignment="1">
      <alignment horizontal="center"/>
    </xf>
    <xf numFmtId="0" fontId="27" fillId="8" borderId="48" xfId="0" applyFont="1" applyFill="1" applyBorder="1" applyAlignment="1">
      <alignment horizontal="center"/>
    </xf>
    <xf numFmtId="0" fontId="46" fillId="18" borderId="10" xfId="0" applyFont="1" applyFill="1" applyBorder="1" applyAlignment="1">
      <alignment horizontal="center"/>
    </xf>
    <xf numFmtId="0" fontId="46" fillId="18" borderId="12" xfId="0" applyFont="1" applyFill="1" applyBorder="1" applyAlignment="1">
      <alignment horizontal="center"/>
    </xf>
    <xf numFmtId="0" fontId="27" fillId="32" borderId="50" xfId="0" applyFont="1" applyFill="1" applyBorder="1" applyAlignment="1">
      <alignment horizontal="center"/>
    </xf>
    <xf numFmtId="0" fontId="47" fillId="31" borderId="214" xfId="0" applyFont="1" applyFill="1" applyBorder="1" applyAlignment="1">
      <alignment horizontal="center"/>
    </xf>
    <xf numFmtId="0" fontId="47" fillId="31" borderId="46" xfId="0" applyFont="1" applyFill="1" applyBorder="1" applyAlignment="1">
      <alignment horizontal="center"/>
    </xf>
    <xf numFmtId="0" fontId="8" fillId="0" borderId="51" xfId="0" applyFont="1" applyBorder="1" applyAlignment="1">
      <alignment horizontal="left"/>
    </xf>
    <xf numFmtId="0" fontId="8" fillId="0" borderId="52" xfId="0" applyFont="1" applyBorder="1" applyAlignment="1">
      <alignment horizontal="left"/>
    </xf>
    <xf numFmtId="0" fontId="8" fillId="0" borderId="51" xfId="0" applyFont="1" applyBorder="1" applyAlignment="1">
      <alignment horizontal="left" indent="1"/>
    </xf>
    <xf numFmtId="0" fontId="8" fillId="0" borderId="52" xfId="0" applyFont="1" applyBorder="1" applyAlignment="1">
      <alignment horizontal="left" indent="1"/>
    </xf>
    <xf numFmtId="0" fontId="27" fillId="32" borderId="214" xfId="0" applyFont="1" applyFill="1" applyBorder="1" applyAlignment="1">
      <alignment horizontal="center"/>
    </xf>
    <xf numFmtId="0" fontId="0" fillId="0" borderId="10" xfId="0" applyBorder="1" applyAlignment="1">
      <alignment horizontal="left" vertical="center"/>
    </xf>
    <xf numFmtId="0" fontId="0" fillId="0" borderId="216" xfId="0" applyBorder="1" applyAlignment="1">
      <alignment horizontal="left" vertical="center"/>
    </xf>
    <xf numFmtId="0" fontId="13" fillId="0" borderId="51" xfId="0" applyFont="1" applyBorder="1" applyAlignment="1">
      <alignment horizontal="left"/>
    </xf>
    <xf numFmtId="0" fontId="13" fillId="0" borderId="52" xfId="0" applyFont="1" applyBorder="1" applyAlignment="1">
      <alignment horizontal="left"/>
    </xf>
    <xf numFmtId="0" fontId="31" fillId="5" borderId="44" xfId="0" applyFont="1" applyFill="1" applyBorder="1" applyAlignment="1">
      <alignment horizontal="center"/>
    </xf>
    <xf numFmtId="0" fontId="31" fillId="5" borderId="0" xfId="0" applyFont="1" applyFill="1" applyAlignment="1">
      <alignment horizontal="center"/>
    </xf>
    <xf numFmtId="0" fontId="31" fillId="5" borderId="45" xfId="0" applyFont="1" applyFill="1" applyBorder="1" applyAlignment="1">
      <alignment horizontal="center"/>
    </xf>
    <xf numFmtId="0" fontId="46" fillId="5" borderId="0" xfId="0" applyFont="1" applyFill="1" applyAlignment="1">
      <alignment horizontal="center"/>
    </xf>
    <xf numFmtId="0" fontId="31" fillId="18" borderId="44" xfId="0" applyFont="1" applyFill="1" applyBorder="1" applyAlignment="1">
      <alignment horizontal="center"/>
    </xf>
    <xf numFmtId="0" fontId="31" fillId="18" borderId="0" xfId="0" applyFont="1" applyFill="1" applyAlignment="1">
      <alignment horizontal="center"/>
    </xf>
    <xf numFmtId="0" fontId="46" fillId="5" borderId="56" xfId="0" applyFont="1" applyFill="1" applyBorder="1" applyAlignment="1">
      <alignment horizontal="center"/>
    </xf>
    <xf numFmtId="0" fontId="46" fillId="5" borderId="57" xfId="0" applyFont="1" applyFill="1" applyBorder="1" applyAlignment="1">
      <alignment horizontal="center"/>
    </xf>
    <xf numFmtId="0" fontId="9" fillId="0" borderId="61" xfId="0" applyFont="1" applyBorder="1" applyAlignment="1">
      <alignment horizontal="center" vertical="center"/>
    </xf>
    <xf numFmtId="0" fontId="9" fillId="0" borderId="63" xfId="0" applyFont="1" applyBorder="1" applyAlignment="1">
      <alignment horizontal="center" vertical="center"/>
    </xf>
    <xf numFmtId="0" fontId="31" fillId="5" borderId="61" xfId="0" applyFont="1" applyFill="1" applyBorder="1" applyAlignment="1">
      <alignment horizontal="center"/>
    </xf>
    <xf numFmtId="0" fontId="31" fillId="5" borderId="62" xfId="0" applyFont="1" applyFill="1" applyBorder="1" applyAlignment="1">
      <alignment horizontal="center"/>
    </xf>
    <xf numFmtId="0" fontId="31" fillId="5" borderId="63" xfId="0" applyFont="1" applyFill="1" applyBorder="1" applyAlignment="1">
      <alignment horizontal="center"/>
    </xf>
    <xf numFmtId="0" fontId="0" fillId="0" borderId="86" xfId="0" applyBorder="1" applyAlignment="1">
      <alignment horizontal="center" vertical="center" wrapText="1"/>
    </xf>
    <xf numFmtId="0" fontId="0" fillId="0" borderId="35" xfId="0" applyBorder="1" applyAlignment="1">
      <alignment horizontal="center" vertical="center" wrapText="1"/>
    </xf>
    <xf numFmtId="0" fontId="34" fillId="0" borderId="86" xfId="0" applyFont="1" applyBorder="1" applyAlignment="1">
      <alignment horizontal="center" vertical="center" wrapText="1"/>
    </xf>
    <xf numFmtId="0" fontId="0" fillId="0" borderId="267" xfId="0" applyBorder="1" applyAlignment="1">
      <alignment horizontal="center" vertical="center" wrapText="1"/>
    </xf>
    <xf numFmtId="0" fontId="0" fillId="0" borderId="87" xfId="0" applyBorder="1" applyAlignment="1">
      <alignment horizontal="center" vertical="center" wrapText="1"/>
    </xf>
    <xf numFmtId="0" fontId="0" fillId="0" borderId="60" xfId="0" applyBorder="1" applyAlignment="1">
      <alignment horizontal="center" vertical="center" wrapText="1"/>
    </xf>
    <xf numFmtId="0" fontId="31" fillId="5" borderId="56" xfId="0" applyFont="1" applyFill="1" applyBorder="1" applyAlignment="1">
      <alignment horizontal="center"/>
    </xf>
    <xf numFmtId="0" fontId="31" fillId="5" borderId="57" xfId="0" applyFont="1" applyFill="1" applyBorder="1" applyAlignment="1">
      <alignment horizontal="center"/>
    </xf>
    <xf numFmtId="0" fontId="46" fillId="5" borderId="62" xfId="0" applyFont="1" applyFill="1" applyBorder="1" applyAlignment="1">
      <alignment horizontal="center"/>
    </xf>
    <xf numFmtId="0" fontId="46" fillId="5" borderId="63" xfId="0" applyFont="1" applyFill="1" applyBorder="1" applyAlignment="1">
      <alignment horizontal="center"/>
    </xf>
    <xf numFmtId="0" fontId="13" fillId="14" borderId="61" xfId="0" applyFont="1" applyFill="1" applyBorder="1" applyAlignment="1">
      <alignment horizontal="center"/>
    </xf>
    <xf numFmtId="0" fontId="13" fillId="14" borderId="63" xfId="0" applyFont="1" applyFill="1" applyBorder="1" applyAlignment="1">
      <alignment horizontal="center"/>
    </xf>
    <xf numFmtId="0" fontId="0" fillId="0" borderId="71" xfId="0" applyBorder="1" applyAlignment="1">
      <alignment horizontal="center"/>
    </xf>
    <xf numFmtId="0" fontId="0" fillId="0" borderId="72" xfId="0" applyBorder="1" applyAlignment="1">
      <alignment horizontal="center"/>
    </xf>
    <xf numFmtId="0" fontId="13" fillId="14" borderId="62" xfId="0" applyFont="1" applyFill="1" applyBorder="1" applyAlignment="1">
      <alignment horizontal="center"/>
    </xf>
    <xf numFmtId="0" fontId="10" fillId="0" borderId="228" xfId="11" applyBorder="1" applyAlignment="1" applyProtection="1">
      <alignment horizontal="center"/>
    </xf>
    <xf numFmtId="0" fontId="10" fillId="0" borderId="229" xfId="11" applyBorder="1" applyAlignment="1" applyProtection="1">
      <alignment horizontal="center"/>
    </xf>
    <xf numFmtId="0" fontId="44" fillId="0" borderId="226" xfId="0" applyFont="1" applyBorder="1" applyAlignment="1">
      <alignment horizontal="center"/>
    </xf>
    <xf numFmtId="0" fontId="44" fillId="0" borderId="227" xfId="0" applyFont="1" applyBorder="1" applyAlignment="1">
      <alignment horizontal="center"/>
    </xf>
    <xf numFmtId="0" fontId="8" fillId="0" borderId="71" xfId="0" applyFont="1" applyBorder="1" applyAlignment="1">
      <alignment horizontal="center"/>
    </xf>
    <xf numFmtId="0" fontId="8" fillId="0" borderId="73" xfId="0" applyFont="1" applyBorder="1" applyAlignment="1">
      <alignment horizontal="center"/>
    </xf>
    <xf numFmtId="10" fontId="13" fillId="0" borderId="35" xfId="16" applyNumberFormat="1" applyFont="1" applyBorder="1" applyAlignment="1">
      <alignment horizontal="center"/>
    </xf>
    <xf numFmtId="0" fontId="13" fillId="24" borderId="68" xfId="0" applyFont="1" applyFill="1" applyBorder="1" applyAlignment="1">
      <alignment horizontal="center"/>
    </xf>
    <xf numFmtId="0" fontId="13" fillId="24" borderId="69" xfId="0" applyFont="1" applyFill="1" applyBorder="1" applyAlignment="1">
      <alignment horizontal="center"/>
    </xf>
    <xf numFmtId="0" fontId="13" fillId="24" borderId="70" xfId="0" applyFont="1" applyFill="1" applyBorder="1" applyAlignment="1">
      <alignment horizontal="center"/>
    </xf>
    <xf numFmtId="0" fontId="13" fillId="24" borderId="268" xfId="0" applyFont="1" applyFill="1" applyBorder="1" applyAlignment="1">
      <alignment horizontal="center"/>
    </xf>
    <xf numFmtId="0" fontId="0" fillId="0" borderId="74" xfId="0" applyBorder="1" applyAlignment="1">
      <alignment horizontal="center" wrapText="1"/>
    </xf>
    <xf numFmtId="0" fontId="0" fillId="0" borderId="75" xfId="0" applyBorder="1" applyAlignment="1">
      <alignment horizontal="center"/>
    </xf>
    <xf numFmtId="0" fontId="10" fillId="0" borderId="71" xfId="11" applyBorder="1" applyAlignment="1" applyProtection="1">
      <alignment horizontal="center"/>
    </xf>
    <xf numFmtId="0" fontId="10" fillId="0" borderId="72" xfId="11" applyBorder="1" applyAlignment="1" applyProtection="1">
      <alignment horizontal="center"/>
    </xf>
    <xf numFmtId="0" fontId="13" fillId="0" borderId="71" xfId="0" applyFont="1" applyBorder="1" applyAlignment="1">
      <alignment horizontal="center"/>
    </xf>
    <xf numFmtId="0" fontId="13" fillId="0" borderId="73" xfId="0" applyFont="1" applyBorder="1" applyAlignment="1">
      <alignment horizontal="center"/>
    </xf>
    <xf numFmtId="0" fontId="13" fillId="0" borderId="228" xfId="0" applyFont="1" applyBorder="1" applyAlignment="1">
      <alignment horizontal="center"/>
    </xf>
    <xf numFmtId="0" fontId="13" fillId="0" borderId="150" xfId="0" applyFont="1" applyBorder="1" applyAlignment="1">
      <alignment horizontal="center"/>
    </xf>
    <xf numFmtId="10" fontId="13" fillId="0" borderId="71" xfId="16" applyNumberFormat="1" applyFont="1" applyBorder="1" applyAlignment="1">
      <alignment horizontal="center"/>
    </xf>
    <xf numFmtId="10" fontId="13" fillId="0" borderId="73" xfId="16" applyNumberFormat="1" applyFont="1" applyBorder="1" applyAlignment="1">
      <alignment horizontal="center"/>
    </xf>
    <xf numFmtId="10" fontId="13" fillId="0" borderId="72" xfId="16" applyNumberFormat="1" applyFont="1" applyBorder="1" applyAlignment="1">
      <alignment horizontal="center"/>
    </xf>
    <xf numFmtId="0" fontId="53" fillId="18" borderId="44" xfId="0" applyFont="1" applyFill="1" applyBorder="1" applyAlignment="1">
      <alignment horizontal="center" vertical="center"/>
    </xf>
    <xf numFmtId="0" fontId="53" fillId="18" borderId="0" xfId="0" applyFont="1" applyFill="1" applyAlignment="1">
      <alignment horizontal="center" vertical="center"/>
    </xf>
    <xf numFmtId="0" fontId="46" fillId="5" borderId="58" xfId="0" applyFont="1" applyFill="1" applyBorder="1" applyAlignment="1">
      <alignment horizontal="center"/>
    </xf>
    <xf numFmtId="0" fontId="31" fillId="5" borderId="61" xfId="0" applyFont="1" applyFill="1" applyBorder="1" applyAlignment="1">
      <alignment horizontal="center" vertical="center"/>
    </xf>
    <xf numFmtId="0" fontId="31" fillId="5" borderId="62" xfId="0" applyFont="1" applyFill="1" applyBorder="1" applyAlignment="1">
      <alignment horizontal="center" vertical="center"/>
    </xf>
    <xf numFmtId="0" fontId="31" fillId="5" borderId="63" xfId="0" applyFont="1" applyFill="1" applyBorder="1" applyAlignment="1">
      <alignment horizontal="center" vertical="center"/>
    </xf>
    <xf numFmtId="0" fontId="46" fillId="5" borderId="259" xfId="0" applyFont="1" applyFill="1" applyBorder="1" applyAlignment="1">
      <alignment horizontal="center"/>
    </xf>
    <xf numFmtId="0" fontId="46" fillId="5" borderId="260" xfId="0" applyFont="1" applyFill="1" applyBorder="1" applyAlignment="1">
      <alignment horizontal="center"/>
    </xf>
    <xf numFmtId="0" fontId="53" fillId="18" borderId="59" xfId="0" applyFont="1" applyFill="1" applyBorder="1" applyAlignment="1">
      <alignment horizontal="center" vertical="center"/>
    </xf>
    <xf numFmtId="0" fontId="53" fillId="18" borderId="64" xfId="0" applyFont="1" applyFill="1" applyBorder="1" applyAlignment="1">
      <alignment horizontal="center" vertical="center"/>
    </xf>
    <xf numFmtId="10" fontId="13" fillId="0" borderId="228" xfId="16" applyNumberFormat="1" applyFont="1" applyBorder="1" applyAlignment="1">
      <alignment horizontal="center"/>
    </xf>
    <xf numFmtId="10" fontId="13" fillId="0" borderId="150" xfId="16" applyNumberFormat="1" applyFont="1" applyBorder="1" applyAlignment="1">
      <alignment horizontal="center"/>
    </xf>
    <xf numFmtId="10" fontId="13" fillId="0" borderId="229" xfId="16" applyNumberFormat="1" applyFont="1" applyBorder="1" applyAlignment="1">
      <alignment horizontal="center"/>
    </xf>
    <xf numFmtId="0" fontId="13" fillId="24" borderId="66" xfId="0" applyFont="1" applyFill="1" applyBorder="1" applyAlignment="1">
      <alignment horizontal="center"/>
    </xf>
    <xf numFmtId="0" fontId="13" fillId="24" borderId="67" xfId="0" applyFont="1" applyFill="1" applyBorder="1" applyAlignment="1">
      <alignment horizontal="center"/>
    </xf>
    <xf numFmtId="0" fontId="67" fillId="0" borderId="102" xfId="0" applyFont="1" applyBorder="1" applyAlignment="1">
      <alignment horizontal="center" vertical="center" wrapText="1"/>
    </xf>
    <xf numFmtId="0" fontId="23" fillId="0" borderId="103" xfId="0" applyFont="1" applyBorder="1" applyAlignment="1">
      <alignment horizontal="center" vertical="center" wrapText="1"/>
    </xf>
    <xf numFmtId="0" fontId="23" fillId="0" borderId="104" xfId="0" applyFont="1" applyBorder="1" applyAlignment="1">
      <alignment horizontal="center" vertical="center" wrapText="1"/>
    </xf>
    <xf numFmtId="0" fontId="84" fillId="0" borderId="102" xfId="0" applyFont="1" applyBorder="1" applyAlignment="1">
      <alignment horizontal="center" vertical="center" wrapText="1"/>
    </xf>
    <xf numFmtId="0" fontId="85" fillId="0" borderId="103" xfId="0" applyFont="1" applyBorder="1" applyAlignment="1">
      <alignment horizontal="center" vertical="center" wrapText="1"/>
    </xf>
    <xf numFmtId="0" fontId="85" fillId="0" borderId="104" xfId="0" applyFont="1" applyBorder="1" applyAlignment="1">
      <alignment horizontal="center" vertical="center" wrapText="1"/>
    </xf>
    <xf numFmtId="0" fontId="50" fillId="5" borderId="53" xfId="0" applyFont="1" applyFill="1" applyBorder="1" applyAlignment="1">
      <alignment horizontal="center"/>
    </xf>
    <xf numFmtId="0" fontId="8" fillId="39" borderId="209" xfId="0" applyFont="1" applyFill="1" applyBorder="1" applyAlignment="1">
      <alignment horizontal="center" vertical="center" wrapText="1"/>
    </xf>
    <xf numFmtId="0" fontId="72" fillId="0" borderId="53" xfId="0" applyFont="1" applyBorder="1" applyAlignment="1">
      <alignment horizontal="center" vertical="center" wrapText="1"/>
    </xf>
    <xf numFmtId="0" fontId="72" fillId="0" borderId="210" xfId="0" applyFont="1" applyBorder="1" applyAlignment="1">
      <alignment horizontal="center" vertical="center" wrapText="1"/>
    </xf>
    <xf numFmtId="0" fontId="27" fillId="5" borderId="206" xfId="26" applyFont="1" applyFill="1" applyBorder="1" applyAlignment="1">
      <alignment horizontal="center" vertical="center"/>
    </xf>
    <xf numFmtId="0" fontId="27" fillId="5" borderId="207" xfId="26" applyFont="1" applyFill="1" applyBorder="1" applyAlignment="1">
      <alignment horizontal="center" vertical="center"/>
    </xf>
    <xf numFmtId="0" fontId="27" fillId="5" borderId="208" xfId="26" applyFont="1" applyFill="1" applyBorder="1" applyAlignment="1">
      <alignment horizontal="center" vertical="center"/>
    </xf>
    <xf numFmtId="0" fontId="8" fillId="45" borderId="209" xfId="0" applyFont="1" applyFill="1" applyBorder="1" applyAlignment="1">
      <alignment horizontal="center" vertical="center" wrapText="1"/>
    </xf>
    <xf numFmtId="0" fontId="8" fillId="44" borderId="209" xfId="0" applyFont="1" applyFill="1" applyBorder="1" applyAlignment="1">
      <alignment horizontal="center" vertical="center" wrapText="1"/>
    </xf>
    <xf numFmtId="0" fontId="8" fillId="44" borderId="211" xfId="0" applyFont="1" applyFill="1" applyBorder="1" applyAlignment="1">
      <alignment horizontal="center" vertical="center" wrapText="1"/>
    </xf>
    <xf numFmtId="0" fontId="72" fillId="0" borderId="212" xfId="0" applyFont="1" applyBorder="1" applyAlignment="1">
      <alignment horizontal="center" vertical="center" wrapText="1"/>
    </xf>
    <xf numFmtId="0" fontId="72" fillId="0" borderId="213" xfId="0" applyFont="1" applyBorder="1" applyAlignment="1">
      <alignment horizontal="center" vertical="center" wrapText="1"/>
    </xf>
    <xf numFmtId="2" fontId="0" fillId="0" borderId="0" xfId="26" applyNumberFormat="1" applyFont="1" applyAlignment="1">
      <alignment horizontal="center"/>
    </xf>
    <xf numFmtId="0" fontId="16" fillId="18" borderId="105" xfId="1" applyFill="1" applyBorder="1" applyAlignment="1">
      <alignment horizontal="center" vertical="center" readingOrder="1"/>
    </xf>
    <xf numFmtId="0" fontId="53" fillId="18" borderId="105" xfId="26" applyFont="1" applyFill="1" applyBorder="1" applyAlignment="1">
      <alignment horizontal="center"/>
    </xf>
    <xf numFmtId="0" fontId="0" fillId="0" borderId="0" xfId="26" applyFont="1" applyAlignment="1">
      <alignment horizontal="center"/>
    </xf>
    <xf numFmtId="0" fontId="27" fillId="5" borderId="128" xfId="26" applyFont="1" applyFill="1" applyBorder="1" applyAlignment="1">
      <alignment horizontal="center" vertical="center"/>
    </xf>
    <xf numFmtId="0" fontId="27" fillId="5" borderId="25" xfId="26" applyFont="1" applyFill="1" applyBorder="1" applyAlignment="1">
      <alignment horizontal="center" vertical="center"/>
    </xf>
    <xf numFmtId="0" fontId="27" fillId="5" borderId="26" xfId="26" applyFont="1" applyFill="1" applyBorder="1" applyAlignment="1">
      <alignment horizontal="center" vertical="center"/>
    </xf>
    <xf numFmtId="0" fontId="29" fillId="0" borderId="129" xfId="26" applyFont="1" applyBorder="1" applyAlignment="1">
      <alignment horizontal="center" vertical="center" wrapText="1"/>
    </xf>
    <xf numFmtId="0" fontId="29" fillId="0" borderId="130" xfId="26" applyFont="1" applyBorder="1" applyAlignment="1">
      <alignment horizontal="center" vertical="center" wrapText="1"/>
    </xf>
    <xf numFmtId="0" fontId="29" fillId="0" borderId="131" xfId="26" applyFont="1" applyBorder="1" applyAlignment="1">
      <alignment horizontal="center" vertical="center" wrapText="1"/>
    </xf>
    <xf numFmtId="0" fontId="8" fillId="39" borderId="200" xfId="0" applyFont="1" applyFill="1" applyBorder="1" applyAlignment="1">
      <alignment horizontal="center"/>
    </xf>
    <xf numFmtId="0" fontId="8" fillId="39" borderId="201" xfId="0" applyFont="1" applyFill="1" applyBorder="1" applyAlignment="1">
      <alignment horizontal="center"/>
    </xf>
    <xf numFmtId="0" fontId="8" fillId="39" borderId="147" xfId="0" applyFont="1" applyFill="1" applyBorder="1" applyAlignment="1">
      <alignment horizontal="center"/>
    </xf>
    <xf numFmtId="0" fontId="8" fillId="39" borderId="139" xfId="0" applyFont="1" applyFill="1" applyBorder="1" applyAlignment="1">
      <alignment horizontal="center"/>
    </xf>
    <xf numFmtId="0" fontId="65" fillId="0" borderId="111" xfId="29" applyFont="1" applyBorder="1" applyAlignment="1">
      <alignment horizontal="center" vertical="center"/>
    </xf>
    <xf numFmtId="0" fontId="65" fillId="0" borderId="113" xfId="29" applyFont="1" applyBorder="1" applyAlignment="1">
      <alignment horizontal="center" vertical="center"/>
    </xf>
    <xf numFmtId="0" fontId="55" fillId="36" borderId="0" xfId="0" applyFont="1" applyFill="1" applyAlignment="1">
      <alignment horizontal="left" vertical="center"/>
    </xf>
    <xf numFmtId="0" fontId="55" fillId="36" borderId="133" xfId="0" applyFont="1" applyFill="1" applyBorder="1" applyAlignment="1">
      <alignment horizontal="left" vertical="center"/>
    </xf>
    <xf numFmtId="0" fontId="56" fillId="0" borderId="111" xfId="0" applyFont="1" applyBorder="1" applyAlignment="1">
      <alignment horizontal="center" vertical="center"/>
    </xf>
    <xf numFmtId="0" fontId="56" fillId="0" borderId="114" xfId="0" applyFont="1" applyBorder="1" applyAlignment="1">
      <alignment horizontal="center" vertical="center"/>
    </xf>
    <xf numFmtId="0" fontId="56" fillId="0" borderId="113" xfId="0" applyFont="1" applyBorder="1" applyAlignment="1">
      <alignment horizontal="center" vertical="center"/>
    </xf>
    <xf numFmtId="0" fontId="56" fillId="0" borderId="121" xfId="0" applyFont="1" applyBorder="1" applyAlignment="1">
      <alignment horizontal="center" vertical="center" wrapText="1"/>
    </xf>
    <xf numFmtId="0" fontId="56" fillId="0" borderId="118" xfId="0" applyFont="1" applyBorder="1" applyAlignment="1">
      <alignment horizontal="center" vertical="center" wrapText="1"/>
    </xf>
    <xf numFmtId="0" fontId="61" fillId="28" borderId="120" xfId="0" applyFont="1" applyFill="1" applyBorder="1" applyAlignment="1">
      <alignment horizontal="center"/>
    </xf>
    <xf numFmtId="0" fontId="61" fillId="28" borderId="0" xfId="0" applyFont="1" applyFill="1" applyAlignment="1">
      <alignment horizontal="center"/>
    </xf>
    <xf numFmtId="0" fontId="61" fillId="28" borderId="132" xfId="0" applyFont="1" applyFill="1" applyBorder="1" applyAlignment="1">
      <alignment horizontal="center"/>
    </xf>
    <xf numFmtId="0" fontId="61" fillId="28" borderId="116" xfId="0" applyFont="1" applyFill="1" applyBorder="1" applyAlignment="1">
      <alignment horizontal="center"/>
    </xf>
    <xf numFmtId="0" fontId="61" fillId="28" borderId="183" xfId="0" applyFont="1" applyFill="1" applyBorder="1" applyAlignment="1">
      <alignment horizontal="center"/>
    </xf>
    <xf numFmtId="0" fontId="54" fillId="12" borderId="200" xfId="0" applyFont="1" applyFill="1" applyBorder="1" applyAlignment="1">
      <alignment horizontal="center"/>
    </xf>
    <xf numFmtId="0" fontId="54" fillId="12" borderId="201" xfId="0" applyFont="1" applyFill="1" applyBorder="1" applyAlignment="1">
      <alignment horizontal="center"/>
    </xf>
    <xf numFmtId="0" fontId="54" fillId="12" borderId="168" xfId="0" applyFont="1" applyFill="1" applyBorder="1" applyAlignment="1">
      <alignment horizontal="center"/>
    </xf>
    <xf numFmtId="0" fontId="54" fillId="39" borderId="200" xfId="0" applyFont="1" applyFill="1" applyBorder="1" applyAlignment="1">
      <alignment horizontal="center"/>
    </xf>
    <xf numFmtId="0" fontId="54" fillId="39" borderId="201" xfId="0" applyFont="1" applyFill="1" applyBorder="1" applyAlignment="1">
      <alignment horizontal="center"/>
    </xf>
    <xf numFmtId="0" fontId="54" fillId="39" borderId="168" xfId="0" applyFont="1" applyFill="1" applyBorder="1" applyAlignment="1">
      <alignment horizontal="center"/>
    </xf>
    <xf numFmtId="0" fontId="56" fillId="0" borderId="118" xfId="0" applyFont="1" applyBorder="1" applyAlignment="1">
      <alignment horizontal="center" vertical="center"/>
    </xf>
    <xf numFmtId="0" fontId="56" fillId="0" borderId="121" xfId="0" applyFont="1" applyBorder="1" applyAlignment="1">
      <alignment horizontal="center" vertical="center"/>
    </xf>
    <xf numFmtId="0" fontId="56" fillId="0" borderId="202" xfId="0" applyFont="1" applyBorder="1" applyAlignment="1">
      <alignment horizontal="center" vertical="center"/>
    </xf>
    <xf numFmtId="0" fontId="56" fillId="0" borderId="158" xfId="0" applyFont="1" applyBorder="1" applyAlignment="1">
      <alignment horizontal="center" vertical="center"/>
    </xf>
    <xf numFmtId="0" fontId="56" fillId="0" borderId="110" xfId="0" applyFont="1" applyBorder="1" applyAlignment="1">
      <alignment horizontal="center" vertical="center"/>
    </xf>
    <xf numFmtId="0" fontId="77" fillId="7" borderId="0" xfId="0" applyFont="1" applyFill="1" applyAlignment="1">
      <alignment horizontal="center"/>
    </xf>
    <xf numFmtId="0" fontId="39" fillId="0" borderId="0" xfId="0" applyFont="1" applyAlignment="1">
      <alignment horizontal="center"/>
    </xf>
    <xf numFmtId="0" fontId="9" fillId="0" borderId="0" xfId="0" applyFont="1" applyAlignment="1">
      <alignment horizontal="center"/>
    </xf>
    <xf numFmtId="0" fontId="43" fillId="0" borderId="0" xfId="0" applyFont="1" applyAlignment="1">
      <alignment horizont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29" xfId="0" applyFont="1" applyBorder="1" applyAlignment="1">
      <alignment horizontal="center"/>
    </xf>
    <xf numFmtId="0" fontId="13" fillId="0" borderId="5" xfId="0" applyFont="1" applyBorder="1" applyAlignment="1">
      <alignment horizontal="center"/>
    </xf>
    <xf numFmtId="0" fontId="13" fillId="0" borderId="30" xfId="0" applyFont="1" applyBorder="1" applyAlignment="1">
      <alignment horizontal="center"/>
    </xf>
    <xf numFmtId="0" fontId="35" fillId="0" borderId="0" xfId="0" applyFont="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10" fillId="0" borderId="0" xfId="11" applyAlignment="1" applyProtection="1">
      <alignment horizontal="center"/>
    </xf>
    <xf numFmtId="0" fontId="8" fillId="0" borderId="0" xfId="0" applyFont="1" applyAlignment="1">
      <alignment horizontal="left" vertical="top" wrapText="1"/>
    </xf>
    <xf numFmtId="0" fontId="0" fillId="0" borderId="0" xfId="0" applyAlignment="1">
      <alignment horizontal="left" vertical="top" wrapText="1"/>
    </xf>
    <xf numFmtId="9" fontId="8" fillId="0" borderId="0" xfId="16"/>
  </cellXfs>
  <cellStyles count="35">
    <cellStyle name="blp_title_header_row_left" xfId="1" xr:uid="{00000000-0005-0000-0000-000000000000}"/>
    <cellStyle name="Comma" xfId="34" builtinId="3"/>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yperlink" xfId="11" builtinId="8"/>
    <cellStyle name="Moneda 2" xfId="12" xr:uid="{00000000-0005-0000-0000-00000B000000}"/>
    <cellStyle name="Moneda 2 2" xfId="13" xr:uid="{00000000-0005-0000-0000-00000C000000}"/>
    <cellStyle name="Normal" xfId="0" builtinId="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5" xfId="30" xr:uid="{E3BE1569-E214-4855-8BF5-B868B88B5743}"/>
    <cellStyle name="Normal 9" xfId="33" xr:uid="{CACD4D4E-2C7F-4816-9692-26D0FDD559DC}"/>
    <cellStyle name="Percent" xfId="16" builtinId="5"/>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s>
  <dxfs count="54">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3" formatCode="#,##0"/>
    </dxf>
    <dxf>
      <numFmt numFmtId="3" formatCode="#,##0"/>
    </dxf>
    <dxf>
      <numFmt numFmtId="3" formatCode="#,##0"/>
    </dxf>
  </dxfs>
  <tableStyles count="1" defaultTableStyle="TableStyleMedium9" defaultPivotStyle="PivotStyleLight16">
    <tableStyle name="Invisible" pivot="0" table="0" count="0" xr9:uid="{7B8256E5-5961-45BC-8E74-75040304E975}"/>
  </tableStyles>
  <colors>
    <mruColors>
      <color rgb="FF1F497D"/>
      <color rgb="FFC5D9F1"/>
      <color rgb="FF1B7087"/>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06/relationships/rdRichValueStructure" Target="richData/rdrichvaluestructure.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SupportingPropertyBag" Target="richData/rdsupportingpropertybag.xml"/><Relationship Id="rId28" Type="http://schemas.openxmlformats.org/officeDocument/2006/relationships/customXml" Target="../customXml/item2.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dSupportingPropertyBagStructure" Target="richData/rdsupportingpropertybagstructure.xml"/><Relationship Id="rId27" Type="http://schemas.openxmlformats.org/officeDocument/2006/relationships/customXml" Target="../customXml/item1.xml"/><Relationship Id="rId3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Segments!$D$4</c:f>
              <c:strCache>
                <c:ptCount val="1"/>
                <c:pt idx="0">
                  <c:v>2023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54-4C57-A8E6-83FAB8687C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54-4C57-A8E6-83FAB8687C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54-4C57-A8E6-83FAB8687C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F54-4C57-A8E6-83FAB8687C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F54-4C57-A8E6-83FAB8687CE4}"/>
              </c:ext>
            </c:extLst>
          </c:dPt>
          <c:cat>
            <c:strRef>
              <c:f>Segments!$C$5:$C$9</c:f>
              <c:strCache>
                <c:ptCount val="5"/>
                <c:pt idx="0">
                  <c:v>Automobiles</c:v>
                </c:pt>
                <c:pt idx="1">
                  <c:v>Automotive Parts &amp; Components</c:v>
                </c:pt>
                <c:pt idx="2">
                  <c:v>Provision Of Services</c:v>
                </c:pt>
                <c:pt idx="3">
                  <c:v>Moulds &amp; Others</c:v>
                </c:pt>
                <c:pt idx="4">
                  <c:v>Other Business</c:v>
                </c:pt>
              </c:strCache>
            </c:strRef>
          </c:cat>
          <c:val>
            <c:numRef>
              <c:f>Segments!$D$5:$D$9</c:f>
              <c:numCache>
                <c:formatCode>"$"#,##0</c:formatCode>
                <c:ptCount val="5"/>
                <c:pt idx="0">
                  <c:v>153278.79999999999</c:v>
                </c:pt>
                <c:pt idx="1">
                  <c:v>12614.4</c:v>
                </c:pt>
                <c:pt idx="2">
                  <c:v>2853.4</c:v>
                </c:pt>
                <c:pt idx="3">
                  <c:v>2479.9</c:v>
                </c:pt>
                <c:pt idx="4">
                  <c:v>1985.6</c:v>
                </c:pt>
              </c:numCache>
            </c:numRef>
          </c:val>
          <c:extLst>
            <c:ext xmlns:c16="http://schemas.microsoft.com/office/drawing/2014/chart" uri="{C3380CC4-5D6E-409C-BE32-E72D297353CC}">
              <c16:uniqueId val="{04115C43-3402-4335-AA31-3C79BC17F8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Great Wall Motor Company Limited (XHKG:82333)</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1.3255005969274323</c:v>
                </c:pt>
              </c:numCache>
            </c:numRef>
          </c:xVal>
          <c:yVal>
            <c:numRef>
              <c:f>Peers!$C$37</c:f>
              <c:numCache>
                <c:formatCode>0.0</c:formatCode>
                <c:ptCount val="1"/>
                <c:pt idx="0">
                  <c:v>12991251.155715849</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BYD COMPANY LIMITED (XHKG:1211)</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-0.87123038697789468</c:v>
                </c:pt>
              </c:numCache>
            </c:numRef>
          </c:xVal>
          <c:yVal>
            <c:numRef>
              <c:f>Peers!$D$37</c:f>
              <c:numCache>
                <c:formatCode>0.0</c:formatCode>
                <c:ptCount val="1"/>
                <c:pt idx="0">
                  <c:v>10152150.62733331</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GEELY AUTOMOBILE HOLDINGS LIMITED (XHKG:175)</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0</c:v>
                </c:pt>
              </c:numCache>
            </c:numRef>
          </c:xVal>
          <c:yVal>
            <c:numRef>
              <c:f>Peers!$E$37</c:f>
              <c:numCache>
                <c:formatCode>0.0</c:formatCode>
                <c:ptCount val="1"/>
                <c:pt idx="0">
                  <c:v>0</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BAIC MOTOR Corporation Limited (XHKG:1958)</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0</c:v>
                </c:pt>
              </c:numCache>
            </c:numRef>
          </c:xVal>
          <c:yVal>
            <c:numRef>
              <c:f>Peers!$F$37</c:f>
              <c:numCache>
                <c:formatCode>0.0</c:formatCode>
                <c:ptCount val="1"/>
                <c:pt idx="0">
                  <c:v>0</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DONGFENG MOTOR GROUP COMPANY LIMITED (XHKG:489)</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0</c:v>
                </c:pt>
              </c:numCache>
            </c:numRef>
          </c:xVal>
          <c:yVal>
            <c:numRef>
              <c:f>Peers!$G$37</c:f>
              <c:numCache>
                <c:formatCode>0.0</c:formatCode>
                <c:ptCount val="1"/>
                <c:pt idx="0">
                  <c:v>0</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XPENG INC. (XHKG:9868)</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0</c:v>
                </c:pt>
              </c:numCache>
            </c:numRef>
          </c:xVal>
          <c:yVal>
            <c:numRef>
              <c:f>Peers!$H$37</c:f>
              <c:numCache>
                <c:formatCode>0.0</c:formatCode>
                <c:ptCount val="1"/>
                <c:pt idx="0">
                  <c:v>0</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Great Wall Motor Company Limited (XHKG:82333)</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numCache>
            </c:numRef>
          </c:xVal>
          <c:yVal>
            <c:numRef>
              <c:f>Peers!$C$49</c:f>
              <c:numCache>
                <c:formatCode>0%</c:formatCode>
                <c:ptCount val="1"/>
                <c:pt idx="0">
                  <c:v>1.8604705126374412</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BYD COMPANY LIMITED (XHKG:1211)</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numCache>
            </c:numRef>
          </c:xVal>
          <c:yVal>
            <c:numRef>
              <c:f>Peers!$D$49</c:f>
              <c:numCache>
                <c:formatCode>0.00%</c:formatCode>
                <c:ptCount val="1"/>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GEELY AUTOMOBILE HOLDINGS LIMITED (XHKG:175)</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numCache>
            </c:numRef>
          </c:xVal>
          <c:yVal>
            <c:numRef>
              <c:f>Peers!$E$49</c:f>
              <c:numCache>
                <c:formatCode>0.00%</c:formatCode>
                <c:ptCount val="1"/>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BAIC MOTOR Corporation Limited (XHKG:1958)</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numCache>
            </c:numRef>
          </c:xVal>
          <c:yVal>
            <c:numRef>
              <c:f>Peers!$F$49</c:f>
              <c:numCache>
                <c:formatCode>0.00%</c:formatCode>
                <c:ptCount val="1"/>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DONGFENG MOTOR GROUP COMPANY LIMITED (XHKG:489)</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numCache>
            </c:numRef>
          </c:xVal>
          <c:yVal>
            <c:numRef>
              <c:f>Peers!$G$49</c:f>
              <c:numCache>
                <c:formatCode>0.00%</c:formatCode>
                <c:ptCount val="1"/>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XPENG INC. (XHKG:9868)</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numCache>
            </c:numRef>
          </c:xVal>
          <c:yVal>
            <c:numRef>
              <c:f>Peers!$H$49</c:f>
              <c:numCache>
                <c:formatCode>0.00%</c:formatCode>
                <c:ptCount val="1"/>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T"/>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T"/>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T"/>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Sheet1!$B$1</c:f>
              <c:strCache>
                <c:ptCount val="1"/>
                <c:pt idx="0">
                  <c:v>Net Sales</c:v>
                </c:pt>
              </c:strCache>
            </c:strRef>
          </c:tx>
          <c:spPr>
            <a:ln w="28575" cap="rnd">
              <a:solidFill>
                <a:schemeClr val="accent1"/>
              </a:solidFill>
              <a:round/>
            </a:ln>
            <a:effectLst/>
          </c:spPr>
          <c:marker>
            <c:symbol val="none"/>
          </c:marker>
          <c:val>
            <c:numRef>
              <c:f>Sheet1!$B$2:$B$40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c:v>202777</c:v>
                </c:pt>
              </c:numCache>
            </c:numRef>
          </c:val>
          <c:smooth val="0"/>
          <c:extLst>
            <c:ext xmlns:c16="http://schemas.microsoft.com/office/drawing/2014/chart" uri="{C3380CC4-5D6E-409C-BE32-E72D297353CC}">
              <c16:uniqueId val="{00000000-0430-4734-98F1-BD0009E25C56}"/>
            </c:ext>
          </c:extLst>
        </c:ser>
        <c:ser>
          <c:idx val="1"/>
          <c:order val="1"/>
          <c:tx>
            <c:strRef>
              <c:f>Sheet1!$C$1</c:f>
              <c:strCache>
                <c:ptCount val="1"/>
                <c:pt idx="0">
                  <c:v>Forecast(Net Sales)</c:v>
                </c:pt>
              </c:strCache>
            </c:strRef>
          </c:tx>
          <c:spPr>
            <a:ln w="25400" cap="rnd">
              <a:solidFill>
                <a:schemeClr val="accent2"/>
              </a:solidFill>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Sheet1!$C$2:$C$40</c:f>
              <c:numCache>
                <c:formatCode>General</c:formatCode>
                <c:ptCount val="39"/>
                <c:pt idx="12" formatCode="#,##0">
                  <c:v>202777</c:v>
                </c:pt>
                <c:pt idx="13" formatCode="#,##0">
                  <c:v>185744.27958744424</c:v>
                </c:pt>
                <c:pt idx="14" formatCode="#,##0">
                  <c:v>196852.90816103722</c:v>
                </c:pt>
                <c:pt idx="15" formatCode="#,##0">
                  <c:v>207961.53673463018</c:v>
                </c:pt>
                <c:pt idx="16" formatCode="#,##0">
                  <c:v>219070.16530822316</c:v>
                </c:pt>
                <c:pt idx="17" formatCode="#,##0">
                  <c:v>230178.79388181612</c:v>
                </c:pt>
                <c:pt idx="18" formatCode="#,##0">
                  <c:v>241287.42245540908</c:v>
                </c:pt>
                <c:pt idx="19" formatCode="#,##0">
                  <c:v>252396.05102900206</c:v>
                </c:pt>
                <c:pt idx="20" formatCode="#,##0">
                  <c:v>263504.67960259505</c:v>
                </c:pt>
                <c:pt idx="21" formatCode="#,##0">
                  <c:v>274613.30817618797</c:v>
                </c:pt>
                <c:pt idx="22" formatCode="#,##0">
                  <c:v>285721.93674978096</c:v>
                </c:pt>
                <c:pt idx="23" formatCode="#,##0">
                  <c:v>296830.56532337388</c:v>
                </c:pt>
                <c:pt idx="24" formatCode="#,##0">
                  <c:v>307939.19389696687</c:v>
                </c:pt>
                <c:pt idx="25" formatCode="#,##0">
                  <c:v>319047.82247055985</c:v>
                </c:pt>
                <c:pt idx="26" formatCode="#,##0">
                  <c:v>330156.45104415284</c:v>
                </c:pt>
                <c:pt idx="27" formatCode="#,##0">
                  <c:v>341265.07961774583</c:v>
                </c:pt>
                <c:pt idx="28" formatCode="#,##0">
                  <c:v>352373.70819133875</c:v>
                </c:pt>
                <c:pt idx="29" formatCode="#,##0">
                  <c:v>363482.33676493168</c:v>
                </c:pt>
                <c:pt idx="30" formatCode="#,##0">
                  <c:v>374590.96533852466</c:v>
                </c:pt>
                <c:pt idx="31" formatCode="#,##0">
                  <c:v>385699.59391211765</c:v>
                </c:pt>
                <c:pt idx="32" formatCode="#,##0">
                  <c:v>396808.22248571063</c:v>
                </c:pt>
                <c:pt idx="33" formatCode="#,##0">
                  <c:v>407916.85105930362</c:v>
                </c:pt>
                <c:pt idx="34" formatCode="#,##0">
                  <c:v>419025.47963289655</c:v>
                </c:pt>
                <c:pt idx="35" formatCode="#,##0">
                  <c:v>430134.10820648953</c:v>
                </c:pt>
                <c:pt idx="36" formatCode="#,##0">
                  <c:v>441242.73678008246</c:v>
                </c:pt>
                <c:pt idx="37" formatCode="#,##0">
                  <c:v>452351.36535367544</c:v>
                </c:pt>
                <c:pt idx="38" formatCode="#,##0">
                  <c:v>463459.99392726843</c:v>
                </c:pt>
              </c:numCache>
            </c:numRef>
          </c:val>
          <c:smooth val="0"/>
          <c:extLst>
            <c:ext xmlns:c16="http://schemas.microsoft.com/office/drawing/2014/chart" uri="{C3380CC4-5D6E-409C-BE32-E72D297353CC}">
              <c16:uniqueId val="{00000001-0430-4734-98F1-BD0009E25C56}"/>
            </c:ext>
          </c:extLst>
        </c:ser>
        <c:ser>
          <c:idx val="2"/>
          <c:order val="2"/>
          <c:tx>
            <c:strRef>
              <c:f>Sheet1!$D$1</c:f>
              <c:strCache>
                <c:ptCount val="1"/>
                <c:pt idx="0">
                  <c:v>Lower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Sheet1!$D$2:$D$40</c:f>
              <c:numCache>
                <c:formatCode>General</c:formatCode>
                <c:ptCount val="39"/>
                <c:pt idx="12" formatCode="#,##0">
                  <c:v>202777</c:v>
                </c:pt>
                <c:pt idx="13" formatCode="#,##0">
                  <c:v>160987.79607473197</c:v>
                </c:pt>
                <c:pt idx="14" formatCode="#,##0">
                  <c:v>171897.57459287529</c:v>
                </c:pt>
                <c:pt idx="15" formatCode="#,##0">
                  <c:v>182805.81857021229</c:v>
                </c:pt>
                <c:pt idx="16" formatCode="#,##0">
                  <c:v>193712.5402165406</c:v>
                </c:pt>
                <c:pt idx="17" formatCode="#,##0">
                  <c:v>204617.75162933164</c:v>
                </c:pt>
                <c:pt idx="18" formatCode="#,##0">
                  <c:v>215521.46479101249</c:v>
                </c:pt>
                <c:pt idx="19" formatCode="#,##0">
                  <c:v>226423.69156653073</c:v>
                </c:pt>
                <c:pt idx="20" formatCode="#,##0">
                  <c:v>237324.44370118866</c:v>
                </c:pt>
                <c:pt idx="21" formatCode="#,##0">
                  <c:v>248223.7328187325</c:v>
                </c:pt>
                <c:pt idx="22" formatCode="#,##0">
                  <c:v>259121.57041968365</c:v>
                </c:pt>
                <c:pt idx="23" formatCode="#,##0">
                  <c:v>270017.96787989774</c:v>
                </c:pt>
                <c:pt idx="24" formatCode="#,##0">
                  <c:v>280912.93644934095</c:v>
                </c:pt>
                <c:pt idx="25" formatCode="#,##0">
                  <c:v>291806.48725106881</c:v>
                </c:pt>
                <c:pt idx="26" formatCode="#,##0">
                  <c:v>302698.63128039805</c:v>
                </c:pt>
                <c:pt idx="27" formatCode="#,##0">
                  <c:v>313589.37940425926</c:v>
                </c:pt>
                <c:pt idx="28" formatCode="#,##0">
                  <c:v>324478.7423607189</c:v>
                </c:pt>
                <c:pt idx="29" formatCode="#,##0">
                  <c:v>335366.73075866175</c:v>
                </c:pt>
                <c:pt idx="30" formatCode="#,##0">
                  <c:v>346253.3550776224</c:v>
                </c:pt>
                <c:pt idx="31" formatCode="#,##0">
                  <c:v>357138.62566775712</c:v>
                </c:pt>
                <c:pt idx="32" formatCode="#,##0">
                  <c:v>368022.55274994648</c:v>
                </c:pt>
                <c:pt idx="33" formatCode="#,##0">
                  <c:v>378905.14641602046</c:v>
                </c:pt>
                <c:pt idx="34" formatCode="#,##0">
                  <c:v>389786.41662909719</c:v>
                </c:pt>
                <c:pt idx="35" formatCode="#,##0">
                  <c:v>400666.37322402786</c:v>
                </c:pt>
                <c:pt idx="36" formatCode="#,##0">
                  <c:v>411545.02590793971</c:v>
                </c:pt>
                <c:pt idx="37" formatCode="#,##0">
                  <c:v>422422.38426087046</c:v>
                </c:pt>
                <c:pt idx="38" formatCode="#,##0">
                  <c:v>433298.45773648692</c:v>
                </c:pt>
              </c:numCache>
            </c:numRef>
          </c:val>
          <c:smooth val="0"/>
          <c:extLst>
            <c:ext xmlns:c16="http://schemas.microsoft.com/office/drawing/2014/chart" uri="{C3380CC4-5D6E-409C-BE32-E72D297353CC}">
              <c16:uniqueId val="{00000002-0430-4734-98F1-BD0009E25C56}"/>
            </c:ext>
          </c:extLst>
        </c:ser>
        <c:ser>
          <c:idx val="3"/>
          <c:order val="3"/>
          <c:tx>
            <c:strRef>
              <c:f>Sheet1!$E$1</c:f>
              <c:strCache>
                <c:ptCount val="1"/>
                <c:pt idx="0">
                  <c:v>Upper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Sheet1!$E$2:$E$40</c:f>
              <c:numCache>
                <c:formatCode>General</c:formatCode>
                <c:ptCount val="39"/>
                <c:pt idx="12" formatCode="#,##0">
                  <c:v>202777</c:v>
                </c:pt>
                <c:pt idx="13" formatCode="#,##0">
                  <c:v>210500.7631001565</c:v>
                </c:pt>
                <c:pt idx="14" formatCode="#,##0">
                  <c:v>221808.24172919916</c:v>
                </c:pt>
                <c:pt idx="15" formatCode="#,##0">
                  <c:v>233117.25489904807</c:v>
                </c:pt>
                <c:pt idx="16" formatCode="#,##0">
                  <c:v>244427.79039990573</c:v>
                </c:pt>
                <c:pt idx="17" formatCode="#,##0">
                  <c:v>255739.8361343006</c:v>
                </c:pt>
                <c:pt idx="18" formatCode="#,##0">
                  <c:v>267053.38011980569</c:v>
                </c:pt>
                <c:pt idx="19" formatCode="#,##0">
                  <c:v>278368.41049147339</c:v>
                </c:pt>
                <c:pt idx="20" formatCode="#,##0">
                  <c:v>289684.91550400143</c:v>
                </c:pt>
                <c:pt idx="21" formatCode="#,##0">
                  <c:v>301002.88353364344</c:v>
                </c:pt>
                <c:pt idx="22" formatCode="#,##0">
                  <c:v>312322.30307987827</c:v>
                </c:pt>
                <c:pt idx="23" formatCode="#,##0">
                  <c:v>323643.16276685003</c:v>
                </c:pt>
                <c:pt idx="24" formatCode="#,##0">
                  <c:v>334965.45134459279</c:v>
                </c:pt>
                <c:pt idx="25" formatCode="#,##0">
                  <c:v>346289.1576900509</c:v>
                </c:pt>
                <c:pt idx="26" formatCode="#,##0">
                  <c:v>357614.27080790763</c:v>
                </c:pt>
                <c:pt idx="27" formatCode="#,##0">
                  <c:v>368940.77983123239</c:v>
                </c:pt>
                <c:pt idx="28" formatCode="#,##0">
                  <c:v>380268.67402195861</c:v>
                </c:pt>
                <c:pt idx="29" formatCode="#,##0">
                  <c:v>391597.9427712016</c:v>
                </c:pt>
                <c:pt idx="30" formatCode="#,##0">
                  <c:v>402928.57559942693</c:v>
                </c:pt>
                <c:pt idx="31" formatCode="#,##0">
                  <c:v>414260.56215647818</c:v>
                </c:pt>
                <c:pt idx="32" formatCode="#,##0">
                  <c:v>425593.89222147479</c:v>
                </c:pt>
                <c:pt idx="33" formatCode="#,##0">
                  <c:v>436928.55570258677</c:v>
                </c:pt>
                <c:pt idx="34" formatCode="#,##0">
                  <c:v>448264.5426366959</c:v>
                </c:pt>
                <c:pt idx="35" formatCode="#,##0">
                  <c:v>459601.8431889512</c:v>
                </c:pt>
                <c:pt idx="36" formatCode="#,##0">
                  <c:v>470940.44765222521</c:v>
                </c:pt>
                <c:pt idx="37" formatCode="#,##0">
                  <c:v>482280.34644648043</c:v>
                </c:pt>
                <c:pt idx="38" formatCode="#,##0">
                  <c:v>493621.53011804994</c:v>
                </c:pt>
              </c:numCache>
            </c:numRef>
          </c:val>
          <c:smooth val="0"/>
          <c:extLst>
            <c:ext xmlns:c16="http://schemas.microsoft.com/office/drawing/2014/chart" uri="{C3380CC4-5D6E-409C-BE32-E72D297353CC}">
              <c16:uniqueId val="{00000003-0430-4734-98F1-BD0009E25C56}"/>
            </c:ext>
          </c:extLst>
        </c:ser>
        <c:dLbls>
          <c:showLegendKey val="0"/>
          <c:showVal val="0"/>
          <c:showCatName val="0"/>
          <c:showSerName val="0"/>
          <c:showPercent val="0"/>
          <c:showBubbleSize val="0"/>
        </c:dLbls>
        <c:smooth val="0"/>
        <c:axId val="515845535"/>
        <c:axId val="515844095"/>
      </c:lineChart>
      <c:catAx>
        <c:axId val="51584553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4095"/>
        <c:crosses val="autoZero"/>
        <c:auto val="1"/>
        <c:lblAlgn val="ctr"/>
        <c:lblOffset val="100"/>
        <c:noMultiLvlLbl val="0"/>
      </c:catAx>
      <c:valAx>
        <c:axId val="51584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PT"/>
        </a:p>
      </c:txPr>
    </c:title>
    <c:autoTitleDeleted val="0"/>
    <c:plotArea>
      <c:layout/>
      <c:barChart>
        <c:barDir val="col"/>
        <c:grouping val="clustered"/>
        <c:varyColors val="0"/>
        <c:ser>
          <c:idx val="0"/>
          <c:order val="0"/>
          <c:tx>
            <c:strRef>
              <c:f>Assumptions!$B$49</c:f>
              <c:strCache>
                <c:ptCount val="1"/>
                <c:pt idx="0">
                  <c:v>Net Sales</c:v>
                </c:pt>
              </c:strCache>
            </c:strRef>
          </c:tx>
          <c:spPr>
            <a:solidFill>
              <a:schemeClr val="accent1">
                <a:alpha val="70000"/>
              </a:schemeClr>
            </a:solidFill>
            <a:ln>
              <a:noFill/>
            </a:ln>
            <a:effectLst/>
          </c:spPr>
          <c:invertIfNegative val="0"/>
          <c:trendline>
            <c:spPr>
              <a:ln w="15875" cap="rnd">
                <a:solidFill>
                  <a:schemeClr val="accent1"/>
                </a:solidFill>
              </a:ln>
              <a:effectLst/>
            </c:spPr>
            <c:trendlineType val="movingAvg"/>
            <c:period val="2"/>
            <c:dispRSqr val="0"/>
            <c:dispEq val="0"/>
          </c:trendline>
          <c:cat>
            <c:numRef>
              <c:f>Assumptions!$C$48:$N$48</c:f>
              <c:numCache>
                <c:formatCode>General</c:formatCod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numCache>
            </c:numRef>
          </c:cat>
          <c:val>
            <c:numRef>
              <c:f>Assumptions!$C$49:$N$49</c:f>
              <c:numCache>
                <c:formatCode>#,##0</c:formatCode>
                <c:ptCount val="12"/>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numCache>
            </c:numRef>
          </c:val>
          <c:extLst>
            <c:ext xmlns:c16="http://schemas.microsoft.com/office/drawing/2014/chart" uri="{C3380CC4-5D6E-409C-BE32-E72D297353CC}">
              <c16:uniqueId val="{00000000-5925-4760-B754-399E078B88CF}"/>
            </c:ext>
          </c:extLst>
        </c:ser>
        <c:dLbls>
          <c:showLegendKey val="0"/>
          <c:showVal val="0"/>
          <c:showCatName val="0"/>
          <c:showSerName val="0"/>
          <c:showPercent val="0"/>
          <c:showBubbleSize val="0"/>
        </c:dLbls>
        <c:gapWidth val="80"/>
        <c:overlap val="25"/>
        <c:axId val="1823315584"/>
        <c:axId val="1823314144"/>
      </c:barChart>
      <c:catAx>
        <c:axId val="182331558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PT"/>
          </a:p>
        </c:txPr>
        <c:crossAx val="1823314144"/>
        <c:crosses val="autoZero"/>
        <c:auto val="1"/>
        <c:lblAlgn val="ctr"/>
        <c:lblOffset val="100"/>
        <c:noMultiLvlLbl val="0"/>
      </c:catAx>
      <c:valAx>
        <c:axId val="1823314144"/>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PT"/>
          </a:p>
        </c:txPr>
        <c:crossAx val="182331558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Sheet1!$B$1</c:f>
              <c:strCache>
                <c:ptCount val="1"/>
                <c:pt idx="0">
                  <c:v>Net Sales</c:v>
                </c:pt>
              </c:strCache>
            </c:strRef>
          </c:tx>
          <c:spPr>
            <a:ln w="28575" cap="rnd">
              <a:solidFill>
                <a:schemeClr val="accent1"/>
              </a:solidFill>
              <a:round/>
            </a:ln>
            <a:effectLst/>
          </c:spPr>
          <c:marker>
            <c:symbol val="none"/>
          </c:marker>
          <c:val>
            <c:numRef>
              <c:f>Sheet1!$B$2:$B$40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c:v>202777</c:v>
                </c:pt>
              </c:numCache>
            </c:numRef>
          </c:val>
          <c:smooth val="0"/>
          <c:extLst>
            <c:ext xmlns:c16="http://schemas.microsoft.com/office/drawing/2014/chart" uri="{C3380CC4-5D6E-409C-BE32-E72D297353CC}">
              <c16:uniqueId val="{00000000-2631-4C3D-B087-B63B5D614D3E}"/>
            </c:ext>
          </c:extLst>
        </c:ser>
        <c:ser>
          <c:idx val="1"/>
          <c:order val="1"/>
          <c:tx>
            <c:strRef>
              <c:f>Sheet1!$C$1</c:f>
              <c:strCache>
                <c:ptCount val="1"/>
                <c:pt idx="0">
                  <c:v>Forecast(Net Sales)</c:v>
                </c:pt>
              </c:strCache>
            </c:strRef>
          </c:tx>
          <c:spPr>
            <a:ln w="25400" cap="rnd">
              <a:solidFill>
                <a:schemeClr val="accent2"/>
              </a:solidFill>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Sheet1!$C$2:$C$40</c:f>
              <c:numCache>
                <c:formatCode>General</c:formatCode>
                <c:ptCount val="39"/>
                <c:pt idx="12" formatCode="#,##0">
                  <c:v>202777</c:v>
                </c:pt>
                <c:pt idx="13" formatCode="#,##0">
                  <c:v>185744.27958744424</c:v>
                </c:pt>
                <c:pt idx="14" formatCode="#,##0">
                  <c:v>196852.90816103722</c:v>
                </c:pt>
                <c:pt idx="15" formatCode="#,##0">
                  <c:v>207961.53673463018</c:v>
                </c:pt>
                <c:pt idx="16" formatCode="#,##0">
                  <c:v>219070.16530822316</c:v>
                </c:pt>
                <c:pt idx="17" formatCode="#,##0">
                  <c:v>230178.79388181612</c:v>
                </c:pt>
                <c:pt idx="18" formatCode="#,##0">
                  <c:v>241287.42245540908</c:v>
                </c:pt>
                <c:pt idx="19" formatCode="#,##0">
                  <c:v>252396.05102900206</c:v>
                </c:pt>
                <c:pt idx="20" formatCode="#,##0">
                  <c:v>263504.67960259505</c:v>
                </c:pt>
                <c:pt idx="21" formatCode="#,##0">
                  <c:v>274613.30817618797</c:v>
                </c:pt>
                <c:pt idx="22" formatCode="#,##0">
                  <c:v>285721.93674978096</c:v>
                </c:pt>
                <c:pt idx="23" formatCode="#,##0">
                  <c:v>296830.56532337388</c:v>
                </c:pt>
                <c:pt idx="24" formatCode="#,##0">
                  <c:v>307939.19389696687</c:v>
                </c:pt>
                <c:pt idx="25" formatCode="#,##0">
                  <c:v>319047.82247055985</c:v>
                </c:pt>
                <c:pt idx="26" formatCode="#,##0">
                  <c:v>330156.45104415284</c:v>
                </c:pt>
                <c:pt idx="27" formatCode="#,##0">
                  <c:v>341265.07961774583</c:v>
                </c:pt>
                <c:pt idx="28" formatCode="#,##0">
                  <c:v>352373.70819133875</c:v>
                </c:pt>
                <c:pt idx="29" formatCode="#,##0">
                  <c:v>363482.33676493168</c:v>
                </c:pt>
                <c:pt idx="30" formatCode="#,##0">
                  <c:v>374590.96533852466</c:v>
                </c:pt>
                <c:pt idx="31" formatCode="#,##0">
                  <c:v>385699.59391211765</c:v>
                </c:pt>
                <c:pt idx="32" formatCode="#,##0">
                  <c:v>396808.22248571063</c:v>
                </c:pt>
                <c:pt idx="33" formatCode="#,##0">
                  <c:v>407916.85105930362</c:v>
                </c:pt>
                <c:pt idx="34" formatCode="#,##0">
                  <c:v>419025.47963289655</c:v>
                </c:pt>
                <c:pt idx="35" formatCode="#,##0">
                  <c:v>430134.10820648953</c:v>
                </c:pt>
                <c:pt idx="36" formatCode="#,##0">
                  <c:v>441242.73678008246</c:v>
                </c:pt>
                <c:pt idx="37" formatCode="#,##0">
                  <c:v>452351.36535367544</c:v>
                </c:pt>
                <c:pt idx="38" formatCode="#,##0">
                  <c:v>463459.99392726843</c:v>
                </c:pt>
              </c:numCache>
            </c:numRef>
          </c:val>
          <c:smooth val="0"/>
          <c:extLst>
            <c:ext xmlns:c16="http://schemas.microsoft.com/office/drawing/2014/chart" uri="{C3380CC4-5D6E-409C-BE32-E72D297353CC}">
              <c16:uniqueId val="{00000001-2631-4C3D-B087-B63B5D614D3E}"/>
            </c:ext>
          </c:extLst>
        </c:ser>
        <c:ser>
          <c:idx val="2"/>
          <c:order val="2"/>
          <c:tx>
            <c:strRef>
              <c:f>Sheet1!$D$1</c:f>
              <c:strCache>
                <c:ptCount val="1"/>
                <c:pt idx="0">
                  <c:v>Lower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Sheet1!$D$2:$D$40</c:f>
              <c:numCache>
                <c:formatCode>General</c:formatCode>
                <c:ptCount val="39"/>
                <c:pt idx="12" formatCode="#,##0">
                  <c:v>202777</c:v>
                </c:pt>
                <c:pt idx="13" formatCode="#,##0">
                  <c:v>160987.79607473197</c:v>
                </c:pt>
                <c:pt idx="14" formatCode="#,##0">
                  <c:v>171897.57459287529</c:v>
                </c:pt>
                <c:pt idx="15" formatCode="#,##0">
                  <c:v>182805.81857021229</c:v>
                </c:pt>
                <c:pt idx="16" formatCode="#,##0">
                  <c:v>193712.5402165406</c:v>
                </c:pt>
                <c:pt idx="17" formatCode="#,##0">
                  <c:v>204617.75162933164</c:v>
                </c:pt>
                <c:pt idx="18" formatCode="#,##0">
                  <c:v>215521.46479101249</c:v>
                </c:pt>
                <c:pt idx="19" formatCode="#,##0">
                  <c:v>226423.69156653073</c:v>
                </c:pt>
                <c:pt idx="20" formatCode="#,##0">
                  <c:v>237324.44370118866</c:v>
                </c:pt>
                <c:pt idx="21" formatCode="#,##0">
                  <c:v>248223.7328187325</c:v>
                </c:pt>
                <c:pt idx="22" formatCode="#,##0">
                  <c:v>259121.57041968365</c:v>
                </c:pt>
                <c:pt idx="23" formatCode="#,##0">
                  <c:v>270017.96787989774</c:v>
                </c:pt>
                <c:pt idx="24" formatCode="#,##0">
                  <c:v>280912.93644934095</c:v>
                </c:pt>
                <c:pt idx="25" formatCode="#,##0">
                  <c:v>291806.48725106881</c:v>
                </c:pt>
                <c:pt idx="26" formatCode="#,##0">
                  <c:v>302698.63128039805</c:v>
                </c:pt>
                <c:pt idx="27" formatCode="#,##0">
                  <c:v>313589.37940425926</c:v>
                </c:pt>
                <c:pt idx="28" formatCode="#,##0">
                  <c:v>324478.7423607189</c:v>
                </c:pt>
                <c:pt idx="29" formatCode="#,##0">
                  <c:v>335366.73075866175</c:v>
                </c:pt>
                <c:pt idx="30" formatCode="#,##0">
                  <c:v>346253.3550776224</c:v>
                </c:pt>
                <c:pt idx="31" formatCode="#,##0">
                  <c:v>357138.62566775712</c:v>
                </c:pt>
                <c:pt idx="32" formatCode="#,##0">
                  <c:v>368022.55274994648</c:v>
                </c:pt>
                <c:pt idx="33" formatCode="#,##0">
                  <c:v>378905.14641602046</c:v>
                </c:pt>
                <c:pt idx="34" formatCode="#,##0">
                  <c:v>389786.41662909719</c:v>
                </c:pt>
                <c:pt idx="35" formatCode="#,##0">
                  <c:v>400666.37322402786</c:v>
                </c:pt>
                <c:pt idx="36" formatCode="#,##0">
                  <c:v>411545.02590793971</c:v>
                </c:pt>
                <c:pt idx="37" formatCode="#,##0">
                  <c:v>422422.38426087046</c:v>
                </c:pt>
                <c:pt idx="38" formatCode="#,##0">
                  <c:v>433298.45773648692</c:v>
                </c:pt>
              </c:numCache>
            </c:numRef>
          </c:val>
          <c:smooth val="0"/>
          <c:extLst>
            <c:ext xmlns:c16="http://schemas.microsoft.com/office/drawing/2014/chart" uri="{C3380CC4-5D6E-409C-BE32-E72D297353CC}">
              <c16:uniqueId val="{00000002-2631-4C3D-B087-B63B5D614D3E}"/>
            </c:ext>
          </c:extLst>
        </c:ser>
        <c:ser>
          <c:idx val="3"/>
          <c:order val="3"/>
          <c:tx>
            <c:strRef>
              <c:f>Sheet1!$E$1</c:f>
              <c:strCache>
                <c:ptCount val="1"/>
                <c:pt idx="0">
                  <c:v>Upper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Sheet1!$E$2:$E$40</c:f>
              <c:numCache>
                <c:formatCode>General</c:formatCode>
                <c:ptCount val="39"/>
                <c:pt idx="12" formatCode="#,##0">
                  <c:v>202777</c:v>
                </c:pt>
                <c:pt idx="13" formatCode="#,##0">
                  <c:v>210500.7631001565</c:v>
                </c:pt>
                <c:pt idx="14" formatCode="#,##0">
                  <c:v>221808.24172919916</c:v>
                </c:pt>
                <c:pt idx="15" formatCode="#,##0">
                  <c:v>233117.25489904807</c:v>
                </c:pt>
                <c:pt idx="16" formatCode="#,##0">
                  <c:v>244427.79039990573</c:v>
                </c:pt>
                <c:pt idx="17" formatCode="#,##0">
                  <c:v>255739.8361343006</c:v>
                </c:pt>
                <c:pt idx="18" formatCode="#,##0">
                  <c:v>267053.38011980569</c:v>
                </c:pt>
                <c:pt idx="19" formatCode="#,##0">
                  <c:v>278368.41049147339</c:v>
                </c:pt>
                <c:pt idx="20" formatCode="#,##0">
                  <c:v>289684.91550400143</c:v>
                </c:pt>
                <c:pt idx="21" formatCode="#,##0">
                  <c:v>301002.88353364344</c:v>
                </c:pt>
                <c:pt idx="22" formatCode="#,##0">
                  <c:v>312322.30307987827</c:v>
                </c:pt>
                <c:pt idx="23" formatCode="#,##0">
                  <c:v>323643.16276685003</c:v>
                </c:pt>
                <c:pt idx="24" formatCode="#,##0">
                  <c:v>334965.45134459279</c:v>
                </c:pt>
                <c:pt idx="25" formatCode="#,##0">
                  <c:v>346289.1576900509</c:v>
                </c:pt>
                <c:pt idx="26" formatCode="#,##0">
                  <c:v>357614.27080790763</c:v>
                </c:pt>
                <c:pt idx="27" formatCode="#,##0">
                  <c:v>368940.77983123239</c:v>
                </c:pt>
                <c:pt idx="28" formatCode="#,##0">
                  <c:v>380268.67402195861</c:v>
                </c:pt>
                <c:pt idx="29" formatCode="#,##0">
                  <c:v>391597.9427712016</c:v>
                </c:pt>
                <c:pt idx="30" formatCode="#,##0">
                  <c:v>402928.57559942693</c:v>
                </c:pt>
                <c:pt idx="31" formatCode="#,##0">
                  <c:v>414260.56215647818</c:v>
                </c:pt>
                <c:pt idx="32" formatCode="#,##0">
                  <c:v>425593.89222147479</c:v>
                </c:pt>
                <c:pt idx="33" formatCode="#,##0">
                  <c:v>436928.55570258677</c:v>
                </c:pt>
                <c:pt idx="34" formatCode="#,##0">
                  <c:v>448264.5426366959</c:v>
                </c:pt>
                <c:pt idx="35" formatCode="#,##0">
                  <c:v>459601.8431889512</c:v>
                </c:pt>
                <c:pt idx="36" formatCode="#,##0">
                  <c:v>470940.44765222521</c:v>
                </c:pt>
                <c:pt idx="37" formatCode="#,##0">
                  <c:v>482280.34644648043</c:v>
                </c:pt>
                <c:pt idx="38" formatCode="#,##0">
                  <c:v>493621.53011804994</c:v>
                </c:pt>
              </c:numCache>
            </c:numRef>
          </c:val>
          <c:smooth val="0"/>
          <c:extLst>
            <c:ext xmlns:c16="http://schemas.microsoft.com/office/drawing/2014/chart" uri="{C3380CC4-5D6E-409C-BE32-E72D297353CC}">
              <c16:uniqueId val="{00000003-2631-4C3D-B087-B63B5D614D3E}"/>
            </c:ext>
          </c:extLst>
        </c:ser>
        <c:dLbls>
          <c:showLegendKey val="0"/>
          <c:showVal val="0"/>
          <c:showCatName val="0"/>
          <c:showSerName val="0"/>
          <c:showPercent val="0"/>
          <c:showBubbleSize val="0"/>
        </c:dLbls>
        <c:smooth val="0"/>
        <c:axId val="515845535"/>
        <c:axId val="515844095"/>
      </c:lineChart>
      <c:catAx>
        <c:axId val="51584553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4095"/>
        <c:crosses val="autoZero"/>
        <c:auto val="1"/>
        <c:lblAlgn val="ctr"/>
        <c:lblOffset val="100"/>
        <c:noMultiLvlLbl val="0"/>
      </c:catAx>
      <c:valAx>
        <c:axId val="51584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Forecasts!$B$1</c:f>
              <c:strCache>
                <c:ptCount val="1"/>
                <c:pt idx="0">
                  <c:v>Net Sales</c:v>
                </c:pt>
              </c:strCache>
            </c:strRef>
          </c:tx>
          <c:spPr>
            <a:ln w="28575" cap="rnd">
              <a:solidFill>
                <a:schemeClr val="accent1"/>
              </a:solidFill>
              <a:round/>
            </a:ln>
            <a:effectLst/>
          </c:spPr>
          <c:marker>
            <c:symbol val="none"/>
          </c:marker>
          <c:val>
            <c:numRef>
              <c:f>Forecasts!$B$2:$B$40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formatCode="General">
                  <c:v>202777</c:v>
                </c:pt>
              </c:numCache>
            </c:numRef>
          </c:val>
          <c:smooth val="0"/>
          <c:extLst>
            <c:ext xmlns:c16="http://schemas.microsoft.com/office/drawing/2014/chart" uri="{C3380CC4-5D6E-409C-BE32-E72D297353CC}">
              <c16:uniqueId val="{00000000-CC24-4D7C-9A30-5FCD4FDEB334}"/>
            </c:ext>
          </c:extLst>
        </c:ser>
        <c:ser>
          <c:idx val="1"/>
          <c:order val="1"/>
          <c:tx>
            <c:strRef>
              <c:f>Forecasts!$C$1</c:f>
              <c:strCache>
                <c:ptCount val="1"/>
                <c:pt idx="0">
                  <c:v>Forecast(Net Sales)</c:v>
                </c:pt>
              </c:strCache>
            </c:strRef>
          </c:tx>
          <c:spPr>
            <a:ln w="25400" cap="rnd">
              <a:solidFill>
                <a:schemeClr val="accent2"/>
              </a:solidFill>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Forecasts!$C$2:$C$40</c:f>
              <c:numCache>
                <c:formatCode>General</c:formatCode>
                <c:ptCount val="39"/>
                <c:pt idx="12" formatCode="#,##0">
                  <c:v>202777</c:v>
                </c:pt>
                <c:pt idx="13" formatCode="#,##0">
                  <c:v>185744.27958744424</c:v>
                </c:pt>
                <c:pt idx="14" formatCode="#,##0">
                  <c:v>180398.90952916356</c:v>
                </c:pt>
                <c:pt idx="15" formatCode="#,##0">
                  <c:v>190206.36203841062</c:v>
                </c:pt>
                <c:pt idx="16" formatCode="#,##0">
                  <c:v>200013.81454765768</c:v>
                </c:pt>
                <c:pt idx="17" formatCode="#,##0">
                  <c:v>209821.26705690473</c:v>
                </c:pt>
                <c:pt idx="18" formatCode="#,##0">
                  <c:v>219628.71956615179</c:v>
                </c:pt>
                <c:pt idx="19" formatCode="#,##0">
                  <c:v>229436.17207539885</c:v>
                </c:pt>
                <c:pt idx="20" formatCode="#,##0">
                  <c:v>239243.62458464591</c:v>
                </c:pt>
                <c:pt idx="21" formatCode="#,##0">
                  <c:v>249051.07709389296</c:v>
                </c:pt>
                <c:pt idx="22" formatCode="#,##0">
                  <c:v>258858.52960314002</c:v>
                </c:pt>
                <c:pt idx="23" formatCode="#,##0">
                  <c:v>268665.98211238708</c:v>
                </c:pt>
                <c:pt idx="24" formatCode="#,##0">
                  <c:v>278473.43462163408</c:v>
                </c:pt>
                <c:pt idx="25" formatCode="#,##0">
                  <c:v>288280.88713088119</c:v>
                </c:pt>
                <c:pt idx="26" formatCode="#,##0">
                  <c:v>298088.33964012819</c:v>
                </c:pt>
                <c:pt idx="27" formatCode="#,##0">
                  <c:v>307895.79214937531</c:v>
                </c:pt>
                <c:pt idx="28" formatCode="#,##0">
                  <c:v>317703.24465862231</c:v>
                </c:pt>
                <c:pt idx="29" formatCode="#,##0">
                  <c:v>327510.69716786942</c:v>
                </c:pt>
                <c:pt idx="30" formatCode="#,##0">
                  <c:v>337318.14967711642</c:v>
                </c:pt>
                <c:pt idx="31" formatCode="#,##0">
                  <c:v>347125.60218636354</c:v>
                </c:pt>
                <c:pt idx="32" formatCode="#,##0">
                  <c:v>356933.05469561054</c:v>
                </c:pt>
                <c:pt idx="33" formatCode="#,##0">
                  <c:v>366740.50720485765</c:v>
                </c:pt>
                <c:pt idx="34" formatCode="#,##0">
                  <c:v>376547.95971410465</c:v>
                </c:pt>
                <c:pt idx="35" formatCode="#,##0">
                  <c:v>386355.41222335171</c:v>
                </c:pt>
                <c:pt idx="36" formatCode="#,##0">
                  <c:v>396162.86473259877</c:v>
                </c:pt>
                <c:pt idx="37" formatCode="#,##0">
                  <c:v>405970.31724184583</c:v>
                </c:pt>
                <c:pt idx="38" formatCode="#,##0">
                  <c:v>415777.76975109288</c:v>
                </c:pt>
              </c:numCache>
            </c:numRef>
          </c:val>
          <c:smooth val="0"/>
          <c:extLst>
            <c:ext xmlns:c16="http://schemas.microsoft.com/office/drawing/2014/chart" uri="{C3380CC4-5D6E-409C-BE32-E72D297353CC}">
              <c16:uniqueId val="{00000001-CC24-4D7C-9A30-5FCD4FDEB334}"/>
            </c:ext>
          </c:extLst>
        </c:ser>
        <c:ser>
          <c:idx val="2"/>
          <c:order val="2"/>
          <c:tx>
            <c:strRef>
              <c:f>Forecasts!$D$1</c:f>
              <c:strCache>
                <c:ptCount val="1"/>
                <c:pt idx="0">
                  <c:v>Lower Confidence Bound(Net Sales)</c:v>
                </c:pt>
              </c:strCache>
            </c:strRef>
          </c:tx>
          <c:spPr>
            <a:ln w="12700" cap="rnd">
              <a:solidFill>
                <a:srgbClr val="C0504D"/>
              </a:solidFill>
              <a:prstDash val="solid"/>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Forecasts!$D$2:$D$40</c:f>
              <c:numCache>
                <c:formatCode>General</c:formatCode>
                <c:ptCount val="39"/>
                <c:pt idx="12" formatCode="#,##0">
                  <c:v>202777</c:v>
                </c:pt>
                <c:pt idx="13" formatCode="#,##0">
                  <c:v>160987.79607473197</c:v>
                </c:pt>
                <c:pt idx="14" formatCode="#,##0">
                  <c:v>162034.2559387814</c:v>
                </c:pt>
                <c:pt idx="15" formatCode="#,##0">
                  <c:v>171841.47889703201</c:v>
                </c:pt>
                <c:pt idx="16" formatCode="#,##0">
                  <c:v>181648.60085788486</c:v>
                </c:pt>
                <c:pt idx="17" formatCode="#,##0">
                  <c:v>191455.60346359949</c:v>
                </c:pt>
                <c:pt idx="18" formatCode="#,##0">
                  <c:v>201262.46836034089</c:v>
                </c:pt>
                <c:pt idx="19" formatCode="#,##0">
                  <c:v>211069.17719946348</c:v>
                </c:pt>
                <c:pt idx="20" formatCode="#,##0">
                  <c:v>220875.71163897743</c:v>
                </c:pt>
                <c:pt idx="21" formatCode="#,##0">
                  <c:v>230682.0533451972</c:v>
                </c:pt>
                <c:pt idx="22" formatCode="#,##0">
                  <c:v>240488.18399457139</c:v>
                </c:pt>
                <c:pt idx="23" formatCode="#,##0">
                  <c:v>250294.08527569327</c:v>
                </c:pt>
                <c:pt idx="24" formatCode="#,##0">
                  <c:v>260099.73889149103</c:v>
                </c:pt>
                <c:pt idx="25" formatCode="#,##0">
                  <c:v>269905.1265615967</c:v>
                </c:pt>
                <c:pt idx="26" formatCode="#,##0">
                  <c:v>279710.23002489191</c:v>
                </c:pt>
                <c:pt idx="27" formatCode="#,##0">
                  <c:v>289515.03104223055</c:v>
                </c:pt>
                <c:pt idx="28" formatCode="#,##0">
                  <c:v>299319.51139933389</c:v>
                </c:pt>
                <c:pt idx="29" formatCode="#,##0">
                  <c:v>309123.65290985972</c:v>
                </c:pt>
                <c:pt idx="30" formatCode="#,##0">
                  <c:v>318927.43741863972</c:v>
                </c:pt>
                <c:pt idx="31" formatCode="#,##0">
                  <c:v>328730.84680508595</c:v>
                </c:pt>
                <c:pt idx="32" formatCode="#,##0">
                  <c:v>338533.86298676056</c:v>
                </c:pt>
                <c:pt idx="33" formatCode="#,##0">
                  <c:v>348336.46792310907</c:v>
                </c:pt>
                <c:pt idx="34" formatCode="#,##0">
                  <c:v>358138.64361935045</c:v>
                </c:pt>
                <c:pt idx="35" formatCode="#,##0">
                  <c:v>367940.37213052413</c:v>
                </c:pt>
                <c:pt idx="36" formatCode="#,##0">
                  <c:v>377741.63556568656</c:v>
                </c:pt>
                <c:pt idx="37" formatCode="#,##0">
                  <c:v>387542.41609225562</c:v>
                </c:pt>
                <c:pt idx="38" formatCode="#,##0">
                  <c:v>397342.69594049751</c:v>
                </c:pt>
              </c:numCache>
            </c:numRef>
          </c:val>
          <c:smooth val="0"/>
          <c:extLst>
            <c:ext xmlns:c16="http://schemas.microsoft.com/office/drawing/2014/chart" uri="{C3380CC4-5D6E-409C-BE32-E72D297353CC}">
              <c16:uniqueId val="{00000002-CC24-4D7C-9A30-5FCD4FDEB334}"/>
            </c:ext>
          </c:extLst>
        </c:ser>
        <c:ser>
          <c:idx val="3"/>
          <c:order val="3"/>
          <c:tx>
            <c:strRef>
              <c:f>Forecasts!$E$1</c:f>
              <c:strCache>
                <c:ptCount val="1"/>
                <c:pt idx="0">
                  <c:v>Upper Confidence Bound(Net Sales)</c:v>
                </c:pt>
              </c:strCache>
            </c:strRef>
          </c:tx>
          <c:spPr>
            <a:ln w="12700" cap="rnd">
              <a:solidFill>
                <a:srgbClr val="C0504D"/>
              </a:solidFill>
              <a:prstDash val="solid"/>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Forecasts!$E$2:$E$40</c:f>
              <c:numCache>
                <c:formatCode>General</c:formatCode>
                <c:ptCount val="39"/>
                <c:pt idx="12" formatCode="#,##0">
                  <c:v>202777</c:v>
                </c:pt>
                <c:pt idx="13" formatCode="#,##0">
                  <c:v>210500.7631001565</c:v>
                </c:pt>
                <c:pt idx="14" formatCode="#,##0">
                  <c:v>198763.56311954572</c:v>
                </c:pt>
                <c:pt idx="15" formatCode="#,##0">
                  <c:v>208571.24517978923</c:v>
                </c:pt>
                <c:pt idx="16" formatCode="#,##0">
                  <c:v>218379.0282374305</c:v>
                </c:pt>
                <c:pt idx="17" formatCode="#,##0">
                  <c:v>228186.93065020998</c:v>
                </c:pt>
                <c:pt idx="18" formatCode="#,##0">
                  <c:v>237994.97077196269</c:v>
                </c:pt>
                <c:pt idx="19" formatCode="#,##0">
                  <c:v>247803.16695133422</c:v>
                </c:pt>
                <c:pt idx="20" formatCode="#,##0">
                  <c:v>257611.53753031438</c:v>
                </c:pt>
                <c:pt idx="21" formatCode="#,##0">
                  <c:v>267420.1008425887</c:v>
                </c:pt>
                <c:pt idx="22" formatCode="#,##0">
                  <c:v>277228.87521170866</c:v>
                </c:pt>
                <c:pt idx="23" formatCode="#,##0">
                  <c:v>287037.87894908088</c:v>
                </c:pt>
                <c:pt idx="24" formatCode="#,##0">
                  <c:v>296847.13035177713</c:v>
                </c:pt>
                <c:pt idx="25" formatCode="#,##0">
                  <c:v>306656.64770016569</c:v>
                </c:pt>
                <c:pt idx="26" formatCode="#,##0">
                  <c:v>316466.44925536448</c:v>
                </c:pt>
                <c:pt idx="27" formatCode="#,##0">
                  <c:v>326276.55325652007</c:v>
                </c:pt>
                <c:pt idx="28" formatCode="#,##0">
                  <c:v>336086.97791791073</c:v>
                </c:pt>
                <c:pt idx="29" formatCode="#,##0">
                  <c:v>345897.74142587913</c:v>
                </c:pt>
                <c:pt idx="30" formatCode="#,##0">
                  <c:v>355708.86193559313</c:v>
                </c:pt>
                <c:pt idx="31" formatCode="#,##0">
                  <c:v>365520.35756764113</c:v>
                </c:pt>
                <c:pt idx="32" formatCode="#,##0">
                  <c:v>375332.24640446051</c:v>
                </c:pt>
                <c:pt idx="33" formatCode="#,##0">
                  <c:v>385144.54648660624</c:v>
                </c:pt>
                <c:pt idx="34" formatCode="#,##0">
                  <c:v>394957.27580885886</c:v>
                </c:pt>
                <c:pt idx="35" formatCode="#,##0">
                  <c:v>404770.45231617929</c:v>
                </c:pt>
                <c:pt idx="36" formatCode="#,##0">
                  <c:v>414584.09389951098</c:v>
                </c:pt>
                <c:pt idx="37" formatCode="#,##0">
                  <c:v>424398.21839143604</c:v>
                </c:pt>
                <c:pt idx="38" formatCode="#,##0">
                  <c:v>434212.84356168826</c:v>
                </c:pt>
              </c:numCache>
            </c:numRef>
          </c:val>
          <c:smooth val="0"/>
          <c:extLst>
            <c:ext xmlns:c16="http://schemas.microsoft.com/office/drawing/2014/chart" uri="{C3380CC4-5D6E-409C-BE32-E72D297353CC}">
              <c16:uniqueId val="{00000003-CC24-4D7C-9A30-5FCD4FDEB334}"/>
            </c:ext>
          </c:extLst>
        </c:ser>
        <c:dLbls>
          <c:showLegendKey val="0"/>
          <c:showVal val="0"/>
          <c:showCatName val="0"/>
          <c:showSerName val="0"/>
          <c:showPercent val="0"/>
          <c:showBubbleSize val="0"/>
        </c:dLbls>
        <c:smooth val="0"/>
        <c:axId val="333711600"/>
        <c:axId val="333707280"/>
      </c:lineChart>
      <c:catAx>
        <c:axId val="33371160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33707280"/>
        <c:crosses val="autoZero"/>
        <c:auto val="1"/>
        <c:lblAlgn val="ctr"/>
        <c:lblOffset val="100"/>
        <c:noMultiLvlLbl val="0"/>
      </c:catAx>
      <c:valAx>
        <c:axId val="333707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crossAx val="333711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11</xdr:row>
      <xdr:rowOff>0</xdr:rowOff>
    </xdr:from>
    <xdr:to>
      <xdr:col>13</xdr:col>
      <xdr:colOff>304800</xdr:colOff>
      <xdr:row>12</xdr:row>
      <xdr:rowOff>1772</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11</xdr:row>
      <xdr:rowOff>0</xdr:rowOff>
    </xdr:from>
    <xdr:to>
      <xdr:col>13</xdr:col>
      <xdr:colOff>304800</xdr:colOff>
      <xdr:row>12</xdr:row>
      <xdr:rowOff>1772</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11</xdr:row>
      <xdr:rowOff>0</xdr:rowOff>
    </xdr:from>
    <xdr:to>
      <xdr:col>13</xdr:col>
      <xdr:colOff>304800</xdr:colOff>
      <xdr:row>12</xdr:row>
      <xdr:rowOff>1772</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439238</xdr:colOff>
      <xdr:row>6</xdr:row>
      <xdr:rowOff>218087</xdr:rowOff>
    </xdr:from>
    <xdr:to>
      <xdr:col>21</xdr:col>
      <xdr:colOff>290513</xdr:colOff>
      <xdr:row>19</xdr:row>
      <xdr:rowOff>109798</xdr:rowOff>
    </xdr:to>
    <xdr:pic>
      <xdr:nvPicPr>
        <xdr:cNvPr id="3" name="Picture 2">
          <a:extLst>
            <a:ext uri="{FF2B5EF4-FFF2-40B4-BE49-F238E27FC236}">
              <a16:creationId xmlns:a16="http://schemas.microsoft.com/office/drawing/2014/main" id="{D9581549-7AC8-A9C2-09D5-6681270F4CB6}"/>
            </a:ext>
          </a:extLst>
        </xdr:cNvPr>
        <xdr:cNvPicPr>
          <a:picLocks noChangeAspect="1"/>
        </xdr:cNvPicPr>
      </xdr:nvPicPr>
      <xdr:blipFill>
        <a:blip xmlns:r="http://schemas.openxmlformats.org/officeDocument/2006/relationships" r:embed="rId1"/>
        <a:stretch>
          <a:fillRect/>
        </a:stretch>
      </xdr:blipFill>
      <xdr:spPr>
        <a:xfrm>
          <a:off x="18003338" y="1680175"/>
          <a:ext cx="6404475" cy="3006386"/>
        </a:xfrm>
        <a:prstGeom prst="rect">
          <a:avLst/>
        </a:prstGeom>
      </xdr:spPr>
    </xdr:pic>
    <xdr:clientData/>
  </xdr:twoCellAnchor>
  <xdr:twoCellAnchor editAs="oneCell">
    <xdr:from>
      <xdr:col>1</xdr:col>
      <xdr:colOff>323169</xdr:colOff>
      <xdr:row>2</xdr:row>
      <xdr:rowOff>76539</xdr:rowOff>
    </xdr:from>
    <xdr:to>
      <xdr:col>2</xdr:col>
      <xdr:colOff>1211639</xdr:colOff>
      <xdr:row>10</xdr:row>
      <xdr:rowOff>197870</xdr:rowOff>
    </xdr:to>
    <xdr:pic>
      <xdr:nvPicPr>
        <xdr:cNvPr id="16" name="Picture 7">
          <a:extLst>
            <a:ext uri="{FF2B5EF4-FFF2-40B4-BE49-F238E27FC236}">
              <a16:creationId xmlns:a16="http://schemas.microsoft.com/office/drawing/2014/main" id="{1C91F2D7-CF21-0A12-2947-4A028D61BE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7187" y="416718"/>
          <a:ext cx="2501370" cy="25343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19050</xdr:colOff>
      <xdr:row>86</xdr:row>
      <xdr:rowOff>0</xdr:rowOff>
    </xdr:from>
    <xdr:to>
      <xdr:col>35</xdr:col>
      <xdr:colOff>209550</xdr:colOff>
      <xdr:row>87</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8</xdr:col>
      <xdr:colOff>1000125</xdr:colOff>
      <xdr:row>60</xdr:row>
      <xdr:rowOff>9525</xdr:rowOff>
    </xdr:from>
    <xdr:to>
      <xdr:col>14</xdr:col>
      <xdr:colOff>600075</xdr:colOff>
      <xdr:row>64</xdr:row>
      <xdr:rowOff>685800</xdr:rowOff>
    </xdr:to>
    <xdr:graphicFrame macro="">
      <xdr:nvGraphicFramePr>
        <xdr:cNvPr id="4" name="Chart 3" descr="Chart type: Pie. '2023'&#10;&#10;Description automatically generated">
          <a:extLst>
            <a:ext uri="{FF2B5EF4-FFF2-40B4-BE49-F238E27FC236}">
              <a16:creationId xmlns:a16="http://schemas.microsoft.com/office/drawing/2014/main" id="{6A9412F1-FCE8-69A1-2746-465B40D49DB6}"/>
            </a:ext>
            <a:ext uri="{147F2762-F138-4A5C-976F-8EAC2B608ADB}">
              <a16:predDERef xmlns:a16="http://schemas.microsoft.com/office/drawing/2014/main" pred="{373BA1AE-84F4-1EA4-7F90-6E6AE589A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19050</xdr:colOff>
      <xdr:row>66</xdr:row>
      <xdr:rowOff>47625</xdr:rowOff>
    </xdr:from>
    <xdr:to>
      <xdr:col>16</xdr:col>
      <xdr:colOff>809625</xdr:colOff>
      <xdr:row>85</xdr:row>
      <xdr:rowOff>133350</xdr:rowOff>
    </xdr:to>
    <xdr:pic>
      <xdr:nvPicPr>
        <xdr:cNvPr id="2" name="Picture 1">
          <a:extLst>
            <a:ext uri="{FF2B5EF4-FFF2-40B4-BE49-F238E27FC236}">
              <a16:creationId xmlns:a16="http://schemas.microsoft.com/office/drawing/2014/main" id="{E14433DF-9785-E754-2716-01827EFFC578}"/>
            </a:ext>
            <a:ext uri="{147F2762-F138-4A5C-976F-8EAC2B608ADB}">
              <a16:predDERef xmlns:a16="http://schemas.microsoft.com/office/drawing/2014/main" pred="{6A9412F1-FCE8-69A1-2746-465B40D49DB6}"/>
            </a:ext>
          </a:extLst>
        </xdr:cNvPr>
        <xdr:cNvPicPr>
          <a:picLocks noChangeAspect="1"/>
        </xdr:cNvPicPr>
      </xdr:nvPicPr>
      <xdr:blipFill>
        <a:blip xmlns:r="http://schemas.openxmlformats.org/officeDocument/2006/relationships" r:embed="rId2"/>
        <a:stretch>
          <a:fillRect/>
        </a:stretch>
      </xdr:blipFill>
      <xdr:spPr>
        <a:xfrm>
          <a:off x="9105900" y="11849100"/>
          <a:ext cx="6505575" cy="3267075"/>
        </a:xfrm>
        <a:prstGeom prst="rect">
          <a:avLst/>
        </a:prstGeom>
      </xdr:spPr>
    </xdr:pic>
    <xdr:clientData/>
  </xdr:twoCellAnchor>
  <xdr:twoCellAnchor editAs="oneCell">
    <xdr:from>
      <xdr:col>20</xdr:col>
      <xdr:colOff>267846</xdr:colOff>
      <xdr:row>1</xdr:row>
      <xdr:rowOff>247650</xdr:rowOff>
    </xdr:from>
    <xdr:to>
      <xdr:col>24</xdr:col>
      <xdr:colOff>752475</xdr:colOff>
      <xdr:row>14</xdr:row>
      <xdr:rowOff>242455</xdr:rowOff>
    </xdr:to>
    <xdr:pic>
      <xdr:nvPicPr>
        <xdr:cNvPr id="6" name="Picture 5">
          <a:extLst>
            <a:ext uri="{FF2B5EF4-FFF2-40B4-BE49-F238E27FC236}">
              <a16:creationId xmlns:a16="http://schemas.microsoft.com/office/drawing/2014/main" id="{8F91FC40-D40F-7CCF-6214-FEFD164697F6}"/>
            </a:ext>
            <a:ext uri="{147F2762-F138-4A5C-976F-8EAC2B608ADB}">
              <a16:predDERef xmlns:a16="http://schemas.microsoft.com/office/drawing/2014/main" pred="{1875EA79-3F76-929D-B504-F88FF241B2D0}"/>
            </a:ext>
          </a:extLst>
        </xdr:cNvPr>
        <xdr:cNvPicPr>
          <a:picLocks noChangeAspect="1"/>
        </xdr:cNvPicPr>
      </xdr:nvPicPr>
      <xdr:blipFill>
        <a:blip xmlns:r="http://schemas.openxmlformats.org/officeDocument/2006/relationships" r:embed="rId3"/>
        <a:stretch>
          <a:fillRect/>
        </a:stretch>
      </xdr:blipFill>
      <xdr:spPr>
        <a:xfrm>
          <a:off x="19447733" y="342901"/>
          <a:ext cx="3740447" cy="1995054"/>
        </a:xfrm>
        <a:prstGeom prst="rect">
          <a:avLst/>
        </a:prstGeom>
      </xdr:spPr>
    </xdr:pic>
    <xdr:clientData/>
  </xdr:twoCellAnchor>
  <xdr:twoCellAnchor editAs="oneCell">
    <xdr:from>
      <xdr:col>16</xdr:col>
      <xdr:colOff>9525</xdr:colOff>
      <xdr:row>1</xdr:row>
      <xdr:rowOff>247650</xdr:rowOff>
    </xdr:from>
    <xdr:to>
      <xdr:col>20</xdr:col>
      <xdr:colOff>95250</xdr:colOff>
      <xdr:row>15</xdr:row>
      <xdr:rowOff>133350</xdr:rowOff>
    </xdr:to>
    <xdr:pic>
      <xdr:nvPicPr>
        <xdr:cNvPr id="5" name="Picture 4">
          <a:extLst>
            <a:ext uri="{FF2B5EF4-FFF2-40B4-BE49-F238E27FC236}">
              <a16:creationId xmlns:a16="http://schemas.microsoft.com/office/drawing/2014/main" id="{1875EA79-3F76-929D-B504-F88FF241B2D0}"/>
            </a:ext>
            <a:ext uri="{147F2762-F138-4A5C-976F-8EAC2B608ADB}">
              <a16:predDERef xmlns:a16="http://schemas.microsoft.com/office/drawing/2014/main" pred="{8F91FC40-D40F-7CCF-6214-FEFD164697F6}"/>
            </a:ext>
          </a:extLst>
        </xdr:cNvPr>
        <xdr:cNvPicPr>
          <a:picLocks noChangeAspect="1"/>
        </xdr:cNvPicPr>
      </xdr:nvPicPr>
      <xdr:blipFill>
        <a:blip xmlns:r="http://schemas.openxmlformats.org/officeDocument/2006/relationships" r:embed="rId4"/>
        <a:stretch>
          <a:fillRect/>
        </a:stretch>
      </xdr:blipFill>
      <xdr:spPr>
        <a:xfrm>
          <a:off x="14811375" y="342900"/>
          <a:ext cx="3209925" cy="2133600"/>
        </a:xfrm>
        <a:prstGeom prst="rect">
          <a:avLst/>
        </a:prstGeom>
      </xdr:spPr>
    </xdr:pic>
    <xdr:clientData/>
  </xdr:twoCellAnchor>
  <xdr:twoCellAnchor editAs="oneCell">
    <xdr:from>
      <xdr:col>16</xdr:col>
      <xdr:colOff>94386</xdr:colOff>
      <xdr:row>16</xdr:row>
      <xdr:rowOff>124837</xdr:rowOff>
    </xdr:from>
    <xdr:to>
      <xdr:col>20</xdr:col>
      <xdr:colOff>207819</xdr:colOff>
      <xdr:row>29</xdr:row>
      <xdr:rowOff>161924</xdr:rowOff>
    </xdr:to>
    <xdr:pic>
      <xdr:nvPicPr>
        <xdr:cNvPr id="7" name="Picture 6">
          <a:extLst>
            <a:ext uri="{FF2B5EF4-FFF2-40B4-BE49-F238E27FC236}">
              <a16:creationId xmlns:a16="http://schemas.microsoft.com/office/drawing/2014/main" id="{BB8B64F8-BBD6-C79A-3F00-60538CDF9CD4}"/>
            </a:ext>
            <a:ext uri="{147F2762-F138-4A5C-976F-8EAC2B608ADB}">
              <a16:predDERef xmlns:a16="http://schemas.microsoft.com/office/drawing/2014/main" pred="{1875EA79-3F76-929D-B504-F88FF241B2D0}"/>
            </a:ext>
          </a:extLst>
        </xdr:cNvPr>
        <xdr:cNvPicPr>
          <a:picLocks noChangeAspect="1"/>
        </xdr:cNvPicPr>
      </xdr:nvPicPr>
      <xdr:blipFill>
        <a:blip xmlns:r="http://schemas.openxmlformats.org/officeDocument/2006/relationships" r:embed="rId5"/>
        <a:stretch>
          <a:fillRect/>
        </a:stretch>
      </xdr:blipFill>
      <xdr:spPr>
        <a:xfrm>
          <a:off x="15931864" y="2757201"/>
          <a:ext cx="3455842" cy="1829519"/>
        </a:xfrm>
        <a:prstGeom prst="rect">
          <a:avLst/>
        </a:prstGeom>
      </xdr:spPr>
    </xdr:pic>
    <xdr:clientData/>
  </xdr:twoCellAnchor>
  <xdr:twoCellAnchor editAs="oneCell">
    <xdr:from>
      <xdr:col>20</xdr:col>
      <xdr:colOff>342900</xdr:colOff>
      <xdr:row>15</xdr:row>
      <xdr:rowOff>247650</xdr:rowOff>
    </xdr:from>
    <xdr:to>
      <xdr:col>24</xdr:col>
      <xdr:colOff>752475</xdr:colOff>
      <xdr:row>29</xdr:row>
      <xdr:rowOff>152400</xdr:rowOff>
    </xdr:to>
    <xdr:pic>
      <xdr:nvPicPr>
        <xdr:cNvPr id="10" name="Picture 9">
          <a:extLst>
            <a:ext uri="{FF2B5EF4-FFF2-40B4-BE49-F238E27FC236}">
              <a16:creationId xmlns:a16="http://schemas.microsoft.com/office/drawing/2014/main" id="{85B0FB72-C0C7-503B-548F-927F10F9DD61}"/>
            </a:ext>
            <a:ext uri="{147F2762-F138-4A5C-976F-8EAC2B608ADB}">
              <a16:predDERef xmlns:a16="http://schemas.microsoft.com/office/drawing/2014/main" pred="{85E381F4-1BB7-14BF-0518-F8BEE4371ED3}"/>
            </a:ext>
          </a:extLst>
        </xdr:cNvPr>
        <xdr:cNvPicPr>
          <a:picLocks noChangeAspect="1"/>
        </xdr:cNvPicPr>
      </xdr:nvPicPr>
      <xdr:blipFill>
        <a:blip xmlns:r="http://schemas.openxmlformats.org/officeDocument/2006/relationships" r:embed="rId6"/>
        <a:stretch>
          <a:fillRect/>
        </a:stretch>
      </xdr:blipFill>
      <xdr:spPr>
        <a:xfrm>
          <a:off x="18268950" y="2590800"/>
          <a:ext cx="3457575" cy="194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10</xdr:col>
      <xdr:colOff>528777</xdr:colOff>
      <xdr:row>17</xdr:row>
      <xdr:rowOff>56029</xdr:rowOff>
    </xdr:from>
    <xdr:to>
      <xdr:col>18</xdr:col>
      <xdr:colOff>702468</xdr:colOff>
      <xdr:row>33</xdr:row>
      <xdr:rowOff>114301</xdr:rowOff>
    </xdr:to>
    <xdr:graphicFrame macro="">
      <xdr:nvGraphicFramePr>
        <xdr:cNvPr id="2" name="Chart 1">
          <a:extLst>
            <a:ext uri="{FF2B5EF4-FFF2-40B4-BE49-F238E27FC236}">
              <a16:creationId xmlns:a16="http://schemas.microsoft.com/office/drawing/2014/main" i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107156</xdr:colOff>
      <xdr:row>33</xdr:row>
      <xdr:rowOff>142875</xdr:rowOff>
    </xdr:from>
    <xdr:to>
      <xdr:col>20</xdr:col>
      <xdr:colOff>273843</xdr:colOff>
      <xdr:row>50</xdr:row>
      <xdr:rowOff>142875</xdr:rowOff>
    </xdr:to>
    <xdr:graphicFrame macro="">
      <xdr:nvGraphicFramePr>
        <xdr:cNvPr id="3" name="Chart 2">
          <a:extLst>
            <a:ext uri="{FF2B5EF4-FFF2-40B4-BE49-F238E27FC236}">
              <a16:creationId xmlns:a16="http://schemas.microsoft.com/office/drawing/2014/main" id="{06EE3DBE-321E-4EF6-A0A4-D90C4883E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62901</xdr:colOff>
      <xdr:row>1</xdr:row>
      <xdr:rowOff>215660</xdr:rowOff>
    </xdr:from>
    <xdr:to>
      <xdr:col>2</xdr:col>
      <xdr:colOff>4318</xdr:colOff>
      <xdr:row>1</xdr:row>
      <xdr:rowOff>871627</xdr:rowOff>
    </xdr:to>
    <xdr:pic>
      <xdr:nvPicPr>
        <xdr:cNvPr id="5" name="Picture 4">
          <a:extLst>
            <a:ext uri="{FF2B5EF4-FFF2-40B4-BE49-F238E27FC236}">
              <a16:creationId xmlns:a16="http://schemas.microsoft.com/office/drawing/2014/main" id="{DC66A936-0E32-45E9-BF45-DE949C7B51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844" y="395377"/>
          <a:ext cx="2113117" cy="655967"/>
        </a:xfrm>
        <a:prstGeom prst="rect">
          <a:avLst/>
        </a:prstGeom>
      </xdr:spPr>
    </xdr:pic>
    <xdr:clientData/>
  </xdr:twoCellAnchor>
  <xdr:twoCellAnchor editAs="oneCell">
    <xdr:from>
      <xdr:col>1</xdr:col>
      <xdr:colOff>278562</xdr:colOff>
      <xdr:row>2</xdr:row>
      <xdr:rowOff>44930</xdr:rowOff>
    </xdr:from>
    <xdr:to>
      <xdr:col>1</xdr:col>
      <xdr:colOff>1851086</xdr:colOff>
      <xdr:row>2</xdr:row>
      <xdr:rowOff>1021236</xdr:rowOff>
    </xdr:to>
    <xdr:pic>
      <xdr:nvPicPr>
        <xdr:cNvPr id="7" name="Picture 6">
          <a:extLst>
            <a:ext uri="{FF2B5EF4-FFF2-40B4-BE49-F238E27FC236}">
              <a16:creationId xmlns:a16="http://schemas.microsoft.com/office/drawing/2014/main" id="{D9E9960A-BAD5-341D-78F8-653BBEA9F7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4505" y="1267005"/>
          <a:ext cx="1572524" cy="976306"/>
        </a:xfrm>
        <a:prstGeom prst="rect">
          <a:avLst/>
        </a:prstGeom>
      </xdr:spPr>
    </xdr:pic>
    <xdr:clientData/>
  </xdr:twoCellAnchor>
  <xdr:twoCellAnchor editAs="oneCell">
    <xdr:from>
      <xdr:col>1</xdr:col>
      <xdr:colOff>323491</xdr:colOff>
      <xdr:row>3</xdr:row>
      <xdr:rowOff>62901</xdr:rowOff>
    </xdr:from>
    <xdr:to>
      <xdr:col>1</xdr:col>
      <xdr:colOff>1869057</xdr:colOff>
      <xdr:row>3</xdr:row>
      <xdr:rowOff>1022939</xdr:rowOff>
    </xdr:to>
    <xdr:pic>
      <xdr:nvPicPr>
        <xdr:cNvPr id="9" name="Picture 8">
          <a:extLst>
            <a:ext uri="{FF2B5EF4-FFF2-40B4-BE49-F238E27FC236}">
              <a16:creationId xmlns:a16="http://schemas.microsoft.com/office/drawing/2014/main" id="{A942DEC5-B312-4475-A5C9-644441E3DD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9434" y="2327335"/>
          <a:ext cx="1545566" cy="960038"/>
        </a:xfrm>
        <a:prstGeom prst="rect">
          <a:avLst/>
        </a:prstGeom>
      </xdr:spPr>
    </xdr:pic>
    <xdr:clientData/>
  </xdr:twoCellAnchor>
  <xdr:twoCellAnchor editAs="oneCell">
    <xdr:from>
      <xdr:col>1</xdr:col>
      <xdr:colOff>278561</xdr:colOff>
      <xdr:row>4</xdr:row>
      <xdr:rowOff>107830</xdr:rowOff>
    </xdr:from>
    <xdr:to>
      <xdr:col>1</xdr:col>
      <xdr:colOff>1787812</xdr:colOff>
      <xdr:row>4</xdr:row>
      <xdr:rowOff>1006415</xdr:rowOff>
    </xdr:to>
    <xdr:pic>
      <xdr:nvPicPr>
        <xdr:cNvPr id="11" name="Picture 10">
          <a:extLst>
            <a:ext uri="{FF2B5EF4-FFF2-40B4-BE49-F238E27FC236}">
              <a16:creationId xmlns:a16="http://schemas.microsoft.com/office/drawing/2014/main" id="{2E2CE717-8AA5-9189-8D1D-CD0D80B915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504" y="3414622"/>
          <a:ext cx="1509251" cy="898585"/>
        </a:xfrm>
        <a:prstGeom prst="rect">
          <a:avLst/>
        </a:prstGeom>
      </xdr:spPr>
    </xdr:pic>
    <xdr:clientData/>
  </xdr:twoCellAnchor>
  <xdr:twoCellAnchor editAs="oneCell">
    <xdr:from>
      <xdr:col>1</xdr:col>
      <xdr:colOff>17971</xdr:colOff>
      <xdr:row>5</xdr:row>
      <xdr:rowOff>116815</xdr:rowOff>
    </xdr:from>
    <xdr:to>
      <xdr:col>2</xdr:col>
      <xdr:colOff>507</xdr:colOff>
      <xdr:row>5</xdr:row>
      <xdr:rowOff>961484</xdr:rowOff>
    </xdr:to>
    <xdr:pic>
      <xdr:nvPicPr>
        <xdr:cNvPr id="13" name="Picture 12">
          <a:extLst>
            <a:ext uri="{FF2B5EF4-FFF2-40B4-BE49-F238E27FC236}">
              <a16:creationId xmlns:a16="http://schemas.microsoft.com/office/drawing/2014/main" id="{B5947D00-E37D-CA1F-DD8A-77DBB4FAA6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914" y="4465966"/>
          <a:ext cx="2116136" cy="8446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769143</xdr:colOff>
      <xdr:row>4</xdr:row>
      <xdr:rowOff>95250</xdr:rowOff>
    </xdr:from>
    <xdr:to>
      <xdr:col>17</xdr:col>
      <xdr:colOff>369093</xdr:colOff>
      <xdr:row>40</xdr:row>
      <xdr:rowOff>133350</xdr:rowOff>
    </xdr:to>
    <xdr:graphicFrame macro="">
      <xdr:nvGraphicFramePr>
        <xdr:cNvPr id="2" name="Chart 1">
          <a:extLst>
            <a:ext uri="{FF2B5EF4-FFF2-40B4-BE49-F238E27FC236}">
              <a16:creationId xmlns:a16="http://schemas.microsoft.com/office/drawing/2014/main" id="{D967F18B-E004-6ADA-D064-3FAFEE6B7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585581</xdr:colOff>
      <xdr:row>54</xdr:row>
      <xdr:rowOff>113565</xdr:rowOff>
    </xdr:from>
    <xdr:to>
      <xdr:col>5</xdr:col>
      <xdr:colOff>512735</xdr:colOff>
      <xdr:row>71</xdr:row>
      <xdr:rowOff>124280</xdr:rowOff>
    </xdr:to>
    <xdr:graphicFrame macro="">
      <xdr:nvGraphicFramePr>
        <xdr:cNvPr id="2" name="Chart 1">
          <a:extLst>
            <a:ext uri="{FF2B5EF4-FFF2-40B4-BE49-F238E27FC236}">
              <a16:creationId xmlns:a16="http://schemas.microsoft.com/office/drawing/2014/main" id="{2227307C-1E01-8FD4-F3DB-2E75CE5AF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204107</xdr:colOff>
      <xdr:row>55</xdr:row>
      <xdr:rowOff>51028</xdr:rowOff>
    </xdr:from>
    <xdr:to>
      <xdr:col>13</xdr:col>
      <xdr:colOff>714375</xdr:colOff>
      <xdr:row>72</xdr:row>
      <xdr:rowOff>28575</xdr:rowOff>
    </xdr:to>
    <xdr:graphicFrame macro="">
      <xdr:nvGraphicFramePr>
        <xdr:cNvPr id="4" name="Chart 2">
          <a:extLst>
            <a:ext uri="{FF2B5EF4-FFF2-40B4-BE49-F238E27FC236}">
              <a16:creationId xmlns:a16="http://schemas.microsoft.com/office/drawing/2014/main" id="{CCA613FC-A1D2-417A-87E2-A71EFDFDC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343558</xdr:colOff>
      <xdr:row>3</xdr:row>
      <xdr:rowOff>61355</xdr:rowOff>
    </xdr:from>
    <xdr:to>
      <xdr:col>24</xdr:col>
      <xdr:colOff>308295</xdr:colOff>
      <xdr:row>39</xdr:row>
      <xdr:rowOff>99455</xdr:rowOff>
    </xdr:to>
    <xdr:graphicFrame macro="">
      <xdr:nvGraphicFramePr>
        <xdr:cNvPr id="2" name="Chart 1">
          <a:extLst>
            <a:ext uri="{FF2B5EF4-FFF2-40B4-BE49-F238E27FC236}">
              <a16:creationId xmlns:a16="http://schemas.microsoft.com/office/drawing/2014/main" id="{97D54D9C-BAF5-A088-A297-F96C3E93D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A1F2A05-BFBD-434C-A341-C4C122D51F03}" autoFormatId="16" applyNumberFormats="0" applyBorderFormats="0" applyFontFormats="0" applyPatternFormats="0" applyAlignmentFormats="0" applyWidthHeightFormats="0">
  <queryTableRefresh nextId="8">
    <queryTableFields count="7">
      <queryTableField id="1" name="Rank" tableColumnId="1"/>
      <queryTableField id="2" name="Company" tableColumnId="2"/>
      <queryTableField id="3" name="Market Cap (USD)" tableColumnId="3"/>
      <queryTableField id="4" name="Country" tableColumnId="4"/>
      <queryTableField id="5" name="Sector" tableColumnId="5"/>
      <queryTableField id="6" name="Industry"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2F95A730-FE1C-4315-AFEC-85085DFB4EBC}" autoFormatId="16" applyNumberFormats="0" applyBorderFormats="0" applyFontFormats="0" applyPatternFormats="0" applyAlignmentFormats="0" applyWidthHeightFormats="0">
  <queryTableRefresh nextId="8">
    <queryTableFields count="7">
      <queryTableField id="1" name="Rank" tableColumnId="1"/>
      <queryTableField id="2" name="Company" tableColumnId="2"/>
      <queryTableField id="3" name="Market Cap (USD)" tableColumnId="3"/>
      <queryTableField id="4" name="Country" tableColumnId="4"/>
      <queryTableField id="5" name="Sector" tableColumnId="5"/>
      <queryTableField id="6" name="Industry" tableColumnId="6"/>
      <queryTableField id="7" name="Column7"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
  <rv s="0">
    <v>en-US</v>
    <v>ca1mvh</v>
    <v>268435456</v>
    <v>1</v>
    <v>Powered by Refinitiv</v>
    <v>0</v>
    <v>Great Wall Motor Company Limited (XHKG:82333)</v>
    <v>2</v>
    <v>3</v>
    <v>Finance</v>
    <v>4</v>
    <v>15.34</v>
    <v>7.01</v>
    <v>1.8053999999999999</v>
    <v>0.22</v>
    <v>-1.704E-3</v>
    <v>1.9096999999999999E-2</v>
    <v>-0.02</v>
    <v>CNY</v>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v>82439</v>
    <v>Hong Kong Stock Exchange</v>
    <v>XHKG</v>
    <v>XHKG</v>
    <v>No. 2266, Chaoyang South Avenue, BAODING, HEBEI, 071000 CN</v>
    <v>11.84</v>
    <v>Automobiles &amp; Auto Parts</v>
    <v>Stock</v>
    <v>45692.333333333336</v>
    <v>11.72</v>
    <v>181725500000</v>
    <v>Great Wall Motor Company Limited</v>
    <v>Great Wall Motor Company Limited</v>
    <v>11.76</v>
    <v>11.52</v>
    <v>11.74</v>
    <v>11.72</v>
    <v>8556164000</v>
    <v>82333</v>
    <v>Great Wall Motor Company Limited (XHKG:82333)</v>
    <v>7000</v>
    <v>16410450</v>
    <v>2001</v>
  </rv>
  <rv s="1">
    <v>0</v>
  </rv>
</rvData>
</file>

<file path=xl/richData/rdrichvaluestructure.xml><?xml version="1.0" encoding="utf-8"?>
<rvStructures xmlns="http://schemas.microsoft.com/office/spreadsheetml/2017/richdata" count="2">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spbArrays>
  <spbData count="5">
    <spb s="0">
      <v>0</v>
      <v>Name</v>
    </spb>
    <spb s="1">
      <v>0</v>
      <v>0</v>
      <v>0</v>
    </spb>
    <spb s="2">
      <v>1</v>
      <v>1</v>
      <v>1</v>
    </spb>
    <spb s="3">
      <v>1</v>
      <v>2</v>
      <v>1</v>
      <v>3</v>
      <v>1</v>
      <v>1</v>
      <v>1</v>
      <v>4</v>
      <v>4</v>
      <v>5</v>
      <v>6</v>
      <v>1</v>
      <v>1</v>
      <v>1</v>
      <v>4</v>
      <v>7</v>
      <v>8</v>
      <v>9</v>
      <v>4</v>
      <v>1</v>
      <v>1</v>
      <v>5</v>
    </spb>
    <spb s="4">
      <v>at close</v>
      <v>from previous close</v>
      <v>from previous close</v>
      <v>GMT</v>
      <v>Delayed 15 minutes</v>
      <v>from close</v>
      <v>from close</v>
    </spb>
  </spbData>
</supportingPropertyBags>
</file>

<file path=xl/richData/rdsupportingpropertybagstructure.xml><?xml version="1.0" encoding="utf-8"?>
<spbStructures xmlns="http://schemas.microsoft.com/office/spreadsheetml/2017/richdata2" count="5">
  <s>
    <k n="^Order" t="spba"/>
    <k n="TitleProperty" t="s"/>
  </s>
  <s>
    <k n="ShowInCardView" t="b"/>
    <k n="ShowInDotNotation" t="b"/>
    <k n="ShowInAutoComplete" t="b"/>
  </s>
  <s>
    <k n="ExchangeID" t="spb"/>
    <k n="UniqueName" t="spb"/>
    <k n="`%ProviderInfo"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0" formatCode="General"/>
    </x:dxf>
    <x:dxf>
      <x:numFmt numFmtId="27" formatCode="m/d/yyyy\ h:mm"/>
    </x:dxf>
  </dxfs>
  <richProperties>
    <rPr n="NumberFormat" t="s"/>
    <rPr n="IsTitleField" t="b"/>
  </richProperties>
  <richStyles>
    <rSty dxfid="5">
      <rpv i="0" xml:space="preserve">_ [$¥-zh-CN]* #,##0.00_ ;_ [$¥-zh-CN]* -#,##0.00_ ;_ [$¥-zh-CN]* "-"??_ ;_ @_ </rpv>
    </rSty>
    <rSty dxfid="0">
      <rpv i="0">#,##0.00</rpv>
    </rSty>
    <rSty>
      <rpv i="1">1</rpv>
    </rSty>
    <rSty dxfid="1">
      <rpv i="0">#,##0</rpv>
    </rSty>
    <rSty dxfid="2"/>
    <rSty dxfid="5">
      <rpv i="0" xml:space="preserve">_ [$¥-zh-CN]* #,##0_ ;_ [$¥-zh-CN]* -#,##0_ ;_ [$¥-zh-CN]* "-"_ ;_ @_ </rpv>
    </rSty>
    <rSty dxfid="6"/>
    <rSty dxfid="4">
      <rpv i="0">0</rpv>
    </rSty>
    <rSty dxfid="3">
      <rpv i="0">0.00</rpv>
    </rSty>
  </richStyles>
</richStyleSheet>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9309E5-F93A-427E-A487-833BAEB25BC4}" name="Table4" displayName="Table4" ref="A1:E40" totalsRowShown="0">
  <autoFilter ref="A1:E40" xr:uid="{3A9309E5-F93A-427E-A487-833BAEB25BC4}"/>
  <tableColumns count="5">
    <tableColumn id="1" xr3:uid="{9CAE3985-26C7-4ECD-882B-094032526248}" name="Year"/>
    <tableColumn id="2" xr3:uid="{9BF0AD65-9D9B-4E84-8CC4-EFDB04DABC50}" name="Net Sales"/>
    <tableColumn id="3" xr3:uid="{26590C37-7053-4345-AA4E-22898075BD3E}" name="Forecast(Net Sales)" dataDxfId="53">
      <calculatedColumnFormula>_xlfn.FORECAST.ETS(A2,$B$2:$B$14,$A$2:$A$14,1,1)</calculatedColumnFormula>
    </tableColumn>
    <tableColumn id="4" xr3:uid="{B0567F6C-A59D-4C21-9481-3558761F8BEE}" name="Lower Confidence Bound(Net Sales)" dataDxfId="52">
      <calculatedColumnFormula>C2-_xlfn.FORECAST.ETS.CONFINT(A2,$B$2:$B$14,$A$2:$A$14,0.9,1,1)</calculatedColumnFormula>
    </tableColumn>
    <tableColumn id="5" xr3:uid="{E0EAED6C-59DF-40DF-A85D-CCF70F81DA2E}" name="Upper Confidence Bound(Net Sales)" dataDxfId="51">
      <calculatedColumnFormula>C2+_xlfn.FORECAST.ETS.CONFINT(A2,$B$2:$B$14,$A$2:$A$14,0.9,1,1)</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2F8603-33C4-434F-9F3F-0C8AAA0E01F0}" name="Top_Auto_Manufacturers_Companies_in_the_World_as_of_Jul__01__20244" displayName="Top_Auto_Manufacturers_Companies_in_the_World_as_of_Jul__01__20244" ref="P6:V37" tableType="queryTable" totalsRowShown="0">
  <autoFilter ref="P6:V37" xr:uid="{2A2F8603-33C4-434F-9F3F-0C8AAA0E01F0}"/>
  <tableColumns count="7">
    <tableColumn id="1" xr3:uid="{F866DDA5-36DD-4D52-8CCC-2D6914AE1C94}" uniqueName="1" name="Rank" queryTableFieldId="1" dataDxfId="50"/>
    <tableColumn id="2" xr3:uid="{0F36D191-F75C-4BE7-8A26-2E3BF65B3968}" uniqueName="2" name="Company" queryTableFieldId="2" dataDxfId="49"/>
    <tableColumn id="3" xr3:uid="{917F96E8-7659-4E1C-AF88-551A700A2D2E}" uniqueName="3" name="Market Cap (USD)" queryTableFieldId="3" dataDxfId="48"/>
    <tableColumn id="4" xr3:uid="{72C9859D-8912-4F09-BB67-07550C2A202C}" uniqueName="4" name="Country" queryTableFieldId="4" dataDxfId="47"/>
    <tableColumn id="5" xr3:uid="{0C7AD824-0458-40EB-83A7-235F766C5408}" uniqueName="5" name="Sector" queryTableFieldId="5" dataDxfId="46"/>
    <tableColumn id="6" xr3:uid="{8D49DD65-C1E5-46EB-AAFF-A20B055AE275}" uniqueName="6" name="Industry" queryTableFieldId="6" dataDxfId="45"/>
    <tableColumn id="7" xr3:uid="{92409E12-03C7-4A99-8EB1-EBC5A998C304}" uniqueName="7" name="Column1" queryTableFieldId="7" dataDxfId="44"/>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B4CB0-3074-428B-8212-6517E06924A3}" name="Table1" displayName="Table1" ref="A1:E40" totalsRowShown="0">
  <autoFilter ref="A1:E40" xr:uid="{BFEB4CB0-3074-428B-8212-6517E06924A3}"/>
  <tableColumns count="5">
    <tableColumn id="1" xr3:uid="{F651C0F1-4E92-4B05-AA49-C81F91359BBF}" name="Year"/>
    <tableColumn id="2" xr3:uid="{6F126A25-6A13-4782-83DF-A771D5E13004}" name="Net Sales"/>
    <tableColumn id="3" xr3:uid="{FCABDE43-6312-4727-9BC2-48BFA1D12414}" name="Forecast(Net Sales)" dataDxfId="43">
      <calculatedColumnFormula>_xlfn.FORECAST.ETS(A2,$B$2:$B$13,$A$2:$A$13,1,1)</calculatedColumnFormula>
    </tableColumn>
    <tableColumn id="4" xr3:uid="{075301CD-7555-4411-BE74-A4DB583E281B}" name="Lower Confidence Bound(Net Sales)" dataDxfId="42">
      <calculatedColumnFormula>C2-_xlfn.FORECAST.ETS.CONFINT(A2,$B$2:$B$13,$A$2:$A$13,0.9,1,1)</calculatedColumnFormula>
    </tableColumn>
    <tableColumn id="5" xr3:uid="{200F0A3A-87B5-4019-8B8B-BE64749BAEB1}" name="Upper Confidence Bound(Net Sales)" dataDxfId="41">
      <calculatedColumnFormula>C2+_xlfn.FORECAST.ETS.CONFINT(A2,$B$2:$B$13,$A$2:$A$13,0.9,1,1)</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C8AEA4-A365-43E1-A703-25BFC6EBB548}" name="Top_Auto_Manufacturers_Companies_in_the_World_as_of_Jul__01__2024" displayName="Top_Auto_Manufacturers_Companies_in_the_World_as_of_Jul__01__2024" ref="A1:G32" tableType="queryTable" totalsRowShown="0">
  <autoFilter ref="A1:G32" xr:uid="{E1C8AEA4-A365-43E1-A703-25BFC6EBB548}"/>
  <tableColumns count="7">
    <tableColumn id="1" xr3:uid="{6AF39491-948A-4143-AB6D-EF422BB36948}" uniqueName="1" name="Rank" queryTableFieldId="1"/>
    <tableColumn id="2" xr3:uid="{FBD4C654-F18C-431B-A603-99F170C28A51}" uniqueName="2" name="Company" queryTableFieldId="2" dataDxfId="40"/>
    <tableColumn id="3" xr3:uid="{0793BA62-6D60-435F-82BF-6F2FBCD7A0E8}" uniqueName="3" name="Market Cap (USD)" queryTableFieldId="3" dataDxfId="39"/>
    <tableColumn id="4" xr3:uid="{CFF588C6-7A53-4EE6-B65C-E9860D7F2B2C}" uniqueName="4" name="Country" queryTableFieldId="4" dataDxfId="38"/>
    <tableColumn id="5" xr3:uid="{F812BC0C-81B8-434A-AB75-B62F2B78099C}" uniqueName="5" name="Sector" queryTableFieldId="5" dataDxfId="37"/>
    <tableColumn id="6" xr3:uid="{15D7EA44-4F74-4E85-88AD-F6527377FE2F}" uniqueName="6" name="Industry" queryTableFieldId="6" dataDxfId="36"/>
    <tableColumn id="7" xr3:uid="{5216A508-E39A-4E94-A256-4A82559C2714}" uniqueName="7" name="Column7" queryTableFieldId="7" dataDxfId="35"/>
  </tableColumns>
  <tableStyleInfo name="TableStyleMedium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precedenceresearch.com/electric-suv-market" TargetMode="External"/><Relationship Id="rId7" Type="http://schemas.openxmlformats.org/officeDocument/2006/relationships/comments" Target="../comments2.xml"/><Relationship Id="rId2" Type="http://schemas.openxmlformats.org/officeDocument/2006/relationships/hyperlink" Target="https://onvenient-and-connected/?utm_source=chatgpt.com" TargetMode="External"/><Relationship Id="rId1" Type="http://schemas.openxmlformats.org/officeDocument/2006/relationships/hyperlink" Target="https://www.statista.com/outlook/mmo/electric-vehicles/battery-electric-vehicles/china"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isfold.com/industry/auto-manufacturers/companies/?page=1" TargetMode="External"/><Relationship Id="rId1" Type="http://schemas.openxmlformats.org/officeDocument/2006/relationships/hyperlink" Target="https://www.coursehero.com/file/38225170/Swot-Analysisdocx/" TargetMode="External"/><Relationship Id="rId4"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U102"/>
  <sheetViews>
    <sheetView showGridLines="0" tabSelected="1" zoomScale="59" zoomScaleNormal="70" workbookViewId="0">
      <selection activeCell="B78" sqref="B78:F102"/>
    </sheetView>
  </sheetViews>
  <sheetFormatPr defaultColWidth="11.3984375" defaultRowHeight="12.75" x14ac:dyDescent="0.35"/>
  <cols>
    <col min="1" max="1" width="0.3984375" customWidth="1"/>
    <col min="2" max="2" width="21.1328125" bestFit="1" customWidth="1"/>
    <col min="3" max="3" width="23.3984375" customWidth="1"/>
    <col min="4" max="4" width="32" customWidth="1"/>
    <col min="5" max="5" width="20.3984375" bestFit="1" customWidth="1"/>
    <col min="6" max="6" width="17" bestFit="1" customWidth="1"/>
    <col min="7" max="7" width="13.3984375" bestFit="1" customWidth="1"/>
    <col min="8" max="8" width="24.86328125" customWidth="1"/>
    <col min="9" max="9" width="17.1328125" customWidth="1"/>
    <col min="10" max="10" width="10.3984375" customWidth="1"/>
    <col min="11" max="11" width="13.73046875" customWidth="1"/>
    <col min="12" max="12" width="20.86328125" bestFit="1" customWidth="1"/>
    <col min="13" max="13" width="31" customWidth="1"/>
  </cols>
  <sheetData>
    <row r="1" spans="2:21" ht="3.75" customHeight="1" thickBot="1" x14ac:dyDescent="0.4"/>
    <row r="2" spans="2:21" ht="22.5" customHeight="1" x14ac:dyDescent="0.35">
      <c r="B2" s="730" t="s">
        <v>0</v>
      </c>
      <c r="C2" s="731" t="s">
        <v>1</v>
      </c>
      <c r="D2" s="742" t="s">
        <v>2</v>
      </c>
      <c r="E2" s="824" t="e" vm="1">
        <f>Inputs!D3</f>
        <v>#VALUE!</v>
      </c>
      <c r="F2" s="825"/>
      <c r="G2" s="825"/>
      <c r="H2" s="825"/>
      <c r="I2" s="825"/>
      <c r="J2" s="825"/>
      <c r="K2" s="826"/>
      <c r="L2" s="732" t="str" cm="2">
        <f t="array" aca="1" ref="L2" ca="1">_FV(E2,"Exchange")</f>
        <v>Hong Kong Stock Exchange</v>
      </c>
      <c r="M2" s="733" t="s">
        <v>3</v>
      </c>
      <c r="O2" s="801" t="s">
        <v>4</v>
      </c>
      <c r="P2" s="801"/>
      <c r="Q2" s="801"/>
      <c r="R2" s="801"/>
      <c r="S2" s="801"/>
      <c r="T2" s="801"/>
      <c r="U2" s="801"/>
    </row>
    <row r="3" spans="2:21" ht="26.25" customHeight="1" x14ac:dyDescent="0.35">
      <c r="B3" s="868"/>
      <c r="C3" s="869"/>
      <c r="D3" s="836" t="s">
        <v>5</v>
      </c>
      <c r="E3" s="836"/>
      <c r="F3" s="836"/>
      <c r="G3" s="836"/>
      <c r="H3" s="837" t="s">
        <v>6</v>
      </c>
      <c r="I3" s="837"/>
      <c r="J3" s="838"/>
      <c r="K3" s="838"/>
      <c r="L3" s="837"/>
      <c r="M3" s="839"/>
      <c r="O3" s="801"/>
      <c r="P3" s="801"/>
      <c r="Q3" s="801"/>
      <c r="R3" s="801"/>
      <c r="S3" s="801"/>
      <c r="T3" s="801"/>
      <c r="U3" s="801"/>
    </row>
    <row r="4" spans="2:21" ht="13.15" x14ac:dyDescent="0.4">
      <c r="B4" s="868"/>
      <c r="C4" s="869"/>
      <c r="D4" s="835" t="str" cm="2">
        <f t="array" aca="1" ref="D4" ca="1">_FV(Inputs!D3,"Description")</f>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c>
      <c r="E4" s="835"/>
      <c r="F4" s="835"/>
      <c r="G4" s="835"/>
      <c r="H4" s="111" t="s">
        <v>7</v>
      </c>
      <c r="I4" s="729" t="s">
        <v>8</v>
      </c>
      <c r="J4" s="829" t="s">
        <v>9</v>
      </c>
      <c r="K4" s="845"/>
      <c r="L4" s="853" t="s">
        <v>10</v>
      </c>
      <c r="M4" s="854"/>
      <c r="O4" s="801"/>
      <c r="P4" s="801"/>
      <c r="Q4" s="801"/>
      <c r="R4" s="801"/>
      <c r="S4" s="801"/>
      <c r="T4" s="801"/>
      <c r="U4" s="801"/>
    </row>
    <row r="5" spans="2:21" ht="25.15" customHeight="1" x14ac:dyDescent="0.35">
      <c r="B5" s="868"/>
      <c r="C5" s="869"/>
      <c r="D5" s="835"/>
      <c r="E5" s="835"/>
      <c r="F5" s="835"/>
      <c r="G5" s="835"/>
      <c r="H5" s="771" t="s">
        <v>11</v>
      </c>
      <c r="I5" s="375"/>
      <c r="J5" s="851" t="s">
        <v>12</v>
      </c>
      <c r="K5" s="852"/>
      <c r="L5" s="855"/>
      <c r="M5" s="856"/>
      <c r="O5" s="801"/>
      <c r="P5" s="801"/>
      <c r="Q5" s="801"/>
      <c r="R5" s="801"/>
      <c r="S5" s="801"/>
      <c r="T5" s="801"/>
      <c r="U5" s="801"/>
    </row>
    <row r="6" spans="2:21" ht="25.15" customHeight="1" x14ac:dyDescent="0.35">
      <c r="B6" s="868"/>
      <c r="C6" s="869"/>
      <c r="D6" s="835"/>
      <c r="E6" s="835"/>
      <c r="F6" s="835"/>
      <c r="G6" s="835"/>
      <c r="H6" s="771" t="s">
        <v>13</v>
      </c>
      <c r="I6" s="375"/>
      <c r="J6" s="855" t="s">
        <v>14</v>
      </c>
      <c r="K6" s="874"/>
      <c r="L6" s="855"/>
      <c r="M6" s="856"/>
      <c r="O6" s="801"/>
      <c r="P6" s="801"/>
      <c r="Q6" s="801"/>
      <c r="R6" s="801"/>
      <c r="S6" s="801"/>
      <c r="T6" s="801"/>
      <c r="U6" s="801"/>
    </row>
    <row r="7" spans="2:21" ht="25.15" customHeight="1" x14ac:dyDescent="0.35">
      <c r="B7" s="868"/>
      <c r="C7" s="869"/>
      <c r="D7" s="835"/>
      <c r="E7" s="835"/>
      <c r="F7" s="835"/>
      <c r="G7" s="835"/>
      <c r="H7" s="771" t="s">
        <v>15</v>
      </c>
      <c r="I7" s="375"/>
      <c r="J7" s="855" t="s">
        <v>16</v>
      </c>
      <c r="K7" s="874"/>
      <c r="L7" s="855"/>
      <c r="M7" s="856"/>
    </row>
    <row r="8" spans="2:21" ht="25.15" customHeight="1" x14ac:dyDescent="0.35">
      <c r="B8" s="868"/>
      <c r="C8" s="869"/>
      <c r="D8" s="835"/>
      <c r="E8" s="835"/>
      <c r="F8" s="835"/>
      <c r="G8" s="835"/>
      <c r="H8" s="771" t="s">
        <v>17</v>
      </c>
      <c r="I8" s="375"/>
      <c r="J8" s="875" t="s">
        <v>18</v>
      </c>
      <c r="K8" s="876"/>
      <c r="L8" s="855"/>
      <c r="M8" s="856"/>
    </row>
    <row r="9" spans="2:21" ht="25.15" customHeight="1" x14ac:dyDescent="0.35">
      <c r="B9" s="868"/>
      <c r="C9" s="869"/>
      <c r="D9" s="835"/>
      <c r="E9" s="835"/>
      <c r="F9" s="835"/>
      <c r="G9" s="835"/>
      <c r="H9" s="771" t="s">
        <v>19</v>
      </c>
      <c r="I9" s="375"/>
      <c r="J9" s="855" t="s">
        <v>18</v>
      </c>
      <c r="K9" s="874"/>
      <c r="L9" s="855"/>
      <c r="M9" s="856"/>
    </row>
    <row r="10" spans="2:21" ht="25.15" customHeight="1" x14ac:dyDescent="0.35">
      <c r="B10" s="868"/>
      <c r="C10" s="869"/>
      <c r="D10" s="835"/>
      <c r="E10" s="835"/>
      <c r="F10" s="835"/>
      <c r="G10" s="835"/>
      <c r="H10" s="771" t="s">
        <v>20</v>
      </c>
      <c r="I10" s="375"/>
      <c r="J10" s="855"/>
      <c r="K10" s="874"/>
      <c r="L10" s="855"/>
      <c r="M10" s="856"/>
    </row>
    <row r="11" spans="2:21" ht="25.15" customHeight="1" x14ac:dyDescent="0.35">
      <c r="B11" s="868"/>
      <c r="C11" s="869"/>
      <c r="D11" s="835"/>
      <c r="E11" s="835"/>
      <c r="F11" s="835"/>
      <c r="G11" s="835"/>
      <c r="H11" s="771" t="s">
        <v>21</v>
      </c>
      <c r="I11" s="375"/>
      <c r="J11" s="855"/>
      <c r="K11" s="874"/>
      <c r="L11" s="855"/>
      <c r="M11" s="856"/>
    </row>
    <row r="12" spans="2:21" ht="25.15" customHeight="1" x14ac:dyDescent="0.35">
      <c r="B12" s="866" t="str" cm="2">
        <f t="array" aca="1" ref="B12" ca="1">_FV(E2,"Currency")&amp;" MILLIONS"</f>
        <v>CNY MILLIONS</v>
      </c>
      <c r="C12" s="867"/>
      <c r="D12" s="835"/>
      <c r="E12" s="835"/>
      <c r="F12" s="835"/>
      <c r="G12" s="835"/>
      <c r="H12" s="771" t="s">
        <v>22</v>
      </c>
      <c r="I12" s="376"/>
      <c r="J12" s="855"/>
      <c r="K12" s="874"/>
      <c r="L12" s="855"/>
      <c r="M12" s="856"/>
    </row>
    <row r="13" spans="2:21" ht="17.649999999999999" x14ac:dyDescent="0.5">
      <c r="B13" s="871" t="s">
        <v>23</v>
      </c>
      <c r="C13" s="872"/>
      <c r="D13" s="872"/>
      <c r="E13" s="872"/>
      <c r="F13" s="872"/>
      <c r="G13" s="872"/>
      <c r="H13" s="872"/>
      <c r="I13" s="872"/>
      <c r="J13" s="872"/>
      <c r="K13" s="872"/>
      <c r="L13" s="872"/>
      <c r="M13" s="873"/>
    </row>
    <row r="14" spans="2:21" ht="15" x14ac:dyDescent="0.4">
      <c r="B14" s="806" t="s">
        <v>24</v>
      </c>
      <c r="C14" s="807"/>
      <c r="D14" s="848" t="s">
        <v>25</v>
      </c>
      <c r="E14" s="850"/>
      <c r="F14" s="840" t="s">
        <v>26</v>
      </c>
      <c r="G14" s="841"/>
      <c r="H14" s="842"/>
      <c r="I14" s="848" t="str">
        <f>"Profitability ("&amp;J15&amp;")"</f>
        <v>Profitability (2023)</v>
      </c>
      <c r="J14" s="849"/>
      <c r="K14" s="850"/>
      <c r="L14" s="848" t="s">
        <v>27</v>
      </c>
      <c r="M14" s="870"/>
    </row>
    <row r="15" spans="2:21" ht="13.15" x14ac:dyDescent="0.4">
      <c r="B15" s="734" t="s">
        <v>28</v>
      </c>
      <c r="C15" s="743" cm="2">
        <f t="array" aca="1" ref="C15" ca="1">_FV(E2,"Price")</f>
        <v>11.74</v>
      </c>
      <c r="D15" s="12" t="s">
        <v>29</v>
      </c>
      <c r="E15" s="121">
        <f>_xlfn.XLOOKUP(D15,'Fin. Data'!A:A,'Fin. Data'!B:B,,0)</f>
        <v>201270.3</v>
      </c>
      <c r="F15" s="827" t="s">
        <v>30</v>
      </c>
      <c r="G15" s="828"/>
      <c r="H15" s="105" t="s">
        <v>31</v>
      </c>
      <c r="I15" t="s">
        <v>32</v>
      </c>
      <c r="J15" s="814">
        <v>2023</v>
      </c>
      <c r="K15" s="815"/>
      <c r="L15" s="11" t="s">
        <v>33</v>
      </c>
      <c r="M15" s="737" t="str">
        <f>IF(Inputs!B82 &lt;&gt; "",Inputs!B82,"")</f>
        <v/>
      </c>
    </row>
    <row r="16" spans="2:21" ht="12.75" customHeight="1" x14ac:dyDescent="0.4">
      <c r="B16" s="734" t="s">
        <v>34</v>
      </c>
      <c r="C16" s="744" cm="2">
        <f t="array" aca="1" ref="C16" ca="1">_FV(E2,"Shares outstanding",TRUE)</f>
        <v>8556164000</v>
      </c>
      <c r="D16" s="11" t="s">
        <v>35</v>
      </c>
      <c r="E16" s="121">
        <f>_xlfn.XLOOKUP(D16,'Fin. Data'!A:A,'Fin. Data'!B:B,,0)</f>
        <v>132761.5</v>
      </c>
      <c r="F16" s="843" t="str">
        <f>Segments!C5</f>
        <v>Automobiles</v>
      </c>
      <c r="G16" s="844"/>
      <c r="H16" s="16">
        <f>Segments!B5</f>
        <v>0.88491970249191598</v>
      </c>
      <c r="I16" s="11" t="s">
        <v>36</v>
      </c>
      <c r="J16" s="831">
        <v>45291</v>
      </c>
      <c r="K16" s="832"/>
      <c r="L16" s="11" t="s">
        <v>37</v>
      </c>
      <c r="M16" s="737" t="str">
        <f>IF(Inputs!B83 &lt;&gt; "",Inputs!B83,"")</f>
        <v/>
      </c>
    </row>
    <row r="17" spans="1:14" ht="12.75" customHeight="1" x14ac:dyDescent="0.4">
      <c r="B17" s="734" t="s">
        <v>38</v>
      </c>
      <c r="C17" s="51">
        <f ca="1">C15*C16/1000000</f>
        <v>100449.36536</v>
      </c>
      <c r="D17" s="11" t="s">
        <v>39</v>
      </c>
      <c r="E17" s="363">
        <f ca="1">_xlfn.XLOOKUP("Cash &amp; Eq.",'Fin. Data'!A:A,'Fin. Data'!B:B,,0)*1000000/C16</f>
        <v>4.6030674493850281</v>
      </c>
      <c r="F17" s="843" t="str">
        <f>Segments!C6</f>
        <v>Automotive Parts &amp; Components</v>
      </c>
      <c r="G17" s="844"/>
      <c r="H17" s="16">
        <f>Segments!B6</f>
        <v>7.282632102491686E-2</v>
      </c>
      <c r="I17" s="833" t="s">
        <v>40</v>
      </c>
      <c r="J17" s="833"/>
      <c r="K17" s="121">
        <f>_xlfn.XLOOKUP(I17,'Fin. Data'!A:A,'Fin. Data'!B:B,,0)</f>
        <v>13988.3</v>
      </c>
      <c r="L17" s="8" t="s">
        <v>41</v>
      </c>
      <c r="M17" s="736" cm="2">
        <f t="array" aca="1" ref="M17" ca="1">IF(_FV(E2,"Beta") &lt;&gt; "",_FV(E2,"Beta"),"")</f>
        <v>1.8053999999999999</v>
      </c>
    </row>
    <row r="18" spans="1:14" ht="12.75" customHeight="1" x14ac:dyDescent="0.4">
      <c r="B18" s="735" t="s">
        <v>42</v>
      </c>
      <c r="C18" s="51">
        <f>'Fin. Data'!B58</f>
        <v>57926.1</v>
      </c>
      <c r="D18" s="11" t="s">
        <v>43</v>
      </c>
      <c r="E18" s="363">
        <f>IFERROR(_xlfn.XLOOKUP("EBITDA",'Fin. Data'!A:A,'Fin. Data'!B:B,,0)/_xlfn.XLOOKUP("Net Financial Cost",'Fin. Data'!A:A,'Fin. Data'!B:B,,0),"")</f>
        <v>9.2643883700907335</v>
      </c>
      <c r="F18" s="843" t="str">
        <f>Segments!C7</f>
        <v>Provision Of Services</v>
      </c>
      <c r="G18" s="844"/>
      <c r="H18" s="16">
        <f>Segments!B7</f>
        <v>1.6473444984501665E-2</v>
      </c>
      <c r="I18" s="834" t="s">
        <v>44</v>
      </c>
      <c r="J18" s="834"/>
      <c r="K18" s="121">
        <f>_xlfn.XLOOKUP(I18,'Fin. Data'!A:A,'Fin. Data'!B:B,,0)</f>
        <v>7673</v>
      </c>
      <c r="L18" s="11" t="s">
        <v>45</v>
      </c>
      <c r="M18" s="736" t="str">
        <f>IF(Inputs!B84 &lt;&gt; "",Inputs!B84,"")</f>
        <v/>
      </c>
    </row>
    <row r="19" spans="1:14" ht="12.75" customHeight="1" x14ac:dyDescent="0.4">
      <c r="B19" s="735" t="s">
        <v>46</v>
      </c>
      <c r="C19" s="51">
        <f>'Fin. Data'!B39</f>
        <v>39384.6</v>
      </c>
      <c r="D19" s="11" t="s">
        <v>47</v>
      </c>
      <c r="E19" s="363">
        <f>IFERROR(_xlfn.XLOOKUP("Total Debt",'Fin. Data'!A:A,'Fin. Data'!B:B,,0)/_xlfn.XLOOKUP("EBITDA",'Fin. Data'!A:A,'Fin. Data'!B:B,,0),"")</f>
        <v>4.141039297126885</v>
      </c>
      <c r="F19" s="843" t="str">
        <f>Segments!C8</f>
        <v>Moulds &amp; Others</v>
      </c>
      <c r="G19" s="844"/>
      <c r="H19" s="41">
        <f>Segments!B8</f>
        <v>1.4317129115113784E-2</v>
      </c>
      <c r="I19" s="834" t="s">
        <v>48</v>
      </c>
      <c r="J19" s="834"/>
      <c r="K19" s="121">
        <f>_xlfn.XLOOKUP(I19,'Fin. Data'!A:A,'Fin. Data'!B:B,,0)</f>
        <v>6315.3</v>
      </c>
      <c r="L19" s="11" t="s">
        <v>49</v>
      </c>
      <c r="M19" s="736">
        <f ca="1">IFERROR((C15*C16/(E15-E16))/1000000,"")</f>
        <v>1.466225731000981</v>
      </c>
    </row>
    <row r="20" spans="1:14" ht="12.75" customHeight="1" x14ac:dyDescent="0.4">
      <c r="B20" s="735" t="s">
        <v>50</v>
      </c>
      <c r="C20" s="51">
        <f ca="1">C17+C18-C19</f>
        <v>118990.86536</v>
      </c>
      <c r="D20" s="11" t="s">
        <v>51</v>
      </c>
      <c r="E20" s="363">
        <f>IFERROR(_xlfn.XLOOKUP("Other Assets",'Fin. Data'!A:A,'Fin. Data'!B:B,,0)/_xlfn.XLOOKUP("Total Assets",'Fin. Data'!A:A,'Fin. Data'!B:B,,0),"")</f>
        <v>0.4081009468361701</v>
      </c>
      <c r="F20" s="843" t="str">
        <f>Segments!C9</f>
        <v>Other Business</v>
      </c>
      <c r="G20" s="844"/>
      <c r="H20" s="41">
        <f>Segments!B9</f>
        <v>1.1463402383551728E-2</v>
      </c>
      <c r="I20" s="833" t="s">
        <v>52</v>
      </c>
      <c r="J20" s="833"/>
      <c r="K20" s="121">
        <f>_xlfn.XLOOKUP(I20,'Fin. Data'!A:A,'Fin. Data'!B:B,,0)</f>
        <v>7021.6</v>
      </c>
      <c r="L20" s="11" t="s">
        <v>53</v>
      </c>
      <c r="M20" s="737">
        <f>IFERROR(K26/E15,"")</f>
        <v>1.3546128431931256E-2</v>
      </c>
    </row>
    <row r="21" spans="1:14" ht="12.75" customHeight="1" x14ac:dyDescent="0.4">
      <c r="B21" s="735" t="s">
        <v>54</v>
      </c>
      <c r="C21" s="123" t="s">
        <v>55</v>
      </c>
      <c r="D21" s="11" t="s">
        <v>56</v>
      </c>
      <c r="E21" s="363">
        <f>_xlfn.XLOOKUP(D21,'Fin. Data'!A:A,'Fin. Data'!B:B,,0)</f>
        <v>0.28780252227974024</v>
      </c>
      <c r="F21" s="829" t="s">
        <v>57</v>
      </c>
      <c r="G21" s="830"/>
      <c r="H21" s="106" t="s">
        <v>31</v>
      </c>
      <c r="I21" s="833" t="s">
        <v>58</v>
      </c>
      <c r="J21" s="833"/>
      <c r="K21" s="69">
        <f ca="1">1000000*K20/C16</f>
        <v>0.82064813156924066</v>
      </c>
      <c r="L21" s="11" t="s">
        <v>59</v>
      </c>
      <c r="M21" s="738">
        <f ca="1">IFERROR(C17/K25,"")</f>
        <v>13.6891161449461</v>
      </c>
    </row>
    <row r="22" spans="1:14" ht="12.75" customHeight="1" x14ac:dyDescent="0.35">
      <c r="B22" s="734" t="s">
        <v>60</v>
      </c>
      <c r="C22" s="124" t="s">
        <v>55</v>
      </c>
      <c r="D22" s="11" t="s">
        <v>61</v>
      </c>
      <c r="E22" s="122">
        <f>IFERROR(AVERAGE(_xlfn.XLOOKUP("EBITDA Margin",'Fin. Data'!A:A,'Fin. Data'!B:D,,0)),"")</f>
        <v>7.9604408589897646E-2</v>
      </c>
      <c r="F22" s="911" t="str">
        <f>Segments!C18</f>
        <v>China</v>
      </c>
      <c r="G22" s="912"/>
      <c r="H22" s="923">
        <f>Segments!B18</f>
        <v>0.69048853428168944</v>
      </c>
      <c r="I22" s="833" t="s">
        <v>62</v>
      </c>
      <c r="J22" s="833"/>
      <c r="K22" s="70">
        <f>IFERROR(K20/E15,"")</f>
        <v>3.4886418910291289E-2</v>
      </c>
      <c r="L22" s="11" t="s">
        <v>63</v>
      </c>
      <c r="M22" s="739">
        <f ca="1">IFERROR(C20/E15,"")</f>
        <v>0.59119932429176092</v>
      </c>
    </row>
    <row r="23" spans="1:14" ht="12.75" customHeight="1" x14ac:dyDescent="0.35">
      <c r="B23" s="734" t="s">
        <v>64</v>
      </c>
      <c r="C23" s="17"/>
      <c r="D23" s="11" t="s">
        <v>65</v>
      </c>
      <c r="E23" s="122">
        <f>IFERROR(AVERAGE(_xlfn.XLOOKUP("Operating Margin",'Fin. Data'!A:A,'Fin. Data'!B:D,,0)),"")</f>
        <v>3.5577997394708738E-2</v>
      </c>
      <c r="F23" s="913"/>
      <c r="G23" s="914"/>
      <c r="H23" s="924"/>
      <c r="I23" s="833" t="s">
        <v>66</v>
      </c>
      <c r="J23" s="833"/>
      <c r="K23" s="70">
        <f>IFERROR(Peers!C18,"")</f>
        <v>6.5112377606033028E-2</v>
      </c>
      <c r="L23" s="11" t="s">
        <v>67</v>
      </c>
      <c r="M23" s="739">
        <f ca="1">IFERROR(C20/K24,"")</f>
        <v>10.020339653275245</v>
      </c>
    </row>
    <row r="24" spans="1:14" ht="15" x14ac:dyDescent="0.4">
      <c r="B24" s="806" t="s">
        <v>68</v>
      </c>
      <c r="C24" s="807"/>
      <c r="D24" s="11" t="s">
        <v>69</v>
      </c>
      <c r="E24" s="122">
        <f>IFERROR(AVERAGE(_xlfn.XLOOKUP("Net Income Margin",'Fin. Data'!A:A,'Fin. Data'!B:D,,0)),"")</f>
        <v>5.0011292941099801E-2</v>
      </c>
      <c r="F24" s="915"/>
      <c r="G24" s="916"/>
      <c r="H24" s="925"/>
      <c r="I24" s="883" t="s">
        <v>70</v>
      </c>
      <c r="J24" s="883"/>
      <c r="K24" s="661">
        <f>AVERAGE(_xlfn.XLOOKUP("EBITDA",'Fin. Data'!A:A,'Fin. Data'!B:D,,0))</f>
        <v>11874.933333333334</v>
      </c>
      <c r="L24" s="11" t="s">
        <v>71</v>
      </c>
      <c r="M24" s="738">
        <f ca="1">IFERROR(C17/K26,"")</f>
        <v>36.842773352242858</v>
      </c>
    </row>
    <row r="25" spans="1:14" ht="12.75" customHeight="1" x14ac:dyDescent="0.4">
      <c r="B25" s="740" t="s">
        <v>72</v>
      </c>
      <c r="C25" s="495"/>
      <c r="D25" s="741"/>
      <c r="E25" s="129"/>
      <c r="F25" s="911" t="str">
        <f>Segments!C19</f>
        <v>Other countries</v>
      </c>
      <c r="G25" s="917"/>
      <c r="H25" s="920">
        <f>Segments!B19</f>
        <v>0.30951146571831051</v>
      </c>
      <c r="I25" s="833" t="s">
        <v>73</v>
      </c>
      <c r="J25" s="833"/>
      <c r="K25" s="121">
        <f>AVERAGE(_xlfn.XLOOKUP("Net Income",'Fin. Data'!A:A,'Fin. Data'!B:D,,0))</f>
        <v>7337.9000000000005</v>
      </c>
      <c r="L25" s="11" t="s">
        <v>74</v>
      </c>
      <c r="M25" s="738" t="s">
        <v>55</v>
      </c>
    </row>
    <row r="26" spans="1:14" ht="12.75" customHeight="1" x14ac:dyDescent="0.4">
      <c r="B26" s="740" t="s">
        <v>75</v>
      </c>
      <c r="C26" s="496"/>
      <c r="D26" s="11" t="s">
        <v>76</v>
      </c>
      <c r="E26" s="489">
        <f>IFERROR(-_xlfn.XLOOKUP("Net Financial Cost",'Fin. Data'!A:A,'Fin. Data'!B:B,,0)/AVERAGE(_xlfn.XLOOKUP("Net Debt",'Fin. Data'!A:A,'Fin. Data'!B:D,,0)),"")</f>
        <v>-9.0877902567621238E-2</v>
      </c>
      <c r="F26" s="913"/>
      <c r="G26" s="918"/>
      <c r="H26" s="921"/>
      <c r="I26" s="833" t="s">
        <v>77</v>
      </c>
      <c r="J26" s="833"/>
      <c r="K26" s="121">
        <f>AVERAGE(_xlfn.XLOOKUP("Net Financial Cost",'Fin. Data'!A:A,'Fin. Data'!B:D,,0))</f>
        <v>2726.4333333333334</v>
      </c>
      <c r="L26" s="11" t="s">
        <v>78</v>
      </c>
      <c r="M26" s="737">
        <f ca="1">-IFERROR(SUM(E47:E49)/(3*C17),"")</f>
        <v>2.8098734022703444E-2</v>
      </c>
    </row>
    <row r="27" spans="1:14" ht="12.75" customHeight="1" x14ac:dyDescent="0.4">
      <c r="B27" s="740" t="s">
        <v>79</v>
      </c>
      <c r="C27" s="496"/>
      <c r="D27" s="126"/>
      <c r="E27" s="128"/>
      <c r="F27" s="915"/>
      <c r="G27" s="919"/>
      <c r="H27" s="922"/>
      <c r="I27" s="126"/>
      <c r="J27" s="127"/>
      <c r="K27" s="127"/>
      <c r="L27" s="11" t="s">
        <v>80</v>
      </c>
      <c r="M27" s="745">
        <f ca="1">-IFERROR(L48/C17,"")</f>
        <v>6.3872976967109035E-3</v>
      </c>
    </row>
    <row r="28" spans="1:14" ht="18" thickBot="1" x14ac:dyDescent="0.55000000000000004">
      <c r="B28" s="808" t="s">
        <v>81</v>
      </c>
      <c r="C28" s="809"/>
      <c r="D28" s="809"/>
      <c r="E28" s="809"/>
      <c r="F28" s="809"/>
      <c r="G28" s="809"/>
      <c r="H28" s="809"/>
      <c r="I28" s="809"/>
      <c r="J28" s="809"/>
      <c r="K28" s="809"/>
      <c r="L28" s="809"/>
      <c r="M28" s="810"/>
    </row>
    <row r="29" spans="1:14" ht="15.4" thickBot="1" x14ac:dyDescent="0.45">
      <c r="B29" s="926" t="s">
        <v>82</v>
      </c>
      <c r="C29" s="927"/>
      <c r="D29" s="927"/>
      <c r="E29" s="927"/>
      <c r="F29" s="927"/>
      <c r="G29" s="927"/>
      <c r="H29" s="497" t="s">
        <v>83</v>
      </c>
      <c r="I29" s="884" t="s">
        <v>84</v>
      </c>
      <c r="J29" s="885"/>
      <c r="K29" s="885"/>
      <c r="L29" s="885"/>
      <c r="M29" s="886"/>
      <c r="N29" s="10"/>
    </row>
    <row r="30" spans="1:14" ht="13.5" customHeight="1" thickBot="1" x14ac:dyDescent="0.45">
      <c r="A30" s="10"/>
      <c r="B30" s="498" t="s">
        <v>85</v>
      </c>
      <c r="C30" s="893" t="s">
        <v>86</v>
      </c>
      <c r="D30" s="894"/>
      <c r="E30" s="894"/>
      <c r="F30" s="894"/>
      <c r="G30" s="895"/>
      <c r="H30" s="816"/>
      <c r="I30" s="857" t="s">
        <v>87</v>
      </c>
      <c r="J30" s="858"/>
      <c r="K30" s="858"/>
      <c r="L30" s="858"/>
      <c r="M30" s="859"/>
    </row>
    <row r="31" spans="1:14" ht="24.75" customHeight="1" thickBot="1" x14ac:dyDescent="0.4">
      <c r="A31" s="10"/>
      <c r="B31" s="499"/>
      <c r="C31" s="818"/>
      <c r="D31" s="819"/>
      <c r="E31" s="819"/>
      <c r="F31" s="819"/>
      <c r="G31" s="820"/>
      <c r="H31" s="816"/>
      <c r="I31" s="860"/>
      <c r="J31" s="861"/>
      <c r="K31" s="861"/>
      <c r="L31" s="861"/>
      <c r="M31" s="862"/>
    </row>
    <row r="32" spans="1:14" ht="24.75" customHeight="1" thickBot="1" x14ac:dyDescent="0.4">
      <c r="A32" s="10"/>
      <c r="B32" s="499"/>
      <c r="C32" s="818"/>
      <c r="D32" s="819"/>
      <c r="E32" s="819"/>
      <c r="F32" s="819"/>
      <c r="G32" s="820"/>
      <c r="H32" s="816"/>
      <c r="I32" s="860"/>
      <c r="J32" s="861"/>
      <c r="K32" s="861"/>
      <c r="L32" s="861"/>
      <c r="M32" s="862"/>
    </row>
    <row r="33" spans="2:19" ht="24.75" customHeight="1" thickBot="1" x14ac:dyDescent="0.4">
      <c r="B33" s="500"/>
      <c r="C33" s="821"/>
      <c r="D33" s="822"/>
      <c r="E33" s="822"/>
      <c r="F33" s="822"/>
      <c r="G33" s="823"/>
      <c r="H33" s="817"/>
      <c r="I33" s="863"/>
      <c r="J33" s="864"/>
      <c r="K33" s="864"/>
      <c r="L33" s="864"/>
      <c r="M33" s="865"/>
    </row>
    <row r="34" spans="2:19" ht="15.4" thickBot="1" x14ac:dyDescent="0.45">
      <c r="B34" s="887" t="s">
        <v>88</v>
      </c>
      <c r="C34" s="888"/>
      <c r="D34" s="888"/>
      <c r="E34" s="888"/>
      <c r="F34" s="888"/>
      <c r="G34" s="889"/>
      <c r="H34" s="501" t="s">
        <v>89</v>
      </c>
      <c r="I34" s="846" t="s">
        <v>90</v>
      </c>
      <c r="J34" s="846"/>
      <c r="K34" s="846"/>
      <c r="L34" s="846"/>
      <c r="M34" s="847"/>
    </row>
    <row r="35" spans="2:19" ht="13.5" customHeight="1" thickBot="1" x14ac:dyDescent="0.45">
      <c r="B35" s="502" t="s">
        <v>91</v>
      </c>
      <c r="C35" s="890" t="s">
        <v>86</v>
      </c>
      <c r="D35" s="891"/>
      <c r="E35" s="891"/>
      <c r="F35" s="891"/>
      <c r="G35" s="892"/>
      <c r="H35" s="811">
        <f ca="1">IFERROR(DCF!D75,"")</f>
        <v>-15.298115552813281</v>
      </c>
      <c r="I35" s="896" t="s">
        <v>92</v>
      </c>
      <c r="J35" s="898">
        <f>DCF!F50</f>
        <v>0.08</v>
      </c>
      <c r="K35" s="899"/>
      <c r="L35" s="904" t="s">
        <v>93</v>
      </c>
      <c r="M35" s="908" t="str">
        <f>IFERROR(#REF!,"")</f>
        <v/>
      </c>
    </row>
    <row r="36" spans="2:19" ht="13.5" customHeight="1" thickBot="1" x14ac:dyDescent="0.4">
      <c r="B36" s="499"/>
      <c r="C36" s="928"/>
      <c r="D36" s="929"/>
      <c r="E36" s="929"/>
      <c r="F36" s="929"/>
      <c r="G36" s="930"/>
      <c r="H36" s="812"/>
      <c r="I36" s="897"/>
      <c r="J36" s="900"/>
      <c r="K36" s="901"/>
      <c r="L36" s="905"/>
      <c r="M36" s="909"/>
    </row>
    <row r="37" spans="2:19" ht="13.5" customHeight="1" thickBot="1" x14ac:dyDescent="0.4">
      <c r="B37" s="503"/>
      <c r="C37" s="880"/>
      <c r="D37" s="881"/>
      <c r="E37" s="881"/>
      <c r="F37" s="881"/>
      <c r="G37" s="882"/>
      <c r="H37" s="812"/>
      <c r="I37" s="896" t="s">
        <v>94</v>
      </c>
      <c r="J37" s="902">
        <f ca="1">IFERROR(DCF!D74,"")</f>
        <v>-2.3030762821817103</v>
      </c>
      <c r="K37" s="903"/>
      <c r="L37" s="906" t="s">
        <v>95</v>
      </c>
      <c r="M37" s="910" t="str">
        <f>IFERROR(#REF!,"")</f>
        <v/>
      </c>
    </row>
    <row r="38" spans="2:19" ht="12.75" customHeight="1" thickBot="1" x14ac:dyDescent="0.4">
      <c r="B38" s="504"/>
      <c r="C38" s="877"/>
      <c r="D38" s="878"/>
      <c r="E38" s="878"/>
      <c r="F38" s="878"/>
      <c r="G38" s="879"/>
      <c r="H38" s="813"/>
      <c r="I38" s="897"/>
      <c r="J38" s="900"/>
      <c r="K38" s="901"/>
      <c r="L38" s="907"/>
      <c r="M38" s="909"/>
    </row>
    <row r="39" spans="2:19" ht="17.649999999999999" x14ac:dyDescent="0.5">
      <c r="B39" s="969" t="s">
        <v>96</v>
      </c>
      <c r="C39" s="872"/>
      <c r="D39" s="872"/>
      <c r="E39" s="872"/>
      <c r="F39" s="872"/>
      <c r="G39" s="872"/>
      <c r="H39" s="872"/>
      <c r="I39" s="872"/>
      <c r="J39" s="872"/>
      <c r="K39" s="872"/>
      <c r="L39" s="872"/>
      <c r="M39" s="970"/>
    </row>
    <row r="40" spans="2:19" ht="13.15" x14ac:dyDescent="0.4">
      <c r="B40" s="632" t="s">
        <v>97</v>
      </c>
      <c r="C40" s="112" t="s">
        <v>98</v>
      </c>
      <c r="D40" s="112" t="s">
        <v>99</v>
      </c>
      <c r="E40" s="133" t="s">
        <v>100</v>
      </c>
      <c r="F40" s="112" t="s">
        <v>101</v>
      </c>
      <c r="G40" s="112" t="s">
        <v>56</v>
      </c>
      <c r="H40" s="132" t="s">
        <v>44</v>
      </c>
      <c r="I40" s="132" t="s">
        <v>102</v>
      </c>
      <c r="J40" s="951" t="s">
        <v>103</v>
      </c>
      <c r="K40" s="951"/>
      <c r="L40" s="951"/>
      <c r="M40" s="971"/>
    </row>
    <row r="41" spans="2:19" ht="13.15" x14ac:dyDescent="0.4">
      <c r="B41" s="633">
        <f t="shared" ref="B41:B47" si="0">B42-1</f>
        <v>2015</v>
      </c>
      <c r="C41" s="131" cm="2">
        <f t="array" ref="C41:C49">_xlfn.SORTBY(TRANSPOSE(_xlfn.XLOOKUP(C$40,'Fin. Data'!$A:$A,'Fin. Data'!$B:$J,,0)),$B$41:$B$49,-1)</f>
        <v>76033.142500000002</v>
      </c>
      <c r="D41" s="108" cm="2">
        <f t="array" ref="D41:D49">_xlfn.SORTBY(TRANSPOSE(_xlfn.XLOOKUP(D$40,'Fin. Data'!$A:$A,'Fin. Data'!$B:$J,,0)),$B$41:$B$49,-1)</f>
        <v>0.12260048307223394</v>
      </c>
      <c r="E41" s="131" cm="2">
        <f t="array" ref="E41:E49">_xlfn.SORTBY(TRANSPOSE(_xlfn.XLOOKUP(E$40,'Fin. Data'!$A:$A,'Fin. Data'!$B:$J,,0)),$B$41:$B$49,-1)</f>
        <v>-3194.7</v>
      </c>
      <c r="F41" s="130">
        <f>Inputs!J77</f>
        <v>-623.09999999999889</v>
      </c>
      <c r="G41" s="108" cm="2">
        <f t="array" ref="G41:G49">_xlfn.SORTBY(TRANSPOSE(_xlfn.XLOOKUP(G$40,'Fin. Data'!$A:$A,'Fin. Data'!$B:$J,,0)),$B$41:$B$49,-1)</f>
        <v>8.2238223572046396E-2</v>
      </c>
      <c r="H41" s="131" cm="2">
        <f t="array" ref="H41:H49">_xlfn.SORTBY(TRANSPOSE(_xlfn.XLOOKUP(H$40,'Fin. Data'!$A:$A,'Fin. Data'!$B:$J,,0)),$B$41:$B$49,-1)</f>
        <v>1980.9</v>
      </c>
      <c r="I41" s="131" cm="2">
        <f t="array" ref="I41:I49">_xlfn.SORTBY(TRANSPOSE(_xlfn.XLOOKUP(I$40,'Fin. Data'!$A:$A,'Fin. Data'!$B:$J,,0)),$B$41:$B$49,-1)</f>
        <v>-5838.4</v>
      </c>
      <c r="J41" s="392"/>
      <c r="K41" s="126"/>
      <c r="L41" s="109">
        <f>J15</f>
        <v>2023</v>
      </c>
      <c r="M41" s="394">
        <f>L41-1</f>
        <v>2022</v>
      </c>
    </row>
    <row r="42" spans="2:19" ht="13.15" x14ac:dyDescent="0.4">
      <c r="B42" s="633">
        <f t="shared" si="0"/>
        <v>2016</v>
      </c>
      <c r="C42" s="131">
        <v>98615.702400000009</v>
      </c>
      <c r="D42" s="107">
        <v>0.12398126974148084</v>
      </c>
      <c r="E42" s="131">
        <v>0</v>
      </c>
      <c r="F42" s="130">
        <f>Inputs!I77</f>
        <v>-566.49999999999932</v>
      </c>
      <c r="G42" s="108">
        <v>4.8367876658014591E-2</v>
      </c>
      <c r="H42" s="131">
        <v>2551.9</v>
      </c>
      <c r="I42" s="131">
        <v>-6690.7000000000007</v>
      </c>
      <c r="J42" s="974" t="s">
        <v>52</v>
      </c>
      <c r="K42" s="975"/>
      <c r="L42" s="51">
        <f>_xlfn.XLOOKUP($J42,'Fin. Data'!$A:$A,'Fin. Data'!B:B,,0)</f>
        <v>7021.6</v>
      </c>
      <c r="M42" s="450">
        <f>_xlfn.XLOOKUP($J42,'Fin. Data'!$A:$A,'Fin. Data'!C:C,,0)</f>
        <v>8266</v>
      </c>
      <c r="N42" s="20">
        <f t="shared" ref="N42:N50" si="1">(C42/C41)-1</f>
        <v>0.29700942454140988</v>
      </c>
      <c r="O42" s="20">
        <f t="shared" ref="O42:O50" si="2">(D42/D41)-1</f>
        <v>1.126248963010501E-2</v>
      </c>
      <c r="P42" s="19"/>
      <c r="Q42" s="18"/>
      <c r="R42" s="18"/>
      <c r="S42" s="18"/>
    </row>
    <row r="43" spans="2:19" ht="13.15" x14ac:dyDescent="0.4">
      <c r="B43" s="633">
        <f t="shared" si="0"/>
        <v>2017</v>
      </c>
      <c r="C43" s="131">
        <v>101169.48880000001</v>
      </c>
      <c r="D43" s="107">
        <v>5.8006619086524429E-2</v>
      </c>
      <c r="E43" s="131">
        <v>-3129.5</v>
      </c>
      <c r="F43" s="130">
        <f>Inputs!H77</f>
        <v>8337.2999999999993</v>
      </c>
      <c r="G43" s="108">
        <v>0.15731713274124948</v>
      </c>
      <c r="H43" s="131">
        <v>3188.5</v>
      </c>
      <c r="I43" s="131">
        <v>-5757.3</v>
      </c>
      <c r="J43" s="974" t="s">
        <v>104</v>
      </c>
      <c r="K43" s="975"/>
      <c r="L43" s="51">
        <f>_xlfn.XLOOKUP($J43,'Fin. Data'!$A:$A,'Fin. Data'!B:B,,0)</f>
        <v>16025.5</v>
      </c>
      <c r="M43" s="450">
        <f>_xlfn.XLOOKUP($J43,'Fin. Data'!$A:$A,'Fin. Data'!C:C,,0)</f>
        <v>12206</v>
      </c>
      <c r="N43" s="20">
        <f t="shared" si="1"/>
        <v>2.5896346503130552E-2</v>
      </c>
      <c r="O43" s="20">
        <f t="shared" si="2"/>
        <v>-0.53213401340801925</v>
      </c>
      <c r="P43" s="19"/>
      <c r="Q43" s="18">
        <f t="shared" ref="Q43:Q49" si="3">F43/F42-1</f>
        <v>-15.717210944395427</v>
      </c>
      <c r="R43" s="18">
        <f t="shared" ref="R43:S49" si="4">H43/H42-1</f>
        <v>0.24946118578314191</v>
      </c>
      <c r="S43" s="18">
        <f t="shared" si="4"/>
        <v>-0.13950707698746023</v>
      </c>
    </row>
    <row r="44" spans="2:19" ht="13.15" x14ac:dyDescent="0.4">
      <c r="B44" s="633">
        <f t="shared" si="0"/>
        <v>2018</v>
      </c>
      <c r="C44" s="131">
        <v>99230</v>
      </c>
      <c r="D44" s="107">
        <v>5.5617252846921289E-2</v>
      </c>
      <c r="E44" s="131">
        <v>-1551.6</v>
      </c>
      <c r="F44" s="130">
        <f>Inputs!G77</f>
        <v>2770.5999999999995</v>
      </c>
      <c r="G44" s="108">
        <v>0.17140368012994589</v>
      </c>
      <c r="H44" s="131">
        <v>3804.7</v>
      </c>
      <c r="I44" s="131">
        <v>-6177.5999999999995</v>
      </c>
      <c r="J44" s="974" t="s">
        <v>105</v>
      </c>
      <c r="K44" s="975"/>
      <c r="L44" s="51">
        <f>_xlfn.XLOOKUP($J44,'Fin. Data'!$A:$A,'Fin. Data'!B:B,,0)</f>
        <v>-11619.4</v>
      </c>
      <c r="M44" s="450">
        <f>_xlfn.XLOOKUP($J44,'Fin. Data'!$A:$A,'Fin. Data'!C:C,,0)</f>
        <v>-10983.9</v>
      </c>
      <c r="N44" s="20">
        <f t="shared" si="1"/>
        <v>-1.917068893996432E-2</v>
      </c>
      <c r="O44" s="20">
        <f t="shared" si="2"/>
        <v>-4.1191268810876425E-2</v>
      </c>
      <c r="P44" s="19"/>
      <c r="Q44" s="18">
        <f t="shared" si="3"/>
        <v>-0.66768618137766422</v>
      </c>
      <c r="R44" s="18">
        <f t="shared" si="4"/>
        <v>0.19325701740630374</v>
      </c>
      <c r="S44" s="18">
        <f t="shared" si="4"/>
        <v>7.3002970142254098E-2</v>
      </c>
    </row>
    <row r="45" spans="2:19" ht="13.15" x14ac:dyDescent="0.4">
      <c r="B45" s="633">
        <f t="shared" si="0"/>
        <v>2019</v>
      </c>
      <c r="C45" s="131">
        <v>96210.7</v>
      </c>
      <c r="D45" s="107">
        <v>4.5840015715507741E-2</v>
      </c>
      <c r="E45" s="131">
        <v>-2666.9</v>
      </c>
      <c r="F45" s="130">
        <f>Inputs!F77</f>
        <v>2162.7000000000003</v>
      </c>
      <c r="G45" s="108">
        <v>0.15615351151760801</v>
      </c>
      <c r="H45" s="131">
        <v>4576.5</v>
      </c>
      <c r="I45" s="131">
        <v>-11603.400000000001</v>
      </c>
      <c r="J45" s="976" t="s">
        <v>106</v>
      </c>
      <c r="K45" s="977"/>
      <c r="L45" s="51">
        <f>_xlfn.XLOOKUP($J45,'Fin. Data'!$A:$A,'Fin. Data'!B:B,,0)</f>
        <v>-16229.1</v>
      </c>
      <c r="M45" s="450">
        <f>_xlfn.XLOOKUP($J45,'Fin. Data'!$A:$A,'Fin. Data'!C:C,,0)</f>
        <v>-15859.3</v>
      </c>
      <c r="N45" s="20">
        <f t="shared" si="1"/>
        <v>-3.0427290134032114E-2</v>
      </c>
      <c r="O45" s="20">
        <f t="shared" si="2"/>
        <v>-0.17579503896612847</v>
      </c>
      <c r="P45" s="19"/>
      <c r="Q45" s="18">
        <f t="shared" si="3"/>
        <v>-0.21941095791525278</v>
      </c>
      <c r="R45" s="18">
        <f t="shared" si="4"/>
        <v>0.20285436433884407</v>
      </c>
      <c r="S45" s="18">
        <f t="shared" si="4"/>
        <v>0.87830225330225375</v>
      </c>
    </row>
    <row r="46" spans="2:19" ht="13.15" x14ac:dyDescent="0.4">
      <c r="B46" s="633">
        <f t="shared" si="0"/>
        <v>2020</v>
      </c>
      <c r="C46" s="131">
        <v>103307.6</v>
      </c>
      <c r="D46" s="107">
        <v>5.0259613039118127E-2</v>
      </c>
      <c r="E46" s="131">
        <v>-2509.3000000000002</v>
      </c>
      <c r="F46" s="130">
        <f>Inputs!E77</f>
        <v>4814.3</v>
      </c>
      <c r="G46" s="108">
        <v>0.25158121309123027</v>
      </c>
      <c r="H46" s="131">
        <v>4759.3999999999996</v>
      </c>
      <c r="I46" s="131">
        <v>-7779.9</v>
      </c>
      <c r="J46" s="976" t="s">
        <v>107</v>
      </c>
      <c r="K46" s="977"/>
      <c r="L46" s="51">
        <f>_xlfn.XLOOKUP($J46,'Fin. Data'!$A:$A,'Fin. Data'!B:B,,0)</f>
        <v>0</v>
      </c>
      <c r="M46" s="450">
        <f>_xlfn.XLOOKUP($J46,'Fin. Data'!$A:$A,'Fin. Data'!C:C,,0)</f>
        <v>0</v>
      </c>
      <c r="N46" s="20">
        <f t="shared" si="1"/>
        <v>7.3764144736500281E-2</v>
      </c>
      <c r="O46" s="20">
        <f t="shared" si="2"/>
        <v>9.6413521126154977E-2</v>
      </c>
      <c r="P46" s="19"/>
      <c r="Q46" s="18">
        <f t="shared" si="3"/>
        <v>1.2260600175706293</v>
      </c>
      <c r="R46" s="18">
        <f t="shared" si="4"/>
        <v>3.9965038785097606E-2</v>
      </c>
      <c r="S46" s="18">
        <f t="shared" si="4"/>
        <v>-0.32951548684006426</v>
      </c>
    </row>
    <row r="47" spans="2:19" ht="13.15" x14ac:dyDescent="0.4">
      <c r="B47" s="633">
        <f t="shared" si="0"/>
        <v>2021</v>
      </c>
      <c r="C47" s="131">
        <v>136404.70000000001</v>
      </c>
      <c r="D47" s="107">
        <v>3.527297813051896E-2</v>
      </c>
      <c r="E47" s="131">
        <v>-6145.4000000000005</v>
      </c>
      <c r="F47" s="130">
        <f>Inputs!D77</f>
        <v>14316.399999999998</v>
      </c>
      <c r="G47" s="108">
        <v>0.27530044239715407</v>
      </c>
      <c r="H47" s="131">
        <v>5509.1</v>
      </c>
      <c r="I47" s="131">
        <v>-12473</v>
      </c>
      <c r="J47" s="974" t="s">
        <v>108</v>
      </c>
      <c r="K47" s="975"/>
      <c r="L47" s="51">
        <f>_xlfn.XLOOKUP($J47,'Fin. Data'!$A:$A,'Fin. Data'!B:B,,0)</f>
        <v>3949</v>
      </c>
      <c r="M47" s="450">
        <f>_xlfn.XLOOKUP($J47,'Fin. Data'!$A:$A,'Fin. Data'!C:C,,0)</f>
        <v>-2548.6999999999998</v>
      </c>
      <c r="N47" s="20">
        <f t="shared" si="1"/>
        <v>0.32037429966430353</v>
      </c>
      <c r="O47" s="20">
        <f t="shared" si="2"/>
        <v>-0.29818444676314459</v>
      </c>
      <c r="P47" s="19"/>
      <c r="Q47" s="18">
        <f t="shared" si="3"/>
        <v>1.9737241135782972</v>
      </c>
      <c r="R47" s="18">
        <f t="shared" si="4"/>
        <v>0.15751985544396363</v>
      </c>
      <c r="S47" s="18">
        <f t="shared" si="4"/>
        <v>0.60323397472975238</v>
      </c>
    </row>
    <row r="48" spans="2:19" ht="13.15" x14ac:dyDescent="0.4">
      <c r="B48" s="633">
        <f>B49-1</f>
        <v>2022</v>
      </c>
      <c r="C48" s="131">
        <v>137339.98518776</v>
      </c>
      <c r="D48" s="107">
        <v>3.5008013095580978E-2</v>
      </c>
      <c r="E48" s="131">
        <v>-998.90000000000009</v>
      </c>
      <c r="F48" s="130">
        <f>Inputs!C$77</f>
        <v>-1009.1999999999995</v>
      </c>
      <c r="G48" s="108">
        <v>0.32792827690088283</v>
      </c>
      <c r="H48" s="131">
        <v>6520.1</v>
      </c>
      <c r="I48" s="131">
        <v>-15859.3</v>
      </c>
      <c r="J48" s="976" t="s">
        <v>109</v>
      </c>
      <c r="K48" s="977"/>
      <c r="L48" s="51">
        <f>_xlfn.XLOOKUP($J48,'Fin. Data'!$A:$A,'Fin. Data'!B:B,,0)</f>
        <v>-641.6</v>
      </c>
      <c r="M48" s="450">
        <f>_xlfn.XLOOKUP($J48,'Fin. Data'!$A:$A,'Fin. Data'!C:C,,0)</f>
        <v>-641.6</v>
      </c>
      <c r="N48" s="20">
        <f t="shared" si="1"/>
        <v>6.8566932646747514E-3</v>
      </c>
      <c r="O48" s="20">
        <f t="shared" si="2"/>
        <v>-7.5118418965799405E-3</v>
      </c>
      <c r="P48" s="19"/>
      <c r="Q48" s="18">
        <f t="shared" si="3"/>
        <v>-1.0704925819340056</v>
      </c>
      <c r="R48" s="18">
        <f t="shared" si="4"/>
        <v>0.18351454865586025</v>
      </c>
      <c r="S48" s="18">
        <f t="shared" si="4"/>
        <v>0.27149041930570017</v>
      </c>
    </row>
    <row r="49" spans="2:19" ht="13.15" x14ac:dyDescent="0.4">
      <c r="B49" s="633">
        <f>J15</f>
        <v>2023</v>
      </c>
      <c r="C49" s="131">
        <v>173212.07675797</v>
      </c>
      <c r="D49" s="107">
        <v>3.6453000958026269E-2</v>
      </c>
      <c r="E49" s="131">
        <v>-1323.2</v>
      </c>
      <c r="F49" s="130">
        <f>Inputs!B77</f>
        <v>8373.5</v>
      </c>
      <c r="G49" s="108">
        <v>0.28780252227974024</v>
      </c>
      <c r="H49" s="131">
        <v>7673</v>
      </c>
      <c r="I49" s="131">
        <v>-16229.1</v>
      </c>
      <c r="J49" s="976" t="s">
        <v>110</v>
      </c>
      <c r="K49" s="977"/>
      <c r="L49" s="51">
        <f>_xlfn.XLOOKUP($J49,'Fin. Data'!$A:$A,'Fin. Data'!B:B,,0)</f>
        <v>-681.6</v>
      </c>
      <c r="M49" s="450">
        <f>_xlfn.XLOOKUP($J49,'Fin. Data'!$A:$A,'Fin. Data'!C:C,,0)</f>
        <v>-357.3</v>
      </c>
      <c r="N49" s="20">
        <f t="shared" si="1"/>
        <v>0.26119189922125452</v>
      </c>
      <c r="O49" s="20">
        <f t="shared" si="2"/>
        <v>4.1275917559219888E-2</v>
      </c>
      <c r="P49" s="19"/>
      <c r="Q49" s="18">
        <f t="shared" si="3"/>
        <v>-9.2971660721363492</v>
      </c>
      <c r="R49" s="18">
        <f t="shared" si="4"/>
        <v>0.17682244137359859</v>
      </c>
      <c r="S49" s="18">
        <f t="shared" si="4"/>
        <v>2.3317548693826406E-2</v>
      </c>
    </row>
    <row r="50" spans="2:19" x14ac:dyDescent="0.35">
      <c r="B50" s="634" t="s">
        <v>111</v>
      </c>
      <c r="C50" s="110">
        <f>IFERROR((C49/C41)^(1/8)-1,"")</f>
        <v>0.10840098621721683</v>
      </c>
      <c r="D50" s="110">
        <f>IFERROR((D49/D41)^(1/8)-1,"")</f>
        <v>-0.14067956780990443</v>
      </c>
      <c r="E50" s="125"/>
      <c r="F50" s="110" t="str">
        <f>IFERROR((F49/F41)^(1/8)-1,"")</f>
        <v/>
      </c>
      <c r="G50" s="125"/>
      <c r="H50" s="110">
        <f>IFERROR((H49/H41)^(1/8)-1,"")</f>
        <v>0.18443935950169466</v>
      </c>
      <c r="I50" s="125"/>
      <c r="J50" s="974" t="s">
        <v>112</v>
      </c>
      <c r="K50" s="975"/>
      <c r="L50" s="51">
        <f>_xlfn.XLOOKUP($J50,'Fin. Data'!$A:$A,'Fin. Data'!B:B,,0)</f>
        <v>18.399999999999999</v>
      </c>
      <c r="M50" s="450">
        <f>_xlfn.XLOOKUP($J50,'Fin. Data'!$A:$A,'Fin. Data'!C:C,,0)</f>
        <v>317.39999999999998</v>
      </c>
      <c r="N50" s="20">
        <f t="shared" si="1"/>
        <v>-0.99999937417189233</v>
      </c>
      <c r="O50" s="20">
        <f t="shared" si="2"/>
        <v>-4.8592040192216164</v>
      </c>
      <c r="P50" s="19"/>
      <c r="Q50" s="18"/>
      <c r="R50" s="18"/>
      <c r="S50" s="18"/>
    </row>
    <row r="51" spans="2:19" ht="13.15" x14ac:dyDescent="0.4">
      <c r="B51" s="634" t="s">
        <v>113</v>
      </c>
      <c r="C51" s="110">
        <f>IFERROR(AVERAGE(N42:N49),"")</f>
        <v>0.11693685360715964</v>
      </c>
      <c r="D51" s="110">
        <f>IFERROR(AVERAGE(O42:O49),"")</f>
        <v>-0.1132330851911586</v>
      </c>
      <c r="E51" s="125"/>
      <c r="F51" s="110">
        <f>IFERROR(AVERAGE(Q42:Q49),"")</f>
        <v>-3.3960260866585386</v>
      </c>
      <c r="G51" s="125"/>
      <c r="H51" s="110">
        <f>IFERROR(AVERAGE(S42:S49),"")</f>
        <v>0.19718922890660889</v>
      </c>
      <c r="I51" s="125"/>
      <c r="J51" s="981" t="s">
        <v>114</v>
      </c>
      <c r="K51" s="982"/>
      <c r="L51" s="134">
        <f>L43-L44+L47-L48-L49</f>
        <v>32917.1</v>
      </c>
      <c r="M51" s="395">
        <f>M43-M44+M47-M48-M49</f>
        <v>21640.1</v>
      </c>
    </row>
    <row r="52" spans="2:19" ht="13.15" x14ac:dyDescent="0.4">
      <c r="B52" s="634" t="s">
        <v>115</v>
      </c>
      <c r="C52" s="110">
        <f>IFERROR(STDEV(C42:C49)/AVERAGE(C42:C49),"")</f>
        <v>0.23637030418808705</v>
      </c>
      <c r="D52" s="110">
        <f>IFERROR(STDEV(D41:D49)/AVERAGE(D41:D49),"")</f>
        <v>0.56690678022512275</v>
      </c>
      <c r="E52" s="125"/>
      <c r="F52" s="110">
        <f>IFERROR(STDEV(F41:F49)/AVERAGE(F41:F49),"")</f>
        <v>1.2136905881197537</v>
      </c>
      <c r="G52" s="125"/>
      <c r="H52" s="110">
        <f>IFERROR(STDEV(H41:H49)/AVERAGE(H41:H49),"")</f>
        <v>0.41198873152202053</v>
      </c>
      <c r="I52" s="125"/>
      <c r="J52" s="802" t="s">
        <v>116</v>
      </c>
      <c r="K52" s="803"/>
      <c r="L52" s="390">
        <f>IFERROR(SUM(I46:I49)/(C49-C45),"")</f>
        <v>-0.6797449890346593</v>
      </c>
      <c r="M52" s="449">
        <f>IFERROR((SUM(I46:I49)-SUM(H46:H49))/(C49-C45),"")</f>
        <v>-0.99742242585358099</v>
      </c>
    </row>
    <row r="53" spans="2:19" x14ac:dyDescent="0.35">
      <c r="B53" s="634" t="s">
        <v>117</v>
      </c>
      <c r="C53" s="110">
        <f>IFERROR(C49/C48-1,"")</f>
        <v>0.26119189922125452</v>
      </c>
      <c r="D53" s="110">
        <f>IFERROR(D49/D48-1,"")</f>
        <v>4.1275917559219888E-2</v>
      </c>
      <c r="E53" s="125"/>
      <c r="F53" s="110">
        <f>IFERROR(1-(F49/F48),"")</f>
        <v>9.2971660721363492</v>
      </c>
      <c r="G53" s="125"/>
      <c r="H53" s="110">
        <f>IFERROR(1-(H49/H48),"")</f>
        <v>-0.17682244137359859</v>
      </c>
      <c r="I53" s="125"/>
      <c r="J53" s="804" t="s">
        <v>118</v>
      </c>
      <c r="K53" s="805"/>
      <c r="L53" s="391">
        <f>IFERROR(L52/E22,"")</f>
        <v>-8.539036983950707</v>
      </c>
      <c r="M53" s="396">
        <f>IFERROR(M52/E22,"")</f>
        <v>-12.52973853486</v>
      </c>
    </row>
    <row r="54" spans="2:19" ht="17.649999999999999" x14ac:dyDescent="0.5">
      <c r="B54" s="969" t="s">
        <v>119</v>
      </c>
      <c r="C54" s="872"/>
      <c r="D54" s="872"/>
      <c r="E54" s="872"/>
      <c r="F54" s="872"/>
      <c r="G54" s="872"/>
      <c r="H54" s="872"/>
      <c r="I54" s="872"/>
      <c r="J54" s="872"/>
      <c r="K54" s="872"/>
      <c r="L54" s="872"/>
      <c r="M54" s="970"/>
    </row>
    <row r="55" spans="2:19" ht="15" x14ac:dyDescent="0.4">
      <c r="B55" s="961" t="s">
        <v>120</v>
      </c>
      <c r="C55" s="932"/>
      <c r="D55" s="932"/>
      <c r="E55" s="932"/>
      <c r="F55" s="932"/>
      <c r="G55" s="932"/>
      <c r="H55" s="932"/>
      <c r="I55" s="932"/>
      <c r="J55" s="932" t="s">
        <v>121</v>
      </c>
      <c r="K55" s="932"/>
      <c r="L55" s="932"/>
      <c r="M55" s="933"/>
    </row>
    <row r="56" spans="2:19" ht="13.15" x14ac:dyDescent="0.4">
      <c r="B56" s="978" t="s">
        <v>122</v>
      </c>
      <c r="C56" s="951"/>
      <c r="D56" s="951"/>
      <c r="E56" s="951" t="s">
        <v>123</v>
      </c>
      <c r="F56" s="951"/>
      <c r="G56" s="951"/>
      <c r="H56" s="951"/>
      <c r="I56" s="951"/>
      <c r="J56" s="951" t="s">
        <v>124</v>
      </c>
      <c r="K56" s="951"/>
      <c r="L56" s="951"/>
      <c r="M56" s="393" t="s">
        <v>125</v>
      </c>
    </row>
    <row r="57" spans="2:19" ht="15" customHeight="1" x14ac:dyDescent="0.4">
      <c r="B57" s="962"/>
      <c r="C57" s="943"/>
      <c r="D57" s="944"/>
      <c r="E57" s="934"/>
      <c r="F57" s="943"/>
      <c r="G57" s="943"/>
      <c r="H57" s="943"/>
      <c r="I57" s="944"/>
      <c r="J57" s="965"/>
      <c r="K57" s="966"/>
      <c r="L57" s="966"/>
      <c r="M57" s="397"/>
    </row>
    <row r="58" spans="2:19" ht="15" customHeight="1" x14ac:dyDescent="0.4">
      <c r="B58" s="979"/>
      <c r="C58" s="946"/>
      <c r="D58" s="947"/>
      <c r="E58" s="945"/>
      <c r="F58" s="946"/>
      <c r="G58" s="946"/>
      <c r="H58" s="946"/>
      <c r="I58" s="947"/>
      <c r="J58" s="965"/>
      <c r="K58" s="966"/>
      <c r="L58" s="966"/>
      <c r="M58" s="397"/>
    </row>
    <row r="59" spans="2:19" ht="15" customHeight="1" x14ac:dyDescent="0.4">
      <c r="B59" s="979"/>
      <c r="C59" s="946"/>
      <c r="D59" s="947"/>
      <c r="E59" s="945"/>
      <c r="F59" s="946"/>
      <c r="G59" s="946"/>
      <c r="H59" s="946"/>
      <c r="I59" s="947"/>
      <c r="J59" s="965"/>
      <c r="K59" s="966"/>
      <c r="L59" s="966"/>
      <c r="M59" s="397"/>
    </row>
    <row r="60" spans="2:19" ht="15" customHeight="1" x14ac:dyDescent="0.4">
      <c r="B60" s="979"/>
      <c r="C60" s="946"/>
      <c r="D60" s="947"/>
      <c r="E60" s="945"/>
      <c r="F60" s="946"/>
      <c r="G60" s="946"/>
      <c r="H60" s="946"/>
      <c r="I60" s="947"/>
      <c r="J60" s="965"/>
      <c r="K60" s="966"/>
      <c r="L60" s="966"/>
      <c r="M60" s="397"/>
    </row>
    <row r="61" spans="2:19" ht="13.15" x14ac:dyDescent="0.4">
      <c r="B61" s="979"/>
      <c r="C61" s="946"/>
      <c r="D61" s="947"/>
      <c r="E61" s="945"/>
      <c r="F61" s="946"/>
      <c r="G61" s="946"/>
      <c r="H61" s="946"/>
      <c r="I61" s="947"/>
      <c r="J61" s="965"/>
      <c r="K61" s="966"/>
      <c r="L61" s="966"/>
      <c r="M61" s="397"/>
    </row>
    <row r="62" spans="2:19" ht="13.15" x14ac:dyDescent="0.4">
      <c r="B62" s="979"/>
      <c r="C62" s="946"/>
      <c r="D62" s="947"/>
      <c r="E62" s="945"/>
      <c r="F62" s="946"/>
      <c r="G62" s="946"/>
      <c r="H62" s="946"/>
      <c r="I62" s="947"/>
      <c r="J62" s="965"/>
      <c r="K62" s="966"/>
      <c r="L62" s="966"/>
      <c r="M62" s="397"/>
    </row>
    <row r="63" spans="2:19" ht="13.15" x14ac:dyDescent="0.4">
      <c r="B63" s="979"/>
      <c r="C63" s="946"/>
      <c r="D63" s="947"/>
      <c r="E63" s="945"/>
      <c r="F63" s="946"/>
      <c r="G63" s="946"/>
      <c r="H63" s="946"/>
      <c r="I63" s="947"/>
      <c r="J63" s="965"/>
      <c r="K63" s="966"/>
      <c r="L63" s="966"/>
      <c r="M63" s="397"/>
    </row>
    <row r="64" spans="2:19" ht="13.15" x14ac:dyDescent="0.4">
      <c r="B64" s="979"/>
      <c r="C64" s="946"/>
      <c r="D64" s="947"/>
      <c r="E64" s="945"/>
      <c r="F64" s="946"/>
      <c r="G64" s="946"/>
      <c r="H64" s="946"/>
      <c r="I64" s="947"/>
      <c r="J64" s="965"/>
      <c r="K64" s="966"/>
      <c r="L64" s="966"/>
      <c r="M64" s="397"/>
    </row>
    <row r="65" spans="2:13" ht="13.15" x14ac:dyDescent="0.4">
      <c r="B65" s="979"/>
      <c r="C65" s="946"/>
      <c r="D65" s="947"/>
      <c r="E65" s="945"/>
      <c r="F65" s="946"/>
      <c r="G65" s="946"/>
      <c r="H65" s="946"/>
      <c r="I65" s="947"/>
      <c r="J65" s="965"/>
      <c r="K65" s="966"/>
      <c r="L65" s="966"/>
      <c r="M65" s="397"/>
    </row>
    <row r="66" spans="2:13" ht="13.15" x14ac:dyDescent="0.4">
      <c r="B66" s="980"/>
      <c r="C66" s="949"/>
      <c r="D66" s="950"/>
      <c r="E66" s="948"/>
      <c r="F66" s="949"/>
      <c r="G66" s="949"/>
      <c r="H66" s="949"/>
      <c r="I66" s="950"/>
      <c r="J66" s="965"/>
      <c r="K66" s="966"/>
      <c r="L66" s="966"/>
      <c r="M66" s="397"/>
    </row>
    <row r="67" spans="2:13" ht="13.15" x14ac:dyDescent="0.4">
      <c r="B67" s="978" t="s">
        <v>126</v>
      </c>
      <c r="C67" s="951"/>
      <c r="D67" s="951"/>
      <c r="E67" s="951" t="s">
        <v>127</v>
      </c>
      <c r="F67" s="951"/>
      <c r="G67" s="951"/>
      <c r="H67" s="951"/>
      <c r="I67" s="951"/>
      <c r="J67" s="965"/>
      <c r="K67" s="966"/>
      <c r="L67" s="966"/>
      <c r="M67" s="397"/>
    </row>
    <row r="68" spans="2:13" ht="15" customHeight="1" x14ac:dyDescent="0.4">
      <c r="B68" s="962"/>
      <c r="C68" s="935"/>
      <c r="D68" s="936"/>
      <c r="E68" s="934"/>
      <c r="F68" s="935"/>
      <c r="G68" s="935"/>
      <c r="H68" s="935"/>
      <c r="I68" s="936"/>
      <c r="J68" s="965"/>
      <c r="K68" s="966"/>
      <c r="L68" s="966"/>
      <c r="M68" s="397"/>
    </row>
    <row r="69" spans="2:13" ht="15" customHeight="1" x14ac:dyDescent="0.4">
      <c r="B69" s="963"/>
      <c r="C69" s="938"/>
      <c r="D69" s="939"/>
      <c r="E69" s="937"/>
      <c r="F69" s="938"/>
      <c r="G69" s="938"/>
      <c r="H69" s="938"/>
      <c r="I69" s="939"/>
      <c r="J69" s="965"/>
      <c r="K69" s="966"/>
      <c r="L69" s="966"/>
      <c r="M69" s="397"/>
    </row>
    <row r="70" spans="2:13" ht="15" customHeight="1" x14ac:dyDescent="0.4">
      <c r="B70" s="963"/>
      <c r="C70" s="938"/>
      <c r="D70" s="939"/>
      <c r="E70" s="937"/>
      <c r="F70" s="938"/>
      <c r="G70" s="938"/>
      <c r="H70" s="938"/>
      <c r="I70" s="939"/>
      <c r="J70" s="965"/>
      <c r="K70" s="966"/>
      <c r="L70" s="966"/>
      <c r="M70" s="397"/>
    </row>
    <row r="71" spans="2:13" ht="15" customHeight="1" x14ac:dyDescent="0.4">
      <c r="B71" s="963"/>
      <c r="C71" s="938"/>
      <c r="D71" s="939"/>
      <c r="E71" s="937"/>
      <c r="F71" s="938"/>
      <c r="G71" s="938"/>
      <c r="H71" s="938"/>
      <c r="I71" s="939"/>
      <c r="J71" s="965"/>
      <c r="K71" s="966"/>
      <c r="L71" s="966"/>
      <c r="M71" s="397"/>
    </row>
    <row r="72" spans="2:13" ht="13.15" x14ac:dyDescent="0.4">
      <c r="B72" s="963"/>
      <c r="C72" s="938"/>
      <c r="D72" s="939"/>
      <c r="E72" s="937"/>
      <c r="F72" s="938"/>
      <c r="G72" s="938"/>
      <c r="H72" s="938"/>
      <c r="I72" s="939"/>
      <c r="J72" s="965"/>
      <c r="K72" s="966"/>
      <c r="L72" s="966"/>
      <c r="M72" s="397"/>
    </row>
    <row r="73" spans="2:13" ht="13.15" x14ac:dyDescent="0.4">
      <c r="B73" s="963"/>
      <c r="C73" s="938"/>
      <c r="D73" s="939"/>
      <c r="E73" s="937"/>
      <c r="F73" s="938"/>
      <c r="G73" s="938"/>
      <c r="H73" s="938"/>
      <c r="I73" s="939"/>
      <c r="J73" s="965"/>
      <c r="K73" s="966"/>
      <c r="L73" s="966"/>
      <c r="M73" s="397"/>
    </row>
    <row r="74" spans="2:13" ht="13.15" x14ac:dyDescent="0.4">
      <c r="B74" s="963"/>
      <c r="C74" s="938"/>
      <c r="D74" s="939"/>
      <c r="E74" s="937"/>
      <c r="F74" s="938"/>
      <c r="G74" s="938"/>
      <c r="H74" s="938"/>
      <c r="I74" s="939"/>
      <c r="J74" s="965"/>
      <c r="K74" s="966"/>
      <c r="L74" s="966"/>
      <c r="M74" s="397"/>
    </row>
    <row r="75" spans="2:13" ht="13.15" x14ac:dyDescent="0.4">
      <c r="B75" s="963"/>
      <c r="C75" s="938"/>
      <c r="D75" s="939"/>
      <c r="E75" s="937"/>
      <c r="F75" s="938"/>
      <c r="G75" s="938"/>
      <c r="H75" s="938"/>
      <c r="I75" s="939"/>
      <c r="J75" s="967"/>
      <c r="K75" s="968"/>
      <c r="L75" s="968"/>
      <c r="M75" s="397"/>
    </row>
    <row r="76" spans="2:13" ht="13.15" x14ac:dyDescent="0.4">
      <c r="B76" s="964"/>
      <c r="C76" s="941"/>
      <c r="D76" s="942"/>
      <c r="E76" s="940"/>
      <c r="F76" s="941"/>
      <c r="G76" s="941"/>
      <c r="H76" s="941"/>
      <c r="I76" s="942"/>
      <c r="J76" s="967" t="s">
        <v>128</v>
      </c>
      <c r="K76" s="968"/>
      <c r="L76" s="968"/>
      <c r="M76" s="397">
        <f>SUM(M57:M75)</f>
        <v>0</v>
      </c>
    </row>
    <row r="77" spans="2:13" ht="15" x14ac:dyDescent="0.4">
      <c r="B77" s="972" t="s">
        <v>129</v>
      </c>
      <c r="C77" s="973"/>
      <c r="D77" s="973"/>
      <c r="E77" s="973"/>
      <c r="F77" s="973"/>
      <c r="G77" s="932" t="s">
        <v>130</v>
      </c>
      <c r="H77" s="932"/>
      <c r="I77" s="932"/>
      <c r="J77" s="932"/>
      <c r="K77" s="932"/>
      <c r="L77" s="932"/>
      <c r="M77" s="933"/>
    </row>
    <row r="78" spans="2:13" s="10" customFormat="1" x14ac:dyDescent="0.35">
      <c r="B78" s="952"/>
      <c r="C78" s="953"/>
      <c r="D78" s="953"/>
      <c r="E78" s="953"/>
      <c r="F78" s="954"/>
      <c r="G78"/>
      <c r="H78"/>
      <c r="I78"/>
      <c r="J78"/>
      <c r="K78"/>
      <c r="L78"/>
      <c r="M78" s="48"/>
    </row>
    <row r="79" spans="2:13" x14ac:dyDescent="0.35">
      <c r="B79" s="955"/>
      <c r="C79" s="956"/>
      <c r="D79" s="956"/>
      <c r="E79" s="956"/>
      <c r="F79" s="957"/>
      <c r="M79" s="48"/>
    </row>
    <row r="80" spans="2:13" x14ac:dyDescent="0.35">
      <c r="B80" s="955"/>
      <c r="C80" s="956"/>
      <c r="D80" s="956"/>
      <c r="E80" s="956"/>
      <c r="F80" s="957"/>
      <c r="M80" s="48"/>
    </row>
    <row r="81" spans="2:13" x14ac:dyDescent="0.35">
      <c r="B81" s="955"/>
      <c r="C81" s="956"/>
      <c r="D81" s="956"/>
      <c r="E81" s="956"/>
      <c r="F81" s="957"/>
      <c r="M81" s="48"/>
    </row>
    <row r="82" spans="2:13" x14ac:dyDescent="0.35">
      <c r="B82" s="955"/>
      <c r="C82" s="956"/>
      <c r="D82" s="956"/>
      <c r="E82" s="956"/>
      <c r="F82" s="957"/>
      <c r="M82" s="48"/>
    </row>
    <row r="83" spans="2:13" x14ac:dyDescent="0.35">
      <c r="B83" s="955"/>
      <c r="C83" s="956"/>
      <c r="D83" s="956"/>
      <c r="E83" s="956"/>
      <c r="F83" s="957"/>
      <c r="M83" s="48"/>
    </row>
    <row r="84" spans="2:13" x14ac:dyDescent="0.35">
      <c r="B84" s="955"/>
      <c r="C84" s="956"/>
      <c r="D84" s="956"/>
      <c r="E84" s="956"/>
      <c r="F84" s="957"/>
      <c r="M84" s="48"/>
    </row>
    <row r="85" spans="2:13" x14ac:dyDescent="0.35">
      <c r="B85" s="955"/>
      <c r="C85" s="956"/>
      <c r="D85" s="956"/>
      <c r="E85" s="956"/>
      <c r="F85" s="957"/>
      <c r="M85" s="48"/>
    </row>
    <row r="86" spans="2:13" x14ac:dyDescent="0.35">
      <c r="B86" s="955"/>
      <c r="C86" s="956"/>
      <c r="D86" s="956"/>
      <c r="E86" s="956"/>
      <c r="F86" s="957"/>
      <c r="M86" s="48"/>
    </row>
    <row r="87" spans="2:13" x14ac:dyDescent="0.35">
      <c r="B87" s="955"/>
      <c r="C87" s="956"/>
      <c r="D87" s="956"/>
      <c r="E87" s="956"/>
      <c r="F87" s="957"/>
      <c r="M87" s="48"/>
    </row>
    <row r="88" spans="2:13" x14ac:dyDescent="0.35">
      <c r="B88" s="955"/>
      <c r="C88" s="956"/>
      <c r="D88" s="956"/>
      <c r="E88" s="956"/>
      <c r="F88" s="957"/>
      <c r="M88" s="48"/>
    </row>
    <row r="89" spans="2:13" x14ac:dyDescent="0.35">
      <c r="B89" s="955"/>
      <c r="C89" s="956"/>
      <c r="D89" s="956"/>
      <c r="E89" s="956"/>
      <c r="F89" s="957"/>
      <c r="M89" s="48"/>
    </row>
    <row r="90" spans="2:13" x14ac:dyDescent="0.35">
      <c r="B90" s="955"/>
      <c r="C90" s="956"/>
      <c r="D90" s="956"/>
      <c r="E90" s="956"/>
      <c r="F90" s="957"/>
      <c r="M90" s="48"/>
    </row>
    <row r="91" spans="2:13" x14ac:dyDescent="0.35">
      <c r="B91" s="955"/>
      <c r="C91" s="956"/>
      <c r="D91" s="956"/>
      <c r="E91" s="956"/>
      <c r="F91" s="957"/>
      <c r="M91" s="48"/>
    </row>
    <row r="92" spans="2:13" x14ac:dyDescent="0.35">
      <c r="B92" s="955"/>
      <c r="C92" s="956"/>
      <c r="D92" s="956"/>
      <c r="E92" s="956"/>
      <c r="F92" s="957"/>
      <c r="M92" s="48"/>
    </row>
    <row r="93" spans="2:13" x14ac:dyDescent="0.35">
      <c r="B93" s="955"/>
      <c r="C93" s="956"/>
      <c r="D93" s="956"/>
      <c r="E93" s="956"/>
      <c r="F93" s="957"/>
      <c r="M93" s="48"/>
    </row>
    <row r="94" spans="2:13" x14ac:dyDescent="0.35">
      <c r="B94" s="955"/>
      <c r="C94" s="956"/>
      <c r="D94" s="956"/>
      <c r="E94" s="956"/>
      <c r="F94" s="957"/>
      <c r="M94" s="48"/>
    </row>
    <row r="95" spans="2:13" x14ac:dyDescent="0.35">
      <c r="B95" s="955"/>
      <c r="C95" s="956"/>
      <c r="D95" s="956"/>
      <c r="E95" s="956"/>
      <c r="F95" s="957"/>
      <c r="M95" s="48"/>
    </row>
    <row r="96" spans="2:13" x14ac:dyDescent="0.35">
      <c r="B96" s="955"/>
      <c r="C96" s="956"/>
      <c r="D96" s="956"/>
      <c r="E96" s="956"/>
      <c r="F96" s="957"/>
      <c r="M96" s="48"/>
    </row>
    <row r="97" spans="2:13" x14ac:dyDescent="0.35">
      <c r="B97" s="955"/>
      <c r="C97" s="956"/>
      <c r="D97" s="956"/>
      <c r="E97" s="956"/>
      <c r="F97" s="957"/>
      <c r="M97" s="48"/>
    </row>
    <row r="98" spans="2:13" x14ac:dyDescent="0.35">
      <c r="B98" s="955"/>
      <c r="C98" s="956"/>
      <c r="D98" s="956"/>
      <c r="E98" s="956"/>
      <c r="F98" s="957"/>
      <c r="M98" s="48"/>
    </row>
    <row r="99" spans="2:13" x14ac:dyDescent="0.35">
      <c r="B99" s="955"/>
      <c r="C99" s="956"/>
      <c r="D99" s="956"/>
      <c r="E99" s="956"/>
      <c r="F99" s="957"/>
      <c r="M99" s="48"/>
    </row>
    <row r="100" spans="2:13" x14ac:dyDescent="0.35">
      <c r="B100" s="955"/>
      <c r="C100" s="956"/>
      <c r="D100" s="956"/>
      <c r="E100" s="956"/>
      <c r="F100" s="957"/>
      <c r="M100" s="48"/>
    </row>
    <row r="101" spans="2:13" ht="13.15" thickBot="1" x14ac:dyDescent="0.4">
      <c r="B101" s="955"/>
      <c r="C101" s="956"/>
      <c r="D101" s="956"/>
      <c r="E101" s="956"/>
      <c r="F101" s="957"/>
      <c r="M101" s="48"/>
    </row>
    <row r="102" spans="2:13" ht="13.5" thickBot="1" x14ac:dyDescent="0.4">
      <c r="B102" s="958"/>
      <c r="C102" s="959"/>
      <c r="D102" s="959"/>
      <c r="E102" s="959"/>
      <c r="F102" s="960"/>
      <c r="G102" s="931" t="e" vm="1">
        <f>E2</f>
        <v>#VALUE!</v>
      </c>
      <c r="H102" s="931"/>
      <c r="I102" s="635" t="e">
        <f>Peers!C2</f>
        <v>#VALUE!</v>
      </c>
      <c r="J102" s="636" t="e">
        <f>Peers!C3</f>
        <v>#VALUE!</v>
      </c>
      <c r="K102" s="637" t="e">
        <f>Peers!C4</f>
        <v>#VALUE!</v>
      </c>
      <c r="L102" s="638" t="e">
        <f>Peers!C5</f>
        <v>#VALUE!</v>
      </c>
      <c r="M102" s="639" t="e">
        <f>Peers!C6</f>
        <v>#VALUE!</v>
      </c>
    </row>
  </sheetData>
  <mergeCells count="129">
    <mergeCell ref="B54:M54"/>
    <mergeCell ref="J40:M40"/>
    <mergeCell ref="B39:M39"/>
    <mergeCell ref="B77:F77"/>
    <mergeCell ref="J42:K42"/>
    <mergeCell ref="J43:K43"/>
    <mergeCell ref="J44:K44"/>
    <mergeCell ref="J45:K45"/>
    <mergeCell ref="J46:K46"/>
    <mergeCell ref="J47:K47"/>
    <mergeCell ref="J75:L75"/>
    <mergeCell ref="J71:L71"/>
    <mergeCell ref="J66:L66"/>
    <mergeCell ref="J67:L67"/>
    <mergeCell ref="J68:L68"/>
    <mergeCell ref="J69:L69"/>
    <mergeCell ref="B56:D56"/>
    <mergeCell ref="B67:D67"/>
    <mergeCell ref="B57:D66"/>
    <mergeCell ref="J55:M55"/>
    <mergeCell ref="J48:K48"/>
    <mergeCell ref="J49:K49"/>
    <mergeCell ref="J50:K50"/>
    <mergeCell ref="J51:K51"/>
    <mergeCell ref="G102:H102"/>
    <mergeCell ref="G77:M77"/>
    <mergeCell ref="E68:I76"/>
    <mergeCell ref="E57:I66"/>
    <mergeCell ref="J56:L56"/>
    <mergeCell ref="E67:I67"/>
    <mergeCell ref="E56:I56"/>
    <mergeCell ref="B78:F102"/>
    <mergeCell ref="B55:I55"/>
    <mergeCell ref="B68:D76"/>
    <mergeCell ref="J59:L59"/>
    <mergeCell ref="J60:L60"/>
    <mergeCell ref="J61:L61"/>
    <mergeCell ref="J62:L62"/>
    <mergeCell ref="J63:L63"/>
    <mergeCell ref="J64:L64"/>
    <mergeCell ref="J65:L65"/>
    <mergeCell ref="J57:L57"/>
    <mergeCell ref="J58:L58"/>
    <mergeCell ref="J70:L70"/>
    <mergeCell ref="J72:L72"/>
    <mergeCell ref="J73:L73"/>
    <mergeCell ref="J74:L74"/>
    <mergeCell ref="J76:L76"/>
    <mergeCell ref="C38:G38"/>
    <mergeCell ref="C37:G37"/>
    <mergeCell ref="I24:J24"/>
    <mergeCell ref="I25:J25"/>
    <mergeCell ref="I26:J26"/>
    <mergeCell ref="I29:M29"/>
    <mergeCell ref="B34:G34"/>
    <mergeCell ref="C35:G35"/>
    <mergeCell ref="C30:G30"/>
    <mergeCell ref="C31:G31"/>
    <mergeCell ref="I35:I36"/>
    <mergeCell ref="I37:I38"/>
    <mergeCell ref="J35:K36"/>
    <mergeCell ref="J37:K38"/>
    <mergeCell ref="L35:L36"/>
    <mergeCell ref="L37:L38"/>
    <mergeCell ref="M35:M36"/>
    <mergeCell ref="M37:M38"/>
    <mergeCell ref="F22:G24"/>
    <mergeCell ref="F25:G27"/>
    <mergeCell ref="H25:H27"/>
    <mergeCell ref="H22:H24"/>
    <mergeCell ref="B29:G29"/>
    <mergeCell ref="C36:G36"/>
    <mergeCell ref="B12:C12"/>
    <mergeCell ref="B3:C11"/>
    <mergeCell ref="L14:M14"/>
    <mergeCell ref="B14:C14"/>
    <mergeCell ref="D14:E14"/>
    <mergeCell ref="B13:M13"/>
    <mergeCell ref="J12:K12"/>
    <mergeCell ref="L12:M12"/>
    <mergeCell ref="L8:M8"/>
    <mergeCell ref="L9:M9"/>
    <mergeCell ref="L10:M10"/>
    <mergeCell ref="L11:M11"/>
    <mergeCell ref="J6:K6"/>
    <mergeCell ref="J7:K7"/>
    <mergeCell ref="J9:K9"/>
    <mergeCell ref="J10:K10"/>
    <mergeCell ref="J11:K11"/>
    <mergeCell ref="J8:K8"/>
    <mergeCell ref="F18:G18"/>
    <mergeCell ref="F19:G19"/>
    <mergeCell ref="F20:G20"/>
    <mergeCell ref="F16:G16"/>
    <mergeCell ref="J4:K4"/>
    <mergeCell ref="I34:M34"/>
    <mergeCell ref="I14:K14"/>
    <mergeCell ref="J5:K5"/>
    <mergeCell ref="L4:M4"/>
    <mergeCell ref="L5:M5"/>
    <mergeCell ref="L6:M6"/>
    <mergeCell ref="L7:M7"/>
    <mergeCell ref="I22:J22"/>
    <mergeCell ref="I23:J23"/>
    <mergeCell ref="I30:M33"/>
    <mergeCell ref="O2:U6"/>
    <mergeCell ref="J52:K52"/>
    <mergeCell ref="J53:K53"/>
    <mergeCell ref="B24:C24"/>
    <mergeCell ref="B28:M28"/>
    <mergeCell ref="H35:H38"/>
    <mergeCell ref="J15:K15"/>
    <mergeCell ref="H30:H33"/>
    <mergeCell ref="C32:G32"/>
    <mergeCell ref="C33:G33"/>
    <mergeCell ref="E2:K2"/>
    <mergeCell ref="F15:G15"/>
    <mergeCell ref="F21:G21"/>
    <mergeCell ref="J16:K16"/>
    <mergeCell ref="I17:J17"/>
    <mergeCell ref="I18:J18"/>
    <mergeCell ref="I19:J19"/>
    <mergeCell ref="I20:J20"/>
    <mergeCell ref="I21:J21"/>
    <mergeCell ref="D4:G12"/>
    <mergeCell ref="D3:G3"/>
    <mergeCell ref="H3:M3"/>
    <mergeCell ref="F14:H14"/>
    <mergeCell ref="F17:G17"/>
  </mergeCells>
  <phoneticPr fontId="0" type="noConversion"/>
  <conditionalFormatting sqref="C41:C49 D41:E41">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1:D49">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2:D49">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1:E49">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2:E49">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0:E53 G50:G53 I50:I53">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1:F49">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1:G49">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16:H20">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5 H22">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1:H49">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1:I49">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37:K38">
    <cfRule type="cellIs" dxfId="34" priority="1" operator="lessThan">
      <formula>0</formula>
    </cfRule>
    <cfRule type="cellIs" dxfId="33" priority="2" operator="greaterThan">
      <formula>0</formula>
    </cfRule>
  </conditionalFormatting>
  <conditionalFormatting sqref="M35:M38">
    <cfRule type="cellIs" dxfId="32" priority="3" operator="lessThan">
      <formula>0</formula>
    </cfRule>
    <cfRule type="cellIs" dxfId="31"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2:S52"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C41:C49 D41:E41</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D41:D49</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D42:D49</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E41:E49</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E42:E49</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E50:E53 G50:G53 I50:I53</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F41:F49</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G41:G49</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H16:H20</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H25 H22</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H41:H49</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I41:I49</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100"/>
  <sheetViews>
    <sheetView showGridLines="0" topLeftCell="A62" zoomScale="65" zoomScaleNormal="55" workbookViewId="0">
      <selection activeCell="AC24" sqref="AC24"/>
    </sheetView>
  </sheetViews>
  <sheetFormatPr defaultColWidth="11.3984375" defaultRowHeight="12.75" x14ac:dyDescent="0.35"/>
  <cols>
    <col min="1" max="1" width="2.1328125" customWidth="1"/>
    <col min="2" max="2" width="11.1328125" customWidth="1"/>
    <col min="3" max="3" width="30.3984375" customWidth="1"/>
    <col min="4" max="4" width="15.3984375" style="2" customWidth="1"/>
    <col min="5" max="9" width="15.3984375" customWidth="1"/>
    <col min="10" max="10" width="11.3984375" customWidth="1"/>
    <col min="11" max="11" width="14.1328125" customWidth="1"/>
    <col min="12" max="12" width="14.3984375" customWidth="1"/>
    <col min="17" max="17" width="12.59765625" customWidth="1"/>
  </cols>
  <sheetData>
    <row r="1" spans="2:25" ht="7.5" customHeight="1" x14ac:dyDescent="0.35"/>
    <row r="2" spans="2:25" ht="21" thickBot="1" x14ac:dyDescent="0.65">
      <c r="B2" s="987" t="str">
        <f>"Categories "&amp;"("&amp;OP!$J$15&amp;")"</f>
        <v>Categories (2023)</v>
      </c>
      <c r="C2" s="988"/>
      <c r="D2" s="988"/>
      <c r="E2" s="988"/>
      <c r="F2" s="988"/>
      <c r="G2" s="988"/>
      <c r="H2" s="988"/>
      <c r="I2" s="988"/>
      <c r="J2" s="988"/>
      <c r="K2" s="988"/>
      <c r="L2" s="988"/>
      <c r="M2" s="988"/>
      <c r="N2" s="988"/>
      <c r="O2" s="988"/>
      <c r="P2" s="988"/>
      <c r="Q2" s="983" t="s">
        <v>131</v>
      </c>
      <c r="R2" s="984"/>
      <c r="S2" s="984"/>
      <c r="T2" s="984"/>
      <c r="U2" s="984"/>
      <c r="V2" s="984"/>
      <c r="W2" s="984"/>
      <c r="X2" s="984"/>
      <c r="Y2" s="985"/>
    </row>
    <row r="3" spans="2:25" ht="18" thickBot="1" x14ac:dyDescent="0.55000000000000004">
      <c r="B3" s="165"/>
      <c r="C3" s="166"/>
      <c r="D3" s="1004" t="s">
        <v>132</v>
      </c>
      <c r="E3" s="1004"/>
      <c r="F3" s="1004"/>
      <c r="G3" s="1004"/>
      <c r="H3" s="1004"/>
      <c r="I3" s="1005"/>
      <c r="J3" s="145"/>
      <c r="K3" s="986" t="s">
        <v>133</v>
      </c>
      <c r="L3" s="986"/>
      <c r="M3" s="986"/>
      <c r="N3" s="986"/>
      <c r="O3" s="986"/>
      <c r="P3" s="986"/>
      <c r="Q3" s="136"/>
      <c r="Y3" s="160"/>
    </row>
    <row r="4" spans="2:25" ht="13.5" thickBot="1" x14ac:dyDescent="0.45">
      <c r="B4" s="151" t="s">
        <v>134</v>
      </c>
      <c r="C4" s="152" t="s">
        <v>135</v>
      </c>
      <c r="D4" s="153">
        <f>OP!J15</f>
        <v>2023</v>
      </c>
      <c r="E4" s="153">
        <f>D4-1</f>
        <v>2022</v>
      </c>
      <c r="F4" s="153">
        <f>E4-1</f>
        <v>2021</v>
      </c>
      <c r="G4" s="153">
        <f>F4-1</f>
        <v>2020</v>
      </c>
      <c r="H4" s="153">
        <f>G4-1</f>
        <v>2019</v>
      </c>
      <c r="I4" s="153">
        <f>H4-1</f>
        <v>2018</v>
      </c>
      <c r="J4" s="146"/>
      <c r="K4" s="153">
        <f>OP!J15</f>
        <v>2023</v>
      </c>
      <c r="L4" s="153">
        <f t="shared" ref="L4:P4" si="0">K4-1</f>
        <v>2022</v>
      </c>
      <c r="M4" s="153">
        <f t="shared" si="0"/>
        <v>2021</v>
      </c>
      <c r="N4" s="153">
        <f t="shared" si="0"/>
        <v>2020</v>
      </c>
      <c r="O4" s="153">
        <f t="shared" si="0"/>
        <v>2019</v>
      </c>
      <c r="P4" s="167">
        <f t="shared" si="0"/>
        <v>2018</v>
      </c>
      <c r="Q4" s="136"/>
      <c r="Y4" s="160"/>
    </row>
    <row r="5" spans="2:25" ht="13.15" x14ac:dyDescent="0.4">
      <c r="B5" s="149">
        <f t="shared" ref="B5:B12" si="1">IFERROR(D5/$D$13,"")</f>
        <v>0.88491970249191598</v>
      </c>
      <c r="C5" s="150" t="s">
        <v>136</v>
      </c>
      <c r="D5" s="154">
        <v>153278.79999999999</v>
      </c>
      <c r="E5" s="154">
        <v>121890.9</v>
      </c>
      <c r="F5" s="154">
        <v>121307.2</v>
      </c>
      <c r="G5" s="154">
        <v>92385.9</v>
      </c>
      <c r="H5" s="154">
        <v>86251.4</v>
      </c>
      <c r="I5" s="154">
        <v>91597.1</v>
      </c>
      <c r="J5" s="147"/>
      <c r="K5" s="290">
        <f t="shared" ref="K5:O10" si="2">(D5-E5)/E5</f>
        <v>0.25750814868050032</v>
      </c>
      <c r="L5" s="290">
        <f t="shared" si="2"/>
        <v>4.8117506627800913E-3</v>
      </c>
      <c r="M5" s="290">
        <f t="shared" si="2"/>
        <v>0.31304885269288935</v>
      </c>
      <c r="N5" s="290">
        <f t="shared" si="2"/>
        <v>7.1123483213026112E-2</v>
      </c>
      <c r="O5" s="290">
        <f t="shared" si="2"/>
        <v>-5.8361017979826998E-2</v>
      </c>
      <c r="P5" s="290" t="s">
        <v>55</v>
      </c>
      <c r="Q5" s="136"/>
      <c r="Y5" s="160"/>
    </row>
    <row r="6" spans="2:25" ht="13.15" x14ac:dyDescent="0.4">
      <c r="B6" s="149">
        <f t="shared" si="1"/>
        <v>7.282632102491686E-2</v>
      </c>
      <c r="C6" s="150" t="s">
        <v>137</v>
      </c>
      <c r="D6" s="154">
        <v>12614.4</v>
      </c>
      <c r="E6" s="154">
        <v>8008.2</v>
      </c>
      <c r="F6" s="154">
        <v>6872.1</v>
      </c>
      <c r="G6" s="154">
        <v>5141</v>
      </c>
      <c r="H6" s="154">
        <v>4292.6000000000004</v>
      </c>
      <c r="I6" s="154">
        <v>3746</v>
      </c>
      <c r="J6" s="147"/>
      <c r="K6" s="290">
        <f t="shared" ref="K6:O9" si="3">(D6-E6)/E6</f>
        <v>0.5751854349291976</v>
      </c>
      <c r="L6" s="290">
        <f t="shared" si="3"/>
        <v>0.16532064434452343</v>
      </c>
      <c r="M6" s="290">
        <f t="shared" si="3"/>
        <v>0.33672437269013816</v>
      </c>
      <c r="N6" s="290">
        <f t="shared" si="3"/>
        <v>0.19764245445650644</v>
      </c>
      <c r="O6" s="290">
        <f t="shared" si="3"/>
        <v>0.14591564335290988</v>
      </c>
      <c r="P6" s="290" t="s">
        <v>55</v>
      </c>
      <c r="Q6" s="136"/>
      <c r="Y6" s="160"/>
    </row>
    <row r="7" spans="2:25" ht="13.15" x14ac:dyDescent="0.4">
      <c r="B7" s="149">
        <f t="shared" si="1"/>
        <v>1.6473444984501665E-2</v>
      </c>
      <c r="C7" s="150" t="s">
        <v>138</v>
      </c>
      <c r="D7" s="154">
        <v>2853.4</v>
      </c>
      <c r="E7" s="154">
        <v>2565.4</v>
      </c>
      <c r="F7" s="154">
        <v>3061.2</v>
      </c>
      <c r="G7" s="154">
        <v>2691.4</v>
      </c>
      <c r="H7" s="154">
        <v>2584.9</v>
      </c>
      <c r="I7" s="154">
        <v>957</v>
      </c>
      <c r="J7" s="147"/>
      <c r="K7" s="290">
        <f t="shared" si="3"/>
        <v>0.11226319482341934</v>
      </c>
      <c r="L7" s="290">
        <f t="shared" si="3"/>
        <v>-0.16196262903436554</v>
      </c>
      <c r="M7" s="290">
        <f t="shared" si="3"/>
        <v>0.13740060934829446</v>
      </c>
      <c r="N7" s="290">
        <f t="shared" si="3"/>
        <v>4.1200820147781342E-2</v>
      </c>
      <c r="O7" s="290">
        <f t="shared" si="3"/>
        <v>1.701044932079415</v>
      </c>
      <c r="P7" s="290" t="s">
        <v>55</v>
      </c>
      <c r="Q7" s="136"/>
      <c r="Y7" s="160"/>
    </row>
    <row r="8" spans="2:25" ht="13.15" x14ac:dyDescent="0.4">
      <c r="B8" s="149">
        <f t="shared" si="1"/>
        <v>1.4317129115113784E-2</v>
      </c>
      <c r="C8" s="150" t="s">
        <v>139</v>
      </c>
      <c r="D8" s="154">
        <v>2479.9</v>
      </c>
      <c r="E8" s="154">
        <v>2258.5</v>
      </c>
      <c r="F8" s="154">
        <v>2197.6999999999998</v>
      </c>
      <c r="G8" s="154">
        <v>1232.7</v>
      </c>
      <c r="H8" s="154">
        <v>652.20000000000005</v>
      </c>
      <c r="I8" s="154">
        <v>461.4</v>
      </c>
      <c r="J8" s="147"/>
      <c r="K8" s="290">
        <f t="shared" si="3"/>
        <v>9.8029665707327907E-2</v>
      </c>
      <c r="L8" s="290">
        <f t="shared" si="3"/>
        <v>2.766528643581935E-2</v>
      </c>
      <c r="M8" s="290">
        <f t="shared" si="3"/>
        <v>0.7828344284903056</v>
      </c>
      <c r="N8" s="290">
        <f t="shared" si="3"/>
        <v>0.89006439742410293</v>
      </c>
      <c r="O8" s="290">
        <f t="shared" si="3"/>
        <v>0.41352405721716534</v>
      </c>
      <c r="P8" s="290" t="s">
        <v>55</v>
      </c>
      <c r="Q8" s="136"/>
      <c r="Y8" s="160"/>
    </row>
    <row r="9" spans="2:25" ht="13.15" x14ac:dyDescent="0.4">
      <c r="B9" s="149">
        <f t="shared" si="1"/>
        <v>1.1463402383551728E-2</v>
      </c>
      <c r="C9" s="150" t="s">
        <v>140</v>
      </c>
      <c r="D9" s="154">
        <v>1985.6</v>
      </c>
      <c r="E9" s="154">
        <v>2617</v>
      </c>
      <c r="F9" s="154">
        <v>2966.4</v>
      </c>
      <c r="G9" s="154">
        <v>1856.6</v>
      </c>
      <c r="H9" s="154">
        <v>1327</v>
      </c>
      <c r="I9" s="154">
        <v>1038.5</v>
      </c>
      <c r="J9" s="147"/>
      <c r="K9" s="290">
        <f t="shared" si="3"/>
        <v>-0.24126862820022932</v>
      </c>
      <c r="L9" s="290">
        <f t="shared" si="3"/>
        <v>-0.11778586839266454</v>
      </c>
      <c r="M9" s="290">
        <f t="shared" si="3"/>
        <v>0.59775934503931927</v>
      </c>
      <c r="N9" s="290">
        <f t="shared" si="3"/>
        <v>0.39909570459683491</v>
      </c>
      <c r="O9" s="290">
        <f t="shared" si="3"/>
        <v>0.27780452575830522</v>
      </c>
      <c r="P9" s="290" t="s">
        <v>55</v>
      </c>
      <c r="Q9" s="136"/>
      <c r="Y9" s="160"/>
    </row>
    <row r="10" spans="2:25" ht="13.5" thickBot="1" x14ac:dyDescent="0.45">
      <c r="B10" s="149">
        <f t="shared" si="1"/>
        <v>0</v>
      </c>
      <c r="C10" s="139" t="s">
        <v>141</v>
      </c>
      <c r="D10" s="143">
        <v>0</v>
      </c>
      <c r="E10" s="143">
        <v>0</v>
      </c>
      <c r="F10" s="143">
        <v>0</v>
      </c>
      <c r="G10" s="143">
        <v>0</v>
      </c>
      <c r="H10" s="143">
        <v>1102.5999999999999</v>
      </c>
      <c r="I10" s="143">
        <v>1430.1</v>
      </c>
      <c r="J10" s="147"/>
      <c r="K10" s="746" t="s">
        <v>55</v>
      </c>
      <c r="L10" s="746" t="s">
        <v>55</v>
      </c>
      <c r="M10" s="746" t="s">
        <v>55</v>
      </c>
      <c r="N10" s="290">
        <f t="shared" si="2"/>
        <v>-1</v>
      </c>
      <c r="O10" s="290">
        <f t="shared" si="2"/>
        <v>-0.22900496468778408</v>
      </c>
      <c r="P10" s="290" t="s">
        <v>55</v>
      </c>
      <c r="Q10" s="136"/>
      <c r="Y10" s="160"/>
    </row>
    <row r="11" spans="2:25" ht="13.5" hidden="1" customHeight="1" thickBot="1" x14ac:dyDescent="0.45">
      <c r="B11" s="140">
        <f t="shared" si="1"/>
        <v>0</v>
      </c>
      <c r="C11" s="139"/>
      <c r="D11" s="143"/>
      <c r="E11" s="143"/>
      <c r="F11" s="143"/>
      <c r="G11" s="143"/>
      <c r="H11" s="143"/>
      <c r="I11" s="143"/>
      <c r="J11" s="147"/>
      <c r="K11" s="143"/>
      <c r="L11" s="143"/>
      <c r="M11" s="143"/>
      <c r="N11" s="143"/>
      <c r="O11" s="143"/>
      <c r="P11" s="168"/>
      <c r="Q11" s="136"/>
      <c r="Y11" s="160"/>
    </row>
    <row r="12" spans="2:25" ht="13.5" hidden="1" customHeight="1" thickBot="1" x14ac:dyDescent="0.45">
      <c r="B12" s="141">
        <f t="shared" si="1"/>
        <v>0</v>
      </c>
      <c r="C12" s="155"/>
      <c r="D12" s="682"/>
      <c r="E12" s="682"/>
      <c r="F12" s="682"/>
      <c r="G12" s="682"/>
      <c r="H12" s="682"/>
      <c r="I12" s="682"/>
      <c r="J12" s="147"/>
      <c r="K12" s="144"/>
      <c r="L12" s="144"/>
      <c r="M12" s="144"/>
      <c r="N12" s="144"/>
      <c r="O12" s="144"/>
      <c r="P12" s="169"/>
      <c r="Q12" s="136"/>
      <c r="Y12" s="160"/>
    </row>
    <row r="13" spans="2:25" ht="13.5" thickBot="1" x14ac:dyDescent="0.45">
      <c r="B13" s="142">
        <f>SUM(B5:B12)</f>
        <v>0.99999999999999989</v>
      </c>
      <c r="C13" s="680" t="s">
        <v>128</v>
      </c>
      <c r="D13" s="677">
        <f>SUM(D5:D12)</f>
        <v>173212.09999999998</v>
      </c>
      <c r="E13" s="678">
        <f t="shared" ref="E13:I13" si="4">SUM(E5:E12)</f>
        <v>137340</v>
      </c>
      <c r="F13" s="678">
        <f t="shared" si="4"/>
        <v>136404.6</v>
      </c>
      <c r="G13" s="678">
        <f t="shared" si="4"/>
        <v>103307.59999999999</v>
      </c>
      <c r="H13" s="678">
        <f t="shared" si="4"/>
        <v>96210.7</v>
      </c>
      <c r="I13" s="679">
        <f t="shared" si="4"/>
        <v>99230.1</v>
      </c>
      <c r="J13" s="681"/>
      <c r="K13" s="292">
        <f>(D13-E13)/E13</f>
        <v>0.26119193243046435</v>
      </c>
      <c r="L13" s="292">
        <f>(E13-F13)/F13</f>
        <v>6.8575399949854631E-3</v>
      </c>
      <c r="M13" s="292">
        <f>(F13-G13)/G13</f>
        <v>0.32037333168130921</v>
      </c>
      <c r="N13" s="292">
        <f t="shared" ref="N13:O13" si="5">(G13-H13)/H13</f>
        <v>7.3764144736500142E-2</v>
      </c>
      <c r="O13" s="292">
        <f t="shared" si="5"/>
        <v>-3.0428267229399231E-2</v>
      </c>
      <c r="P13" s="292" t="s">
        <v>55</v>
      </c>
      <c r="Q13" s="136"/>
      <c r="Y13" s="160"/>
    </row>
    <row r="14" spans="2:25" ht="13.15" x14ac:dyDescent="0.4">
      <c r="B14" s="163"/>
      <c r="C14" s="6"/>
      <c r="D14" s="14"/>
      <c r="E14" s="14"/>
      <c r="F14" s="14"/>
      <c r="G14" s="14"/>
      <c r="H14" s="14"/>
      <c r="I14" s="14"/>
      <c r="J14" s="14"/>
      <c r="K14" s="14"/>
      <c r="L14" s="14"/>
      <c r="M14" s="14"/>
      <c r="N14" s="14"/>
      <c r="O14" s="14"/>
      <c r="P14" s="14"/>
      <c r="Q14" s="136"/>
      <c r="Y14" s="160"/>
    </row>
    <row r="15" spans="2:25" ht="21" thickBot="1" x14ac:dyDescent="0.65">
      <c r="B15" s="987" t="str">
        <f>"Regions Revenue "&amp;"("&amp;OP!$J$15&amp;")"</f>
        <v>Regions Revenue (2023)</v>
      </c>
      <c r="C15" s="988"/>
      <c r="D15" s="988"/>
      <c r="E15" s="988"/>
      <c r="F15" s="988"/>
      <c r="G15" s="988"/>
      <c r="H15" s="988"/>
      <c r="I15" s="988"/>
      <c r="J15" s="988"/>
      <c r="K15" s="988"/>
      <c r="L15" s="988"/>
      <c r="M15" s="988"/>
      <c r="N15" s="988"/>
      <c r="O15" s="988"/>
      <c r="P15" s="988"/>
      <c r="Q15" s="136"/>
      <c r="S15" s="296"/>
      <c r="Y15" s="160"/>
    </row>
    <row r="16" spans="2:25" ht="21" thickBot="1" x14ac:dyDescent="0.65">
      <c r="B16" s="165"/>
      <c r="C16" s="166"/>
      <c r="D16" s="993" t="s">
        <v>132</v>
      </c>
      <c r="E16" s="994"/>
      <c r="F16" s="994"/>
      <c r="G16" s="994"/>
      <c r="H16" s="994"/>
      <c r="I16" s="995"/>
      <c r="J16" s="145"/>
      <c r="K16" s="989" t="s">
        <v>133</v>
      </c>
      <c r="L16" s="990"/>
      <c r="M16" s="990"/>
      <c r="N16" s="990"/>
      <c r="O16" s="990"/>
      <c r="P16" s="990"/>
      <c r="Q16" s="136"/>
      <c r="Y16" s="160"/>
    </row>
    <row r="17" spans="2:25" ht="13.5" thickBot="1" x14ac:dyDescent="0.45">
      <c r="B17" s="164" t="s">
        <v>134</v>
      </c>
      <c r="C17" s="135" t="s">
        <v>142</v>
      </c>
      <c r="D17" s="153">
        <f>OP!J15</f>
        <v>2023</v>
      </c>
      <c r="E17" s="153">
        <f>D17-1</f>
        <v>2022</v>
      </c>
      <c r="F17" s="153">
        <f>E17-1</f>
        <v>2021</v>
      </c>
      <c r="G17" s="153">
        <f>F17-1</f>
        <v>2020</v>
      </c>
      <c r="H17" s="153">
        <f>G17-1</f>
        <v>2019</v>
      </c>
      <c r="I17" s="153">
        <f>H17-1</f>
        <v>2018</v>
      </c>
      <c r="J17" s="146"/>
      <c r="K17" s="153">
        <f>OP!J15</f>
        <v>2023</v>
      </c>
      <c r="L17" s="153">
        <f t="shared" ref="L17:P17" si="6">K17-1</f>
        <v>2022</v>
      </c>
      <c r="M17" s="153">
        <f t="shared" si="6"/>
        <v>2021</v>
      </c>
      <c r="N17" s="153">
        <f t="shared" si="6"/>
        <v>2020</v>
      </c>
      <c r="O17" s="153">
        <f t="shared" si="6"/>
        <v>2019</v>
      </c>
      <c r="P17" s="167">
        <f t="shared" si="6"/>
        <v>2018</v>
      </c>
      <c r="Q17" s="136"/>
      <c r="Y17" s="160"/>
    </row>
    <row r="18" spans="2:25" ht="13.15" x14ac:dyDescent="0.4">
      <c r="B18" s="149">
        <f t="shared" ref="B18:B23" si="7">IFERROR(D18/$D$24,"")</f>
        <v>0.69048853428168944</v>
      </c>
      <c r="C18" s="138" t="s">
        <v>143</v>
      </c>
      <c r="D18" s="154">
        <v>119600.9</v>
      </c>
      <c r="E18" s="154">
        <v>110589.9</v>
      </c>
      <c r="F18" s="154">
        <v>120242.9</v>
      </c>
      <c r="G18" s="154">
        <v>96635.7</v>
      </c>
      <c r="H18" s="154">
        <v>88278</v>
      </c>
      <c r="I18" s="154"/>
      <c r="J18" s="147"/>
      <c r="K18" s="290">
        <f>(D18-E18)/E18</f>
        <v>8.1481220256099343E-2</v>
      </c>
      <c r="L18" s="290">
        <f t="shared" ref="L18:O24" si="8">(E18-F18)/F18</f>
        <v>-8.027916825026675E-2</v>
      </c>
      <c r="M18" s="290">
        <f t="shared" si="8"/>
        <v>0.24429067104600058</v>
      </c>
      <c r="N18" s="290">
        <f t="shared" si="8"/>
        <v>9.4674777407734625E-2</v>
      </c>
      <c r="O18" s="290" t="e">
        <f t="shared" si="8"/>
        <v>#DIV/0!</v>
      </c>
      <c r="P18" s="290" t="s">
        <v>55</v>
      </c>
      <c r="Q18" s="136"/>
      <c r="Y18" s="160"/>
    </row>
    <row r="19" spans="2:25" ht="13.5" thickBot="1" x14ac:dyDescent="0.45">
      <c r="B19" s="149">
        <f t="shared" si="7"/>
        <v>0.30951146571831051</v>
      </c>
      <c r="C19" s="553" t="s">
        <v>144</v>
      </c>
      <c r="D19" s="154">
        <v>53611.1</v>
      </c>
      <c r="E19" s="154">
        <v>26750.1</v>
      </c>
      <c r="F19" s="154">
        <v>16161.8</v>
      </c>
      <c r="G19" s="154">
        <v>6671.9</v>
      </c>
      <c r="H19" s="154">
        <v>5503.1</v>
      </c>
      <c r="I19" s="154"/>
      <c r="J19" s="147"/>
      <c r="K19" s="290">
        <f>(D19-E19)/E19</f>
        <v>1.0041457788942845</v>
      </c>
      <c r="L19" s="290">
        <f t="shared" ref="L19" si="9">(E19-F19)/F19</f>
        <v>0.65514361024143353</v>
      </c>
      <c r="M19" s="290">
        <f t="shared" ref="M19" si="10">(F19-G19)/G19</f>
        <v>1.4223684407739925</v>
      </c>
      <c r="N19" s="290">
        <f t="shared" ref="N19" si="11">(G19-H19)/H19</f>
        <v>0.21238938053097331</v>
      </c>
      <c r="O19" s="290" t="e">
        <f t="shared" ref="O19" si="12">(H19-I19)/I19</f>
        <v>#DIV/0!</v>
      </c>
      <c r="P19" s="290" t="s">
        <v>55</v>
      </c>
      <c r="Q19" s="136"/>
      <c r="Y19" s="160"/>
    </row>
    <row r="20" spans="2:25" ht="13.5" hidden="1" customHeight="1" thickBot="1" x14ac:dyDescent="0.45">
      <c r="B20" s="149">
        <f t="shared" si="7"/>
        <v>0</v>
      </c>
      <c r="C20" s="139"/>
      <c r="D20" s="154"/>
      <c r="E20" s="154"/>
      <c r="F20" s="154"/>
      <c r="G20" s="154"/>
      <c r="H20" s="154"/>
      <c r="I20" s="154"/>
      <c r="J20" s="147"/>
      <c r="K20" s="294" t="e">
        <f t="shared" ref="K20:K23" si="13">(D20-E20)/E20</f>
        <v>#DIV/0!</v>
      </c>
      <c r="L20" s="294" t="e">
        <f t="shared" si="8"/>
        <v>#DIV/0!</v>
      </c>
      <c r="M20" s="294" t="e">
        <f t="shared" si="8"/>
        <v>#DIV/0!</v>
      </c>
      <c r="N20" s="294" t="e">
        <f t="shared" si="8"/>
        <v>#DIV/0!</v>
      </c>
      <c r="O20" s="294" t="e">
        <f t="shared" si="8"/>
        <v>#DIV/0!</v>
      </c>
      <c r="P20" s="294" t="s">
        <v>55</v>
      </c>
      <c r="Q20" s="136"/>
      <c r="Y20" s="160"/>
    </row>
    <row r="21" spans="2:25" ht="13.5" hidden="1" customHeight="1" thickBot="1" x14ac:dyDescent="0.45">
      <c r="B21" s="149">
        <f t="shared" si="7"/>
        <v>0</v>
      </c>
      <c r="C21" s="139"/>
      <c r="D21" s="154"/>
      <c r="E21" s="154"/>
      <c r="F21" s="154"/>
      <c r="G21" s="154"/>
      <c r="H21" s="154"/>
      <c r="I21" s="154"/>
      <c r="J21" s="147"/>
      <c r="K21" s="294" t="e">
        <f t="shared" si="13"/>
        <v>#DIV/0!</v>
      </c>
      <c r="L21" s="294" t="e">
        <f t="shared" si="8"/>
        <v>#DIV/0!</v>
      </c>
      <c r="M21" s="294" t="e">
        <f t="shared" si="8"/>
        <v>#DIV/0!</v>
      </c>
      <c r="N21" s="294" t="e">
        <f t="shared" si="8"/>
        <v>#DIV/0!</v>
      </c>
      <c r="O21" s="294" t="e">
        <f t="shared" si="8"/>
        <v>#DIV/0!</v>
      </c>
      <c r="P21" s="294" t="s">
        <v>55</v>
      </c>
      <c r="Q21" s="136"/>
      <c r="Y21" s="160"/>
    </row>
    <row r="22" spans="2:25" ht="13.5" hidden="1" customHeight="1" thickBot="1" x14ac:dyDescent="0.45">
      <c r="B22" s="149">
        <f t="shared" si="7"/>
        <v>0</v>
      </c>
      <c r="C22" s="139"/>
      <c r="D22" s="154"/>
      <c r="E22" s="154"/>
      <c r="F22" s="154"/>
      <c r="G22" s="154"/>
      <c r="H22" s="154"/>
      <c r="I22" s="154"/>
      <c r="J22" s="147"/>
      <c r="K22" s="294" t="e">
        <f t="shared" si="13"/>
        <v>#DIV/0!</v>
      </c>
      <c r="L22" s="294" t="e">
        <f t="shared" si="8"/>
        <v>#DIV/0!</v>
      </c>
      <c r="M22" s="294" t="e">
        <f t="shared" si="8"/>
        <v>#DIV/0!</v>
      </c>
      <c r="N22" s="294" t="e">
        <f t="shared" si="8"/>
        <v>#DIV/0!</v>
      </c>
      <c r="O22" s="294" t="e">
        <f t="shared" si="8"/>
        <v>#DIV/0!</v>
      </c>
      <c r="P22" s="294" t="s">
        <v>55</v>
      </c>
      <c r="Q22" s="136"/>
      <c r="Y22" s="160"/>
    </row>
    <row r="23" spans="2:25" ht="13.5" hidden="1" customHeight="1" thickBot="1" x14ac:dyDescent="0.45">
      <c r="B23" s="149">
        <f t="shared" si="7"/>
        <v>0</v>
      </c>
      <c r="C23" s="155"/>
      <c r="D23" s="683"/>
      <c r="E23" s="683"/>
      <c r="F23" s="683"/>
      <c r="G23" s="683"/>
      <c r="H23" s="683"/>
      <c r="I23" s="683"/>
      <c r="J23" s="147"/>
      <c r="K23" s="295" t="e">
        <f t="shared" si="13"/>
        <v>#DIV/0!</v>
      </c>
      <c r="L23" s="295" t="e">
        <f t="shared" si="8"/>
        <v>#DIV/0!</v>
      </c>
      <c r="M23" s="295" t="e">
        <f t="shared" si="8"/>
        <v>#DIV/0!</v>
      </c>
      <c r="N23" s="295" t="e">
        <f t="shared" si="8"/>
        <v>#DIV/0!</v>
      </c>
      <c r="O23" s="295" t="e">
        <f t="shared" si="8"/>
        <v>#DIV/0!</v>
      </c>
      <c r="P23" s="295" t="s">
        <v>55</v>
      </c>
      <c r="Q23" s="136"/>
      <c r="Y23" s="160"/>
    </row>
    <row r="24" spans="2:25" ht="13.5" thickBot="1" x14ac:dyDescent="0.45">
      <c r="B24" s="142">
        <f>SUM(B18:B23)</f>
        <v>1</v>
      </c>
      <c r="C24" s="680" t="s">
        <v>128</v>
      </c>
      <c r="D24" s="677">
        <f>SUM(D18:D23)</f>
        <v>173212</v>
      </c>
      <c r="E24" s="678">
        <f t="shared" ref="E24:I24" si="14">SUM(E18:E23)</f>
        <v>137340</v>
      </c>
      <c r="F24" s="678">
        <f t="shared" si="14"/>
        <v>136404.69999999998</v>
      </c>
      <c r="G24" s="678">
        <f t="shared" si="14"/>
        <v>103307.59999999999</v>
      </c>
      <c r="H24" s="678">
        <f t="shared" si="14"/>
        <v>93781.1</v>
      </c>
      <c r="I24" s="679">
        <f t="shared" si="14"/>
        <v>0</v>
      </c>
      <c r="J24" s="681"/>
      <c r="K24" s="291">
        <f>(D24-E24)/E24</f>
        <v>0.26119120431047038</v>
      </c>
      <c r="L24" s="292">
        <f t="shared" si="8"/>
        <v>6.8568018550681726E-3</v>
      </c>
      <c r="M24" s="292">
        <f t="shared" ref="M24" si="15">(F24-G24)/G24</f>
        <v>0.32037429966430342</v>
      </c>
      <c r="N24" s="292">
        <f t="shared" ref="N24" si="16">(G24-H24)/H24</f>
        <v>0.10158230176442785</v>
      </c>
      <c r="O24" s="292" t="e">
        <f t="shared" ref="O24" si="17">(H24-I24)/I24</f>
        <v>#DIV/0!</v>
      </c>
      <c r="P24" s="292" t="s">
        <v>55</v>
      </c>
      <c r="Q24" s="136"/>
      <c r="Y24" s="160"/>
    </row>
    <row r="25" spans="2:25" ht="13.15" x14ac:dyDescent="0.4">
      <c r="B25" s="163"/>
      <c r="C25" s="6"/>
      <c r="D25" s="14"/>
      <c r="E25" s="14"/>
      <c r="F25" s="14"/>
      <c r="G25" s="14"/>
      <c r="H25" s="14"/>
      <c r="I25" s="14"/>
      <c r="J25" s="14"/>
      <c r="K25" s="14"/>
      <c r="L25" s="14"/>
      <c r="M25" s="14"/>
      <c r="N25" s="14"/>
      <c r="O25" s="14"/>
      <c r="P25" s="14"/>
      <c r="Q25" s="136"/>
      <c r="Y25" s="160"/>
    </row>
    <row r="26" spans="2:25" ht="26.25" customHeight="1" thickBot="1" x14ac:dyDescent="0.4">
      <c r="B26" s="1033" t="s">
        <v>145</v>
      </c>
      <c r="C26" s="1034"/>
      <c r="D26" s="1034"/>
      <c r="E26" s="1034"/>
      <c r="F26" s="1034"/>
      <c r="G26" s="1034"/>
      <c r="H26" s="1034"/>
      <c r="I26" s="1034"/>
      <c r="J26" s="1034"/>
      <c r="K26" s="1034"/>
      <c r="L26" s="1034"/>
      <c r="M26" s="1034"/>
      <c r="N26" s="1034"/>
      <c r="O26" s="1034"/>
      <c r="P26" s="1034"/>
      <c r="T26" s="10"/>
      <c r="U26" s="10"/>
    </row>
    <row r="27" spans="2:25" ht="21" thickBot="1" x14ac:dyDescent="0.65">
      <c r="B27" s="165"/>
      <c r="C27" s="166"/>
      <c r="D27" s="993" t="s">
        <v>132</v>
      </c>
      <c r="E27" s="994"/>
      <c r="F27" s="994"/>
      <c r="G27" s="994"/>
      <c r="H27" s="994"/>
      <c r="I27" s="995"/>
      <c r="J27" s="145"/>
      <c r="K27" s="989" t="s">
        <v>133</v>
      </c>
      <c r="L27" s="990"/>
      <c r="M27" s="990"/>
      <c r="N27" s="990"/>
      <c r="O27" s="990"/>
      <c r="P27" s="990"/>
      <c r="T27" s="10"/>
      <c r="U27" s="10"/>
    </row>
    <row r="28" spans="2:25" ht="13.5" thickBot="1" x14ac:dyDescent="0.45">
      <c r="B28" s="164" t="s">
        <v>134</v>
      </c>
      <c r="C28" s="135" t="s">
        <v>142</v>
      </c>
      <c r="D28" s="153">
        <v>2023</v>
      </c>
      <c r="E28" s="153">
        <f>D28-1</f>
        <v>2022</v>
      </c>
      <c r="F28" s="153">
        <f>E28-1</f>
        <v>2021</v>
      </c>
      <c r="G28" s="153">
        <f>F28-1</f>
        <v>2020</v>
      </c>
      <c r="H28" s="153">
        <f>G28-1</f>
        <v>2019</v>
      </c>
      <c r="I28" s="153">
        <f>H28-1</f>
        <v>2018</v>
      </c>
      <c r="J28" s="146"/>
      <c r="K28" s="153">
        <v>2023</v>
      </c>
      <c r="L28" s="153">
        <f t="shared" ref="L28" si="18">K28-1</f>
        <v>2022</v>
      </c>
      <c r="M28" s="153">
        <f t="shared" ref="M28" si="19">L28-1</f>
        <v>2021</v>
      </c>
      <c r="N28" s="153">
        <f t="shared" ref="N28" si="20">M28-1</f>
        <v>2020</v>
      </c>
      <c r="O28" s="153">
        <f t="shared" ref="O28" si="21">N28-1</f>
        <v>2019</v>
      </c>
      <c r="P28" s="153">
        <f t="shared" ref="P28" si="22">O28-1</f>
        <v>2018</v>
      </c>
      <c r="T28" s="10"/>
      <c r="U28" s="10"/>
    </row>
    <row r="29" spans="2:25" ht="13.15" x14ac:dyDescent="0.4">
      <c r="B29" s="149">
        <f>IFERROR(D29/$D$35,"")</f>
        <v>0.7432217657535849</v>
      </c>
      <c r="C29" s="138" t="s">
        <v>143</v>
      </c>
      <c r="D29" s="747">
        <v>914.68600000000004</v>
      </c>
      <c r="E29" s="747">
        <v>894.34300000000007</v>
      </c>
      <c r="F29" s="747">
        <v>1138.2</v>
      </c>
      <c r="G29" s="747">
        <v>1041.4880000000001</v>
      </c>
      <c r="H29" s="747">
        <v>995.12300000000005</v>
      </c>
      <c r="I29" s="747">
        <v>1006.044</v>
      </c>
      <c r="J29" s="147"/>
      <c r="K29" s="290">
        <f t="shared" ref="K29:L35" si="23">(D29-E29)/E29</f>
        <v>2.274630650656399E-2</v>
      </c>
      <c r="L29" s="290">
        <f t="shared" si="23"/>
        <v>-0.21424793533649619</v>
      </c>
      <c r="M29" s="290">
        <f t="shared" ref="M29:M35" si="24">(F29-G29)/G29</f>
        <v>9.2859447252392716E-2</v>
      </c>
      <c r="N29" s="290">
        <f t="shared" ref="N29:N35" si="25">(G29-H29)/H29</f>
        <v>4.6592230307208264E-2</v>
      </c>
      <c r="O29" s="290">
        <f t="shared" ref="O29:O35" si="26">(H29-I29)/I29</f>
        <v>-1.0855390022702721E-2</v>
      </c>
      <c r="P29" s="290" t="s">
        <v>55</v>
      </c>
      <c r="T29" s="10"/>
      <c r="U29" s="10"/>
    </row>
    <row r="30" spans="2:25" ht="13.5" thickBot="1" x14ac:dyDescent="0.45">
      <c r="B30" s="149">
        <f>IFERROR(D30/$D$35,"")</f>
        <v>0.25677823424641505</v>
      </c>
      <c r="C30" s="553" t="s">
        <v>144</v>
      </c>
      <c r="D30" s="747">
        <v>316.01800000000003</v>
      </c>
      <c r="E30" s="747">
        <v>173.18</v>
      </c>
      <c r="F30" s="747">
        <v>142.79300000000001</v>
      </c>
      <c r="G30" s="747">
        <v>70.11</v>
      </c>
      <c r="H30" s="747">
        <v>65.174999999999997</v>
      </c>
      <c r="I30" s="747">
        <v>46.994999999999997</v>
      </c>
      <c r="J30" s="147"/>
      <c r="K30" s="290">
        <f t="shared" si="23"/>
        <v>0.82479501097124386</v>
      </c>
      <c r="L30" s="290">
        <f t="shared" si="23"/>
        <v>0.21280454924260991</v>
      </c>
      <c r="M30" s="290">
        <f t="shared" si="24"/>
        <v>1.0366994722578806</v>
      </c>
      <c r="N30" s="290">
        <f t="shared" si="25"/>
        <v>7.5719217491369423E-2</v>
      </c>
      <c r="O30" s="290">
        <f t="shared" si="26"/>
        <v>0.38684966485796363</v>
      </c>
      <c r="P30" s="290" t="s">
        <v>55</v>
      </c>
      <c r="T30" s="10"/>
      <c r="U30" s="10"/>
    </row>
    <row r="31" spans="2:25" ht="13.5" hidden="1" thickBot="1" x14ac:dyDescent="0.45">
      <c r="B31" s="149">
        <f>IFERROR(D31/$D$24,"")</f>
        <v>0</v>
      </c>
      <c r="C31" s="139"/>
      <c r="D31" s="154"/>
      <c r="E31" s="154"/>
      <c r="F31" s="154"/>
      <c r="G31" s="154"/>
      <c r="H31" s="154"/>
      <c r="I31" s="154"/>
      <c r="J31" s="147"/>
      <c r="K31" s="294" t="e">
        <f t="shared" si="23"/>
        <v>#DIV/0!</v>
      </c>
      <c r="L31" s="294" t="e">
        <f t="shared" si="23"/>
        <v>#DIV/0!</v>
      </c>
      <c r="M31" s="294" t="e">
        <f t="shared" si="24"/>
        <v>#DIV/0!</v>
      </c>
      <c r="N31" s="294" t="e">
        <f t="shared" si="25"/>
        <v>#DIV/0!</v>
      </c>
      <c r="O31" s="294" t="e">
        <f t="shared" si="26"/>
        <v>#DIV/0!</v>
      </c>
      <c r="P31" s="758" t="s">
        <v>55</v>
      </c>
      <c r="T31" s="10"/>
      <c r="U31" s="10"/>
    </row>
    <row r="32" spans="2:25" ht="13.5" hidden="1" thickBot="1" x14ac:dyDescent="0.45">
      <c r="B32" s="149">
        <f>IFERROR(D32/$D$24,"")</f>
        <v>0</v>
      </c>
      <c r="C32" s="139"/>
      <c r="D32" s="154"/>
      <c r="E32" s="154"/>
      <c r="F32" s="154"/>
      <c r="G32" s="154"/>
      <c r="H32" s="154"/>
      <c r="I32" s="154"/>
      <c r="J32" s="147"/>
      <c r="K32" s="294" t="e">
        <f t="shared" si="23"/>
        <v>#DIV/0!</v>
      </c>
      <c r="L32" s="294" t="e">
        <f t="shared" si="23"/>
        <v>#DIV/0!</v>
      </c>
      <c r="M32" s="294" t="e">
        <f t="shared" si="24"/>
        <v>#DIV/0!</v>
      </c>
      <c r="N32" s="294" t="e">
        <f t="shared" si="25"/>
        <v>#DIV/0!</v>
      </c>
      <c r="O32" s="294" t="e">
        <f t="shared" si="26"/>
        <v>#DIV/0!</v>
      </c>
      <c r="P32" s="758" t="s">
        <v>55</v>
      </c>
      <c r="T32" s="10"/>
      <c r="U32" s="10"/>
    </row>
    <row r="33" spans="2:21" ht="13.5" hidden="1" thickBot="1" x14ac:dyDescent="0.45">
      <c r="B33" s="149">
        <f>IFERROR(D33/$D$24,"")</f>
        <v>0</v>
      </c>
      <c r="C33" s="139"/>
      <c r="D33" s="154"/>
      <c r="E33" s="154"/>
      <c r="F33" s="154"/>
      <c r="G33" s="154"/>
      <c r="H33" s="154"/>
      <c r="I33" s="154"/>
      <c r="J33" s="147"/>
      <c r="K33" s="294" t="e">
        <f t="shared" si="23"/>
        <v>#DIV/0!</v>
      </c>
      <c r="L33" s="294" t="e">
        <f t="shared" si="23"/>
        <v>#DIV/0!</v>
      </c>
      <c r="M33" s="294" t="e">
        <f t="shared" si="24"/>
        <v>#DIV/0!</v>
      </c>
      <c r="N33" s="294" t="e">
        <f t="shared" si="25"/>
        <v>#DIV/0!</v>
      </c>
      <c r="O33" s="294" t="e">
        <f t="shared" si="26"/>
        <v>#DIV/0!</v>
      </c>
      <c r="P33" s="758" t="s">
        <v>55</v>
      </c>
      <c r="T33" s="10"/>
      <c r="U33" s="10"/>
    </row>
    <row r="34" spans="2:21" ht="13.5" hidden="1" thickBot="1" x14ac:dyDescent="0.45">
      <c r="B34" s="149">
        <f>IFERROR(D34/$D$24,"")</f>
        <v>0</v>
      </c>
      <c r="C34" s="155"/>
      <c r="D34" s="683"/>
      <c r="E34" s="683"/>
      <c r="F34" s="683"/>
      <c r="G34" s="683"/>
      <c r="H34" s="683"/>
      <c r="I34" s="683"/>
      <c r="J34" s="147"/>
      <c r="K34" s="295" t="e">
        <f t="shared" si="23"/>
        <v>#DIV/0!</v>
      </c>
      <c r="L34" s="295" t="e">
        <f t="shared" si="23"/>
        <v>#DIV/0!</v>
      </c>
      <c r="M34" s="295" t="e">
        <f t="shared" si="24"/>
        <v>#DIV/0!</v>
      </c>
      <c r="N34" s="295" t="e">
        <f t="shared" si="25"/>
        <v>#DIV/0!</v>
      </c>
      <c r="O34" s="295" t="e">
        <f t="shared" si="26"/>
        <v>#DIV/0!</v>
      </c>
      <c r="P34" s="760" t="s">
        <v>55</v>
      </c>
      <c r="T34" s="10"/>
      <c r="U34" s="10"/>
    </row>
    <row r="35" spans="2:21" ht="13.5" thickBot="1" x14ac:dyDescent="0.45">
      <c r="B35" s="142">
        <f>SUM(B29:B34)</f>
        <v>1</v>
      </c>
      <c r="C35" s="680" t="s">
        <v>128</v>
      </c>
      <c r="D35" s="754">
        <f>SUM(D29:D34)</f>
        <v>1230.7040000000002</v>
      </c>
      <c r="E35" s="755">
        <f t="shared" ref="E35:I35" si="27">SUM(E29:E34)</f>
        <v>1067.5230000000001</v>
      </c>
      <c r="F35" s="755">
        <f t="shared" si="27"/>
        <v>1280.9929999999999</v>
      </c>
      <c r="G35" s="755">
        <f t="shared" si="27"/>
        <v>1111.598</v>
      </c>
      <c r="H35" s="755">
        <f t="shared" si="27"/>
        <v>1060.298</v>
      </c>
      <c r="I35" s="756">
        <f t="shared" si="27"/>
        <v>1053.039</v>
      </c>
      <c r="J35" s="681"/>
      <c r="K35" s="291">
        <f t="shared" si="23"/>
        <v>0.15285947000673525</v>
      </c>
      <c r="L35" s="292">
        <f t="shared" si="23"/>
        <v>-0.16664415808673413</v>
      </c>
      <c r="M35" s="292">
        <f t="shared" si="24"/>
        <v>0.15238872326146682</v>
      </c>
      <c r="N35" s="292">
        <f t="shared" si="25"/>
        <v>4.8382624507449748E-2</v>
      </c>
      <c r="O35" s="292">
        <f t="shared" si="26"/>
        <v>6.8933819165292211E-3</v>
      </c>
      <c r="P35" s="759" t="s">
        <v>55</v>
      </c>
      <c r="T35" s="10"/>
      <c r="U35" s="10"/>
    </row>
    <row r="36" spans="2:21" ht="13.15" x14ac:dyDescent="0.4">
      <c r="C36" s="13"/>
      <c r="D36" s="14"/>
      <c r="E36" s="15"/>
      <c r="F36" s="14"/>
      <c r="G36" s="15"/>
      <c r="H36" s="14"/>
      <c r="I36" s="15"/>
      <c r="T36" s="10"/>
      <c r="U36" s="10"/>
    </row>
    <row r="37" spans="2:21" ht="26.25" customHeight="1" thickBot="1" x14ac:dyDescent="0.4">
      <c r="B37" s="1033" t="s">
        <v>146</v>
      </c>
      <c r="C37" s="1034"/>
      <c r="D37" s="1034"/>
      <c r="E37" s="1034"/>
      <c r="F37" s="1034"/>
      <c r="G37" s="1034"/>
      <c r="H37" s="1034"/>
      <c r="I37" s="1034"/>
      <c r="J37" s="1034"/>
      <c r="K37" s="1034"/>
      <c r="L37" s="1034"/>
      <c r="M37" s="1034"/>
      <c r="N37" s="1034"/>
      <c r="O37" s="1034"/>
      <c r="P37" s="1034"/>
      <c r="T37" s="10"/>
      <c r="U37" s="10"/>
    </row>
    <row r="38" spans="2:21" ht="21" thickBot="1" x14ac:dyDescent="0.65">
      <c r="B38" s="165"/>
      <c r="C38" s="166"/>
      <c r="D38" s="993" t="s">
        <v>132</v>
      </c>
      <c r="E38" s="994"/>
      <c r="F38" s="994"/>
      <c r="G38" s="994"/>
      <c r="H38" s="994"/>
      <c r="I38" s="995"/>
      <c r="J38" s="145"/>
      <c r="K38" s="989" t="s">
        <v>133</v>
      </c>
      <c r="L38" s="990"/>
      <c r="M38" s="990"/>
      <c r="N38" s="990"/>
      <c r="O38" s="990"/>
      <c r="P38" s="1035"/>
      <c r="T38" s="10"/>
      <c r="U38" s="10"/>
    </row>
    <row r="39" spans="2:21" ht="13.5" thickBot="1" x14ac:dyDescent="0.45">
      <c r="B39" s="164" t="s">
        <v>134</v>
      </c>
      <c r="C39" s="135" t="s">
        <v>142</v>
      </c>
      <c r="D39" s="153">
        <v>2023</v>
      </c>
      <c r="E39" s="153">
        <f>D39-1</f>
        <v>2022</v>
      </c>
      <c r="F39" s="153">
        <f>E39-1</f>
        <v>2021</v>
      </c>
      <c r="G39" s="153">
        <f>F39-1</f>
        <v>2020</v>
      </c>
      <c r="H39" s="153">
        <f>G39-1</f>
        <v>2019</v>
      </c>
      <c r="I39" s="153">
        <f>H39-1</f>
        <v>2018</v>
      </c>
      <c r="J39" s="146"/>
      <c r="K39" s="153">
        <v>2023</v>
      </c>
      <c r="L39" s="153">
        <f t="shared" ref="L39" si="28">K39-1</f>
        <v>2022</v>
      </c>
      <c r="M39" s="153">
        <f t="shared" ref="M39" si="29">L39-1</f>
        <v>2021</v>
      </c>
      <c r="N39" s="153">
        <f t="shared" ref="N39" si="30">M39-1</f>
        <v>2020</v>
      </c>
      <c r="O39" s="153">
        <f t="shared" ref="O39" si="31">N39-1</f>
        <v>2019</v>
      </c>
      <c r="P39" s="153">
        <f t="shared" ref="P39" si="32">O39-1</f>
        <v>2018</v>
      </c>
    </row>
    <row r="40" spans="2:21" ht="13.15" x14ac:dyDescent="0.4">
      <c r="B40" s="149">
        <f>IFERROR(D40/$D$49,"")</f>
        <v>0.74702800528788227</v>
      </c>
      <c r="C40" s="138" t="s">
        <v>147</v>
      </c>
      <c r="D40" s="747">
        <v>918.83100000000002</v>
      </c>
      <c r="E40" s="747">
        <v>762.68700000000001</v>
      </c>
      <c r="F40" s="747">
        <v>907.178</v>
      </c>
      <c r="G40" s="747">
        <v>829.00900000000001</v>
      </c>
      <c r="H40" s="747">
        <v>869.49700000000007</v>
      </c>
      <c r="I40" s="747">
        <v>884.06799999999998</v>
      </c>
      <c r="J40" s="147"/>
      <c r="K40" s="762">
        <f t="shared" ref="K40:K49" si="33">(D40-E40)/E40</f>
        <v>0.20472880749245759</v>
      </c>
      <c r="L40" s="290">
        <f t="shared" ref="L40:L49" si="34">(E40-F40)/F40</f>
        <v>-0.15927524697468412</v>
      </c>
      <c r="M40" s="290">
        <f t="shared" ref="M40:M49" si="35">(F40-G40)/G40</f>
        <v>9.4292100568268838E-2</v>
      </c>
      <c r="N40" s="290">
        <f t="shared" ref="N40:N49" si="36">(G40-H40)/H40</f>
        <v>-4.6564853012718906E-2</v>
      </c>
      <c r="O40" s="290">
        <f t="shared" ref="O40:O49" si="37">(H40-I40)/I40</f>
        <v>-1.6481763846219875E-2</v>
      </c>
      <c r="P40" s="290" t="s">
        <v>55</v>
      </c>
    </row>
    <row r="41" spans="2:21" ht="10.15" customHeight="1" x14ac:dyDescent="0.35">
      <c r="B41" s="748"/>
      <c r="C41" s="751" t="s">
        <v>148</v>
      </c>
      <c r="D41" s="752">
        <v>668.75700000000006</v>
      </c>
      <c r="E41" s="752">
        <v>646.90300000000002</v>
      </c>
      <c r="F41" s="752">
        <v>814.28300000000002</v>
      </c>
      <c r="G41" s="752">
        <v>780.572</v>
      </c>
      <c r="H41" s="752">
        <v>808.471</v>
      </c>
      <c r="I41" s="752">
        <v>856.29</v>
      </c>
      <c r="J41" s="749"/>
      <c r="K41" s="763">
        <f t="shared" si="33"/>
        <v>3.3782499076368544E-2</v>
      </c>
      <c r="L41" s="761">
        <f t="shared" si="34"/>
        <v>-0.20555507114848276</v>
      </c>
      <c r="M41" s="761">
        <f t="shared" si="35"/>
        <v>4.3187559891976667E-2</v>
      </c>
      <c r="N41" s="761">
        <f t="shared" si="36"/>
        <v>-3.4508349711987199E-2</v>
      </c>
      <c r="O41" s="761">
        <f t="shared" si="37"/>
        <v>-5.5844398509850589E-2</v>
      </c>
      <c r="P41" s="761" t="s">
        <v>55</v>
      </c>
    </row>
    <row r="42" spans="2:21" ht="10.15" customHeight="1" x14ac:dyDescent="0.35">
      <c r="B42" s="748"/>
      <c r="C42" s="753" t="s">
        <v>149</v>
      </c>
      <c r="D42" s="752">
        <v>250.07400000000001</v>
      </c>
      <c r="E42" s="752">
        <v>115.78400000000001</v>
      </c>
      <c r="F42" s="752">
        <v>92.894999999999996</v>
      </c>
      <c r="G42" s="752">
        <v>48.436999999999998</v>
      </c>
      <c r="H42" s="752">
        <v>43.785000000000004</v>
      </c>
      <c r="I42" s="752">
        <v>27.778000000000002</v>
      </c>
      <c r="J42" s="749"/>
      <c r="K42" s="763">
        <f t="shared" si="33"/>
        <v>1.1598321011538728</v>
      </c>
      <c r="L42" s="761">
        <f t="shared" si="34"/>
        <v>0.24639646913181562</v>
      </c>
      <c r="M42" s="761">
        <f t="shared" si="35"/>
        <v>0.91785205524702196</v>
      </c>
      <c r="N42" s="761">
        <f t="shared" si="36"/>
        <v>0.1062464314262874</v>
      </c>
      <c r="O42" s="761">
        <f t="shared" si="37"/>
        <v>0.57624739002087988</v>
      </c>
      <c r="P42" s="761" t="s">
        <v>55</v>
      </c>
    </row>
    <row r="43" spans="2:21" ht="13.15" x14ac:dyDescent="0.4">
      <c r="B43" s="149">
        <f>IFERROR(D43/$D$49,"")</f>
        <v>0.1637300383257641</v>
      </c>
      <c r="C43" s="139" t="s">
        <v>150</v>
      </c>
      <c r="D43" s="747">
        <v>201.38499999999999</v>
      </c>
      <c r="E43" s="747">
        <v>196.453</v>
      </c>
      <c r="F43" s="747">
        <v>237.059</v>
      </c>
      <c r="G43" s="747">
        <v>228.67000000000002</v>
      </c>
      <c r="H43" s="747">
        <v>164.86099999999999</v>
      </c>
      <c r="I43" s="747">
        <v>146.244</v>
      </c>
      <c r="J43" s="147"/>
      <c r="K43" s="762">
        <f t="shared" si="33"/>
        <v>2.5105241457244163E-2</v>
      </c>
      <c r="L43" s="290">
        <f t="shared" si="34"/>
        <v>-0.17129069134687988</v>
      </c>
      <c r="M43" s="290">
        <f t="shared" si="35"/>
        <v>3.6686054139152408E-2</v>
      </c>
      <c r="N43" s="290">
        <f t="shared" si="36"/>
        <v>0.38704727012452933</v>
      </c>
      <c r="O43" s="290">
        <f t="shared" si="37"/>
        <v>0.12730094909876638</v>
      </c>
      <c r="P43" s="290" t="s">
        <v>55</v>
      </c>
    </row>
    <row r="44" spans="2:21" ht="10.15" customHeight="1" x14ac:dyDescent="0.35">
      <c r="B44" s="748"/>
      <c r="C44" s="751" t="s">
        <v>148</v>
      </c>
      <c r="D44" s="752">
        <v>158.16</v>
      </c>
      <c r="E44" s="752">
        <v>147.49</v>
      </c>
      <c r="F44" s="752">
        <v>190.74</v>
      </c>
      <c r="G44" s="752">
        <v>209.85900000000001</v>
      </c>
      <c r="H44" s="752">
        <v>147.40800000000002</v>
      </c>
      <c r="I44" s="752">
        <v>133.28300000000002</v>
      </c>
      <c r="J44" s="749"/>
      <c r="K44" s="763">
        <f t="shared" si="33"/>
        <v>7.2343887721201344E-2</v>
      </c>
      <c r="L44" s="761">
        <f t="shared" si="34"/>
        <v>-0.22674845339205199</v>
      </c>
      <c r="M44" s="761">
        <f t="shared" si="35"/>
        <v>-9.1104026989550127E-2</v>
      </c>
      <c r="N44" s="761">
        <f t="shared" si="36"/>
        <v>0.42366085965483546</v>
      </c>
      <c r="O44" s="761">
        <f t="shared" si="37"/>
        <v>0.10597750650870702</v>
      </c>
      <c r="P44" s="761" t="s">
        <v>55</v>
      </c>
      <c r="T44" s="10"/>
      <c r="U44" s="10"/>
    </row>
    <row r="45" spans="2:21" ht="10.15" customHeight="1" x14ac:dyDescent="0.35">
      <c r="B45" s="748"/>
      <c r="C45" s="753" t="s">
        <v>149</v>
      </c>
      <c r="D45" s="752">
        <v>43.225000000000001</v>
      </c>
      <c r="E45" s="752">
        <v>48.963000000000001</v>
      </c>
      <c r="F45" s="752">
        <v>46.319000000000003</v>
      </c>
      <c r="G45" s="752">
        <v>18.811</v>
      </c>
      <c r="H45" s="752">
        <v>17.452999999999999</v>
      </c>
      <c r="I45" s="752">
        <v>12.961</v>
      </c>
      <c r="J45" s="749"/>
      <c r="K45" s="763">
        <f t="shared" si="33"/>
        <v>-0.11719053162592161</v>
      </c>
      <c r="L45" s="761">
        <f t="shared" si="34"/>
        <v>5.7082406787711266E-2</v>
      </c>
      <c r="M45" s="761">
        <f t="shared" si="35"/>
        <v>1.4623358673116795</v>
      </c>
      <c r="N45" s="761">
        <f t="shared" si="36"/>
        <v>7.7808972669455148E-2</v>
      </c>
      <c r="O45" s="761">
        <f t="shared" si="37"/>
        <v>0.34657819612684199</v>
      </c>
      <c r="P45" s="761" t="s">
        <v>55</v>
      </c>
      <c r="T45" s="10"/>
      <c r="U45" s="10"/>
    </row>
    <row r="46" spans="2:21" ht="13.15" x14ac:dyDescent="0.4">
      <c r="B46" s="149">
        <f>IFERROR(D46/$D$49,"")</f>
        <v>8.9241956386353627E-2</v>
      </c>
      <c r="C46" s="139" t="s">
        <v>151</v>
      </c>
      <c r="D46" s="747">
        <v>109.76600000000001</v>
      </c>
      <c r="E46" s="747">
        <v>102.605</v>
      </c>
      <c r="F46" s="747">
        <v>136.714</v>
      </c>
      <c r="G46" s="747">
        <v>58.192999999999998</v>
      </c>
      <c r="H46" s="747">
        <v>41.530999999999999</v>
      </c>
      <c r="I46" s="747">
        <v>13.395</v>
      </c>
      <c r="J46" s="147"/>
      <c r="K46" s="764">
        <f t="shared" si="33"/>
        <v>6.9791920471711913E-2</v>
      </c>
      <c r="L46" s="746">
        <f t="shared" si="34"/>
        <v>-0.2494916394809602</v>
      </c>
      <c r="M46" s="746">
        <f t="shared" ref="M46:M48" si="38">(F46-G46)/G46</f>
        <v>1.3493203649923531</v>
      </c>
      <c r="N46" s="290">
        <f t="shared" ref="N46:N48" si="39">(G46-H46)/H46</f>
        <v>0.40119428860369361</v>
      </c>
      <c r="O46" s="290">
        <f t="shared" ref="O46:O48" si="40">(H46-I46)/I46</f>
        <v>2.1004852556924227</v>
      </c>
      <c r="P46" s="290" t="s">
        <v>55</v>
      </c>
      <c r="T46" s="10"/>
      <c r="U46" s="10"/>
    </row>
    <row r="47" spans="2:21" ht="10.15" customHeight="1" x14ac:dyDescent="0.35">
      <c r="B47" s="748"/>
      <c r="C47" s="751" t="s">
        <v>148</v>
      </c>
      <c r="D47" s="752">
        <v>89.055000000000007</v>
      </c>
      <c r="E47" s="752">
        <v>95.165000000000006</v>
      </c>
      <c r="F47" s="752">
        <v>136.03700000000001</v>
      </c>
      <c r="G47" s="752">
        <v>56.523000000000003</v>
      </c>
      <c r="H47" s="752">
        <v>37.365000000000002</v>
      </c>
      <c r="I47" s="752">
        <v>9.0050000000000008</v>
      </c>
      <c r="J47" s="749"/>
      <c r="K47" s="763">
        <f t="shared" si="33"/>
        <v>-6.42042767824305E-2</v>
      </c>
      <c r="L47" s="761">
        <f t="shared" si="34"/>
        <v>-0.30044767232444114</v>
      </c>
      <c r="M47" s="761">
        <f t="shared" si="38"/>
        <v>1.406754772393539</v>
      </c>
      <c r="N47" s="761">
        <f t="shared" si="39"/>
        <v>0.51272581292653552</v>
      </c>
      <c r="O47" s="761">
        <f t="shared" si="40"/>
        <v>3.1493614658523041</v>
      </c>
      <c r="P47" s="761" t="s">
        <v>55</v>
      </c>
      <c r="T47" s="10"/>
      <c r="U47" s="10"/>
    </row>
    <row r="48" spans="2:21" ht="10.15" customHeight="1" thickBot="1" x14ac:dyDescent="0.4">
      <c r="B48" s="748"/>
      <c r="C48" s="753" t="s">
        <v>149</v>
      </c>
      <c r="D48" s="752">
        <v>20.711000000000002</v>
      </c>
      <c r="E48" s="752">
        <v>7.44</v>
      </c>
      <c r="F48" s="752">
        <v>0.67700000000000005</v>
      </c>
      <c r="G48" s="752">
        <v>1.67</v>
      </c>
      <c r="H48" s="752">
        <v>4.1660000000000004</v>
      </c>
      <c r="I48" s="752">
        <v>4.3899999999999997</v>
      </c>
      <c r="J48" s="749"/>
      <c r="K48" s="750">
        <f t="shared" si="33"/>
        <v>1.7837365591397849</v>
      </c>
      <c r="L48" s="750">
        <f t="shared" si="34"/>
        <v>9.9896602658788769</v>
      </c>
      <c r="M48" s="750">
        <f t="shared" si="38"/>
        <v>-0.59461077844311372</v>
      </c>
      <c r="N48" s="750">
        <f t="shared" si="39"/>
        <v>-0.59913586173787814</v>
      </c>
      <c r="O48" s="750">
        <f t="shared" si="40"/>
        <v>-5.1025056947608047E-2</v>
      </c>
      <c r="P48" s="765" t="s">
        <v>55</v>
      </c>
      <c r="T48" s="10"/>
      <c r="U48" s="10"/>
    </row>
    <row r="49" spans="2:22" ht="13.5" thickBot="1" x14ac:dyDescent="0.45">
      <c r="B49" s="142">
        <f>SUM(B40:B48)</f>
        <v>1</v>
      </c>
      <c r="C49" s="680" t="s">
        <v>128</v>
      </c>
      <c r="D49" s="754">
        <f>SUM(D40,D43,D46)</f>
        <v>1229.982</v>
      </c>
      <c r="E49" s="755">
        <f>SUM(E40,E43,E46)</f>
        <v>1061.7449999999999</v>
      </c>
      <c r="F49" s="755">
        <f t="shared" ref="F49:I49" si="41">SUM(F40,F43,F46)</f>
        <v>1280.951</v>
      </c>
      <c r="G49" s="755">
        <f t="shared" si="41"/>
        <v>1115.8720000000001</v>
      </c>
      <c r="H49" s="755">
        <f t="shared" si="41"/>
        <v>1075.8890000000001</v>
      </c>
      <c r="I49" s="756">
        <f t="shared" si="41"/>
        <v>1043.7069999999999</v>
      </c>
      <c r="J49" s="681"/>
      <c r="K49" s="291">
        <f t="shared" si="33"/>
        <v>0.15845330093384014</v>
      </c>
      <c r="L49" s="292">
        <f t="shared" si="34"/>
        <v>-0.17112754508174016</v>
      </c>
      <c r="M49" s="292">
        <f t="shared" si="35"/>
        <v>0.14793721860571815</v>
      </c>
      <c r="N49" s="292">
        <f t="shared" si="36"/>
        <v>3.7162755637430947E-2</v>
      </c>
      <c r="O49" s="292">
        <f t="shared" si="37"/>
        <v>3.0834324192517869E-2</v>
      </c>
      <c r="P49" s="759" t="s">
        <v>55</v>
      </c>
      <c r="T49" s="10"/>
      <c r="U49" s="10"/>
    </row>
    <row r="50" spans="2:22" x14ac:dyDescent="0.35">
      <c r="D50" s="766"/>
      <c r="T50" s="10"/>
      <c r="U50" s="10"/>
    </row>
    <row r="51" spans="2:22" ht="26.25" customHeight="1" thickBot="1" x14ac:dyDescent="0.4">
      <c r="B51" s="1041" t="s">
        <v>152</v>
      </c>
      <c r="C51" s="1042"/>
      <c r="D51" s="1042"/>
      <c r="E51" s="1042"/>
      <c r="F51" s="1042"/>
      <c r="G51" s="1042"/>
      <c r="H51" s="1042"/>
      <c r="I51" s="1042"/>
      <c r="J51" s="1042"/>
      <c r="K51" s="1042"/>
      <c r="L51" s="1042"/>
      <c r="T51" s="10"/>
      <c r="U51" s="10"/>
    </row>
    <row r="52" spans="2:22" ht="21" thickBot="1" x14ac:dyDescent="0.65">
      <c r="B52" s="165"/>
      <c r="C52" s="166"/>
      <c r="D52" s="993" t="s">
        <v>132</v>
      </c>
      <c r="E52" s="994"/>
      <c r="F52" s="994"/>
      <c r="G52" s="994"/>
      <c r="H52" s="145"/>
      <c r="I52" s="1039" t="s">
        <v>133</v>
      </c>
      <c r="J52" s="1040"/>
      <c r="K52" s="1040"/>
      <c r="L52" s="1040"/>
    </row>
    <row r="53" spans="2:22" ht="13.15" x14ac:dyDescent="0.4">
      <c r="B53" s="164" t="s">
        <v>134</v>
      </c>
      <c r="C53" s="135" t="s">
        <v>142</v>
      </c>
      <c r="D53" s="153">
        <v>2023</v>
      </c>
      <c r="E53" s="153">
        <f>D53-1</f>
        <v>2022</v>
      </c>
      <c r="F53" s="153">
        <f>E53-1</f>
        <v>2021</v>
      </c>
      <c r="G53" s="153">
        <f>F53-1</f>
        <v>2020</v>
      </c>
      <c r="H53" s="146"/>
      <c r="I53" s="148">
        <v>2023</v>
      </c>
      <c r="J53" s="148">
        <f t="shared" ref="J53" si="42">I53-1</f>
        <v>2022</v>
      </c>
      <c r="K53" s="148">
        <f t="shared" ref="K53" si="43">J53-1</f>
        <v>2021</v>
      </c>
      <c r="L53" s="148">
        <f t="shared" ref="L53" si="44">K53-1</f>
        <v>2020</v>
      </c>
    </row>
    <row r="54" spans="2:22" ht="13.15" x14ac:dyDescent="0.4">
      <c r="B54" s="149">
        <f>IFERROR(D54/$D$56,"")</f>
        <v>0.78711127939780812</v>
      </c>
      <c r="C54" s="138" t="s">
        <v>153</v>
      </c>
      <c r="D54" s="747">
        <v>968.70100000000002</v>
      </c>
      <c r="E54" s="747">
        <v>935.68899999999996</v>
      </c>
      <c r="F54" s="747">
        <v>1144.04</v>
      </c>
      <c r="G54" s="747">
        <v>1054.1770000000001</v>
      </c>
      <c r="H54" s="147"/>
      <c r="I54" s="293">
        <f t="shared" ref="I54:K56" si="45">(D54-E54)/E54</f>
        <v>3.5280953393702456E-2</v>
      </c>
      <c r="J54" s="293">
        <f t="shared" si="45"/>
        <v>-0.1821186322156568</v>
      </c>
      <c r="K54" s="293">
        <f t="shared" si="45"/>
        <v>8.524469799663606E-2</v>
      </c>
      <c r="L54" s="757" t="s">
        <v>55</v>
      </c>
      <c r="U54" s="10"/>
      <c r="V54" s="10"/>
    </row>
    <row r="55" spans="2:22" ht="13.15" x14ac:dyDescent="0.4">
      <c r="B55" s="149">
        <f>IFERROR(D55/$D$56,"")</f>
        <v>0.21288872060219191</v>
      </c>
      <c r="C55" s="139" t="s">
        <v>154</v>
      </c>
      <c r="D55" s="747">
        <v>262.00299999999999</v>
      </c>
      <c r="E55" s="747">
        <v>131.834</v>
      </c>
      <c r="F55" s="747">
        <v>136.953</v>
      </c>
      <c r="G55" s="747">
        <v>57.420999999999999</v>
      </c>
      <c r="H55" s="147"/>
      <c r="I55" s="294">
        <f t="shared" si="45"/>
        <v>0.98737048105951408</v>
      </c>
      <c r="J55" s="294">
        <f t="shared" si="45"/>
        <v>-3.7377786539907851E-2</v>
      </c>
      <c r="K55" s="294">
        <f t="shared" si="45"/>
        <v>1.3850681806307799</v>
      </c>
      <c r="L55" s="758" t="s">
        <v>55</v>
      </c>
      <c r="U55" s="10"/>
      <c r="V55" s="10"/>
    </row>
    <row r="56" spans="2:22" ht="13.15" x14ac:dyDescent="0.4">
      <c r="B56" s="142">
        <f>SUM(B54:B55)</f>
        <v>1</v>
      </c>
      <c r="C56" s="680" t="s">
        <v>128</v>
      </c>
      <c r="D56" s="754">
        <f>SUM(D54:D55)</f>
        <v>1230.704</v>
      </c>
      <c r="E56" s="755">
        <f t="shared" ref="E56:G56" si="46">SUM(E54:E55)</f>
        <v>1067.5229999999999</v>
      </c>
      <c r="F56" s="755">
        <f t="shared" si="46"/>
        <v>1280.9929999999999</v>
      </c>
      <c r="G56" s="756">
        <f t="shared" si="46"/>
        <v>1111.5980000000002</v>
      </c>
      <c r="H56" s="681"/>
      <c r="I56" s="291">
        <f t="shared" si="45"/>
        <v>0.15285947000673528</v>
      </c>
      <c r="J56" s="292">
        <f t="shared" si="45"/>
        <v>-0.1666441580867343</v>
      </c>
      <c r="K56" s="292">
        <f t="shared" si="45"/>
        <v>0.15238872326146657</v>
      </c>
      <c r="L56" s="759" t="s">
        <v>55</v>
      </c>
      <c r="U56" s="10"/>
      <c r="V56" s="10"/>
    </row>
    <row r="57" spans="2:22" x14ac:dyDescent="0.35">
      <c r="U57" s="10"/>
      <c r="V57" s="10"/>
    </row>
    <row r="58" spans="2:22" x14ac:dyDescent="0.35">
      <c r="T58" s="10"/>
      <c r="U58" s="10"/>
    </row>
    <row r="59" spans="2:22" x14ac:dyDescent="0.35">
      <c r="T59" s="10"/>
      <c r="U59" s="10"/>
    </row>
    <row r="60" spans="2:22" ht="20.65" x14ac:dyDescent="0.6">
      <c r="B60" s="993" t="s">
        <v>155</v>
      </c>
      <c r="C60" s="995"/>
      <c r="D60" s="993" t="s">
        <v>156</v>
      </c>
      <c r="E60" s="994"/>
      <c r="F60" s="994"/>
      <c r="G60" s="994"/>
      <c r="H60" s="994"/>
      <c r="I60" s="1002" t="s">
        <v>157</v>
      </c>
      <c r="J60" s="1003"/>
      <c r="K60" s="1003"/>
      <c r="L60" s="1003"/>
      <c r="M60" s="1003"/>
      <c r="N60" s="1003"/>
      <c r="O60" s="1003"/>
      <c r="P60" s="1003"/>
      <c r="Q60" s="136"/>
    </row>
    <row r="61" spans="2:22" ht="30.75" customHeight="1" x14ac:dyDescent="0.35">
      <c r="B61" s="991" t="str">
        <f>C5</f>
        <v>Automobiles</v>
      </c>
      <c r="C61" s="992"/>
      <c r="D61" s="996" t="s">
        <v>158</v>
      </c>
      <c r="E61" s="997"/>
      <c r="F61" s="997"/>
      <c r="G61" s="997"/>
      <c r="H61" s="997"/>
      <c r="I61" s="136"/>
      <c r="Q61" s="136"/>
    </row>
    <row r="62" spans="2:22" ht="54.75" customHeight="1" x14ac:dyDescent="0.35">
      <c r="B62" s="991" t="str">
        <f t="shared" ref="B62" si="47">C6</f>
        <v>Automotive Parts &amp; Components</v>
      </c>
      <c r="C62" s="992"/>
      <c r="D62" s="996" t="s">
        <v>159</v>
      </c>
      <c r="E62" s="997"/>
      <c r="F62" s="997"/>
      <c r="G62" s="997"/>
      <c r="H62" s="997"/>
      <c r="I62" s="136"/>
      <c r="Q62" s="136"/>
    </row>
    <row r="63" spans="2:22" ht="39" customHeight="1" thickBot="1" x14ac:dyDescent="0.4">
      <c r="B63" s="991" t="s">
        <v>160</v>
      </c>
      <c r="C63" s="992"/>
      <c r="D63" s="998" t="s">
        <v>161</v>
      </c>
      <c r="E63" s="997"/>
      <c r="F63" s="997"/>
      <c r="G63" s="997"/>
      <c r="H63" s="999"/>
      <c r="I63" s="136"/>
      <c r="Q63" s="136"/>
    </row>
    <row r="64" spans="2:22" ht="28.5" hidden="1" customHeight="1" x14ac:dyDescent="0.35">
      <c r="B64" s="991"/>
      <c r="C64" s="992"/>
      <c r="D64" s="1000"/>
      <c r="E64" s="1001"/>
      <c r="F64" s="1001"/>
      <c r="G64" s="1001"/>
      <c r="H64" s="1001"/>
      <c r="I64" s="136"/>
      <c r="Q64" s="136"/>
    </row>
    <row r="65" spans="2:21" ht="56.25" customHeight="1" thickBot="1" x14ac:dyDescent="0.4">
      <c r="I65" s="137"/>
      <c r="Q65" s="136"/>
    </row>
    <row r="66" spans="2:21" ht="21" thickBot="1" x14ac:dyDescent="0.65">
      <c r="B66" s="993" t="s">
        <v>162</v>
      </c>
      <c r="C66" s="994"/>
      <c r="D66" s="994"/>
      <c r="E66" s="994"/>
      <c r="F66" s="994"/>
      <c r="G66" s="994"/>
      <c r="H66" s="994"/>
      <c r="I66" s="994"/>
      <c r="J66" s="1036" t="s">
        <v>163</v>
      </c>
      <c r="K66" s="1037"/>
      <c r="L66" s="1037"/>
      <c r="M66" s="1037"/>
      <c r="N66" s="1037"/>
      <c r="O66" s="1037"/>
      <c r="P66" s="1037"/>
      <c r="Q66" s="1038"/>
    </row>
    <row r="67" spans="2:21" ht="13.15" x14ac:dyDescent="0.4">
      <c r="B67" s="1006" t="s">
        <v>164</v>
      </c>
      <c r="C67" s="1007"/>
      <c r="D67" s="1006" t="s">
        <v>156</v>
      </c>
      <c r="E67" s="1010"/>
      <c r="F67" s="1010"/>
      <c r="G67" s="1010"/>
      <c r="H67" s="1010"/>
      <c r="I67" s="1010"/>
      <c r="J67" s="156"/>
      <c r="K67" s="158"/>
      <c r="L67" s="158"/>
      <c r="M67" s="158"/>
      <c r="N67" s="158"/>
      <c r="O67" s="158"/>
      <c r="P67" s="158"/>
      <c r="Q67" s="159"/>
    </row>
    <row r="68" spans="2:21" ht="13.15" x14ac:dyDescent="0.4">
      <c r="B68" s="1008" t="s">
        <v>165</v>
      </c>
      <c r="C68" s="1009"/>
      <c r="D68" s="1015" t="s">
        <v>166</v>
      </c>
      <c r="E68" s="1016"/>
      <c r="F68" s="1016"/>
      <c r="G68" s="1016"/>
      <c r="H68" s="1016"/>
      <c r="I68" s="1016"/>
      <c r="J68" s="136"/>
      <c r="Q68" s="160"/>
    </row>
    <row r="69" spans="2:21" x14ac:dyDescent="0.35">
      <c r="B69" s="1022" t="s">
        <v>167</v>
      </c>
      <c r="C69" s="1023"/>
      <c r="D69" s="1015" t="s">
        <v>168</v>
      </c>
      <c r="E69" s="1016"/>
      <c r="F69" s="1016"/>
      <c r="G69" s="1016"/>
      <c r="H69" s="1016"/>
      <c r="I69" s="1016"/>
      <c r="J69" s="136"/>
      <c r="Q69" s="160"/>
    </row>
    <row r="70" spans="2:21" ht="13.15" x14ac:dyDescent="0.4">
      <c r="B70" s="1006" t="s">
        <v>169</v>
      </c>
      <c r="C70" s="1010"/>
      <c r="D70" s="1010"/>
      <c r="E70" s="1010"/>
      <c r="F70" s="1010"/>
      <c r="G70" s="1010"/>
      <c r="H70" s="1010"/>
      <c r="I70" s="1010"/>
      <c r="J70" s="136"/>
      <c r="Q70" s="160"/>
    </row>
    <row r="71" spans="2:21" ht="13.5" customHeight="1" x14ac:dyDescent="0.4">
      <c r="B71" s="1046" t="s">
        <v>170</v>
      </c>
      <c r="C71" s="1047"/>
      <c r="D71" s="1018" t="s">
        <v>171</v>
      </c>
      <c r="E71" s="1019"/>
      <c r="F71" s="1020"/>
      <c r="G71" s="1018" t="s">
        <v>172</v>
      </c>
      <c r="H71" s="1019"/>
      <c r="I71" s="1021"/>
      <c r="J71" s="136"/>
      <c r="Q71" s="160"/>
      <c r="T71" s="10"/>
      <c r="U71" s="10"/>
    </row>
    <row r="72" spans="2:21" ht="13.15" x14ac:dyDescent="0.4">
      <c r="B72" s="1024" t="s">
        <v>173</v>
      </c>
      <c r="C72" s="1025"/>
      <c r="D72" s="1030">
        <v>0.3206</v>
      </c>
      <c r="E72" s="1031"/>
      <c r="F72" s="1032"/>
      <c r="G72" s="1026" t="s">
        <v>174</v>
      </c>
      <c r="H72" s="1027"/>
      <c r="I72" s="1027"/>
      <c r="J72" s="136"/>
      <c r="Q72" s="160"/>
      <c r="T72" s="10"/>
      <c r="U72" s="10"/>
    </row>
    <row r="73" spans="2:21" ht="13.15" x14ac:dyDescent="0.4">
      <c r="B73" s="1024" t="s">
        <v>175</v>
      </c>
      <c r="C73" s="1025"/>
      <c r="D73" s="1030">
        <v>7.0199999999999999E-2</v>
      </c>
      <c r="E73" s="1031"/>
      <c r="F73" s="1032"/>
      <c r="G73" s="1026" t="s">
        <v>176</v>
      </c>
      <c r="H73" s="1027"/>
      <c r="I73" s="1027"/>
      <c r="J73" s="136"/>
      <c r="Q73" s="160"/>
      <c r="T73" s="10"/>
      <c r="U73" s="10"/>
    </row>
    <row r="74" spans="2:21" ht="13.15" x14ac:dyDescent="0.4">
      <c r="B74" s="1011" t="s">
        <v>177</v>
      </c>
      <c r="C74" s="1012"/>
      <c r="D74" s="1043">
        <v>0.1552</v>
      </c>
      <c r="E74" s="1044"/>
      <c r="F74" s="1045"/>
      <c r="G74" s="1028" t="s">
        <v>178</v>
      </c>
      <c r="H74" s="1029"/>
      <c r="I74" s="1029"/>
      <c r="J74" s="136"/>
      <c r="Q74" s="160"/>
      <c r="T74" s="10"/>
      <c r="U74" s="10"/>
    </row>
    <row r="75" spans="2:21" ht="12.75" customHeight="1" x14ac:dyDescent="0.4">
      <c r="B75" s="1013" t="s">
        <v>179</v>
      </c>
      <c r="C75" s="1014"/>
      <c r="D75" s="1017">
        <f>AVERAGE(D72:F74)</f>
        <v>0.18200000000000002</v>
      </c>
      <c r="E75" s="1017"/>
      <c r="F75" s="1017"/>
      <c r="G75" s="1017"/>
      <c r="H75" s="1017"/>
      <c r="I75" s="1017"/>
      <c r="J75" s="136"/>
      <c r="Q75" s="160"/>
      <c r="T75" s="10"/>
      <c r="U75" s="10"/>
    </row>
    <row r="76" spans="2:21" ht="20.65" x14ac:dyDescent="0.6">
      <c r="B76" s="983" t="s">
        <v>180</v>
      </c>
      <c r="C76" s="984"/>
      <c r="D76" s="984"/>
      <c r="E76" s="984"/>
      <c r="F76" s="984"/>
      <c r="G76" s="984"/>
      <c r="H76" s="984"/>
      <c r="I76" s="984"/>
      <c r="J76" s="136"/>
      <c r="Q76" s="160"/>
      <c r="T76" s="10"/>
      <c r="U76" s="10"/>
    </row>
    <row r="77" spans="2:21" ht="13.15" x14ac:dyDescent="0.4">
      <c r="B77" s="779" t="s">
        <v>181</v>
      </c>
      <c r="C77" s="780"/>
      <c r="D77" s="157"/>
      <c r="E77" s="158"/>
      <c r="F77" s="158"/>
      <c r="G77" s="158"/>
      <c r="H77" s="158"/>
      <c r="I77" s="158"/>
      <c r="J77" s="136"/>
      <c r="Q77" s="160"/>
      <c r="T77" s="10"/>
      <c r="U77" s="10"/>
    </row>
    <row r="78" spans="2:21" ht="13.15" x14ac:dyDescent="0.4">
      <c r="B78" s="781" t="s">
        <v>182</v>
      </c>
      <c r="C78" s="782"/>
      <c r="J78" s="136"/>
      <c r="Q78" s="160"/>
      <c r="T78" s="10"/>
      <c r="U78" s="10"/>
    </row>
    <row r="79" spans="2:21" ht="12.75" customHeight="1" x14ac:dyDescent="0.4">
      <c r="B79" s="781" t="s">
        <v>183</v>
      </c>
      <c r="C79" s="782"/>
      <c r="D79" s="783"/>
      <c r="E79" s="783"/>
      <c r="F79" s="783"/>
      <c r="G79" s="783"/>
      <c r="H79" s="783"/>
      <c r="I79" s="783"/>
      <c r="J79" s="136"/>
      <c r="Q79" s="160"/>
      <c r="T79" s="10"/>
      <c r="U79" s="10"/>
    </row>
    <row r="80" spans="2:21" ht="13.15" x14ac:dyDescent="0.4">
      <c r="B80" s="781" t="s">
        <v>184</v>
      </c>
      <c r="C80" s="782"/>
      <c r="D80" s="783"/>
      <c r="E80" s="783"/>
      <c r="F80" s="783"/>
      <c r="G80" s="783"/>
      <c r="H80" s="783"/>
      <c r="I80" s="783"/>
      <c r="J80" s="136"/>
      <c r="Q80" s="160"/>
      <c r="T80" s="10"/>
      <c r="U80" s="10"/>
    </row>
    <row r="81" spans="2:21" ht="13.15" x14ac:dyDescent="0.4">
      <c r="B81" s="781" t="s">
        <v>185</v>
      </c>
      <c r="C81" s="782"/>
      <c r="D81" s="783"/>
      <c r="E81" s="783"/>
      <c r="F81" s="783"/>
      <c r="G81" s="783"/>
      <c r="H81" s="783"/>
      <c r="I81" s="783"/>
      <c r="J81" s="136"/>
      <c r="Q81" s="160"/>
      <c r="T81" s="10"/>
      <c r="U81" s="10"/>
    </row>
    <row r="82" spans="2:21" ht="13.15" x14ac:dyDescent="0.4">
      <c r="B82" s="781" t="s">
        <v>186</v>
      </c>
      <c r="C82" s="782"/>
      <c r="D82" s="783"/>
      <c r="E82" s="783"/>
      <c r="F82" s="783"/>
      <c r="G82" s="783"/>
      <c r="H82" s="783"/>
      <c r="I82" s="783"/>
      <c r="J82" s="136"/>
      <c r="Q82" s="160"/>
      <c r="T82" s="10"/>
      <c r="U82" s="10"/>
    </row>
    <row r="83" spans="2:21" ht="13.15" x14ac:dyDescent="0.4">
      <c r="B83" s="781" t="s">
        <v>187</v>
      </c>
      <c r="C83" s="782"/>
      <c r="D83" s="783"/>
      <c r="E83" s="783"/>
      <c r="F83" s="783"/>
      <c r="G83" s="783"/>
      <c r="H83" s="783"/>
      <c r="I83" s="783"/>
      <c r="J83" s="136"/>
      <c r="Q83" s="160"/>
      <c r="T83" s="10"/>
      <c r="U83" s="10"/>
    </row>
    <row r="84" spans="2:21" ht="13.15" x14ac:dyDescent="0.4">
      <c r="B84" s="781" t="s">
        <v>188</v>
      </c>
      <c r="C84" s="782"/>
      <c r="D84" s="783"/>
      <c r="E84" s="783"/>
      <c r="F84" s="783"/>
      <c r="G84" s="783"/>
      <c r="H84" s="783"/>
      <c r="I84" s="783"/>
      <c r="J84" s="136"/>
      <c r="Q84" s="160"/>
      <c r="T84" s="10"/>
      <c r="U84" s="10"/>
    </row>
    <row r="85" spans="2:21" ht="13.15" x14ac:dyDescent="0.4">
      <c r="B85" s="787" t="s">
        <v>189</v>
      </c>
      <c r="C85" s="782"/>
      <c r="D85" s="783"/>
      <c r="E85" s="783"/>
      <c r="F85" s="783"/>
      <c r="G85" s="783"/>
      <c r="H85" s="783"/>
      <c r="I85" s="783"/>
      <c r="J85" s="136"/>
      <c r="Q85" s="160"/>
      <c r="T85" s="10"/>
      <c r="U85" s="10"/>
    </row>
    <row r="86" spans="2:21" ht="13.15" x14ac:dyDescent="0.4">
      <c r="B86" s="784" t="s">
        <v>190</v>
      </c>
      <c r="C86" s="785"/>
      <c r="D86" s="786"/>
      <c r="E86" s="786"/>
      <c r="F86" s="786"/>
      <c r="G86" s="786"/>
      <c r="H86" s="786"/>
      <c r="I86" s="786"/>
      <c r="J86" s="137"/>
      <c r="K86" s="161"/>
      <c r="L86" s="161"/>
      <c r="M86" s="161"/>
      <c r="N86" s="161"/>
      <c r="O86" s="161"/>
      <c r="P86" s="161"/>
      <c r="Q86" s="162"/>
      <c r="T86" s="10"/>
      <c r="U86" s="10"/>
    </row>
    <row r="87" spans="2:21" x14ac:dyDescent="0.35">
      <c r="T87" s="10"/>
      <c r="U87" s="10"/>
    </row>
    <row r="88" spans="2:21" x14ac:dyDescent="0.35">
      <c r="T88" s="10"/>
      <c r="U88" s="10"/>
    </row>
    <row r="89" spans="2:21" x14ac:dyDescent="0.35">
      <c r="T89" s="10"/>
      <c r="U89" s="10"/>
    </row>
    <row r="90" spans="2:21" x14ac:dyDescent="0.35">
      <c r="T90" s="10"/>
      <c r="U90" s="10"/>
    </row>
    <row r="91" spans="2:21" x14ac:dyDescent="0.35">
      <c r="O91" s="297"/>
      <c r="T91" s="10"/>
      <c r="U91" s="10"/>
    </row>
    <row r="92" spans="2:21" x14ac:dyDescent="0.35">
      <c r="O92" s="297"/>
      <c r="T92" s="10"/>
      <c r="U92" s="10"/>
    </row>
    <row r="93" spans="2:21" x14ac:dyDescent="0.35">
      <c r="O93" s="297"/>
      <c r="T93" s="10"/>
      <c r="U93" s="10"/>
    </row>
    <row r="94" spans="2:21" x14ac:dyDescent="0.35">
      <c r="T94" s="10"/>
      <c r="U94" s="10"/>
    </row>
    <row r="95" spans="2:21" x14ac:dyDescent="0.35">
      <c r="T95" s="10"/>
      <c r="U95" s="10"/>
    </row>
    <row r="96" spans="2:21" x14ac:dyDescent="0.35">
      <c r="T96" s="10"/>
      <c r="U96" s="10"/>
    </row>
    <row r="97" spans="20:21" x14ac:dyDescent="0.35">
      <c r="T97" s="10"/>
      <c r="U97" s="10"/>
    </row>
    <row r="98" spans="20:21" x14ac:dyDescent="0.35">
      <c r="T98" s="10"/>
      <c r="U98" s="10"/>
    </row>
    <row r="99" spans="20:21" x14ac:dyDescent="0.35">
      <c r="T99" s="10"/>
      <c r="U99" s="10"/>
    </row>
    <row r="100" spans="20:21" x14ac:dyDescent="0.35">
      <c r="T100" s="10"/>
      <c r="U100" s="10"/>
    </row>
  </sheetData>
  <mergeCells count="51">
    <mergeCell ref="D73:F73"/>
    <mergeCell ref="D74:F74"/>
    <mergeCell ref="B70:I70"/>
    <mergeCell ref="B71:C71"/>
    <mergeCell ref="B72:C72"/>
    <mergeCell ref="G72:I72"/>
    <mergeCell ref="B26:P26"/>
    <mergeCell ref="B37:P37"/>
    <mergeCell ref="D38:I38"/>
    <mergeCell ref="K38:P38"/>
    <mergeCell ref="J66:Q66"/>
    <mergeCell ref="B66:I66"/>
    <mergeCell ref="D52:G52"/>
    <mergeCell ref="I52:L52"/>
    <mergeCell ref="B51:L51"/>
    <mergeCell ref="K27:P27"/>
    <mergeCell ref="D27:I27"/>
    <mergeCell ref="B63:C63"/>
    <mergeCell ref="B62:C62"/>
    <mergeCell ref="B76:I76"/>
    <mergeCell ref="B67:C67"/>
    <mergeCell ref="B68:C68"/>
    <mergeCell ref="D67:I67"/>
    <mergeCell ref="B74:C74"/>
    <mergeCell ref="B75:C75"/>
    <mergeCell ref="D68:I68"/>
    <mergeCell ref="D69:I69"/>
    <mergeCell ref="D75:I75"/>
    <mergeCell ref="D71:F71"/>
    <mergeCell ref="G71:I71"/>
    <mergeCell ref="B69:C69"/>
    <mergeCell ref="B73:C73"/>
    <mergeCell ref="G73:I73"/>
    <mergeCell ref="G74:I74"/>
    <mergeCell ref="D72:F72"/>
    <mergeCell ref="Q2:Y2"/>
    <mergeCell ref="K3:P3"/>
    <mergeCell ref="B2:P2"/>
    <mergeCell ref="K16:P16"/>
    <mergeCell ref="B64:C64"/>
    <mergeCell ref="B15:P15"/>
    <mergeCell ref="D16:I16"/>
    <mergeCell ref="D60:H60"/>
    <mergeCell ref="D61:H61"/>
    <mergeCell ref="D62:H62"/>
    <mergeCell ref="D63:H63"/>
    <mergeCell ref="D64:H64"/>
    <mergeCell ref="I60:P60"/>
    <mergeCell ref="D3:I3"/>
    <mergeCell ref="B61:C61"/>
    <mergeCell ref="B60:C60"/>
  </mergeCells>
  <phoneticPr fontId="0" type="noConversion"/>
  <conditionalFormatting sqref="B5:B12">
    <cfRule type="dataBar" priority="226">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23">
    <cfRule type="dataBar" priority="197">
      <dataBar>
        <cfvo type="min"/>
        <cfvo type="max"/>
        <color rgb="FF638EC6"/>
      </dataBar>
      <extLst>
        <ext xmlns:x14="http://schemas.microsoft.com/office/spreadsheetml/2009/9/main" uri="{B025F937-C7B1-47D3-B67F-A62EFF666E3E}">
          <x14:id>{070902CC-8EB6-43DB-B9AD-5811F17D394B}</x14:id>
        </ext>
      </extLst>
    </cfRule>
  </conditionalFormatting>
  <conditionalFormatting sqref="B29:B34">
    <cfRule type="dataBar" priority="158">
      <dataBar>
        <cfvo type="min"/>
        <cfvo type="max"/>
        <color rgb="FF638EC6"/>
      </dataBar>
      <extLst>
        <ext xmlns:x14="http://schemas.microsoft.com/office/spreadsheetml/2009/9/main" uri="{B025F937-C7B1-47D3-B67F-A62EFF666E3E}">
          <x14:id>{972919B0-73B8-48BF-8BB6-887C0A9FF5F3}</x14:id>
        </ext>
      </extLst>
    </cfRule>
  </conditionalFormatting>
  <conditionalFormatting sqref="B40:B48">
    <cfRule type="dataBar" priority="126">
      <dataBar>
        <cfvo type="min"/>
        <cfvo type="max"/>
        <color rgb="FF638EC6"/>
      </dataBar>
      <extLst>
        <ext xmlns:x14="http://schemas.microsoft.com/office/spreadsheetml/2009/9/main" uri="{B025F937-C7B1-47D3-B67F-A62EFF666E3E}">
          <x14:id>{863A9C89-1C6A-4F7F-9FC6-52FE7865C11C}</x14:id>
        </ext>
      </extLst>
    </cfRule>
  </conditionalFormatting>
  <conditionalFormatting sqref="B54:B55">
    <cfRule type="dataBar" priority="279">
      <dataBar>
        <cfvo type="min"/>
        <cfvo type="max"/>
        <color rgb="FF638EC6"/>
      </dataBar>
      <extLst>
        <ext xmlns:x14="http://schemas.microsoft.com/office/spreadsheetml/2009/9/main" uri="{B025F937-C7B1-47D3-B67F-A62EFF666E3E}">
          <x14:id>{E7C842DE-076E-4616-9BFA-8B86D90743D2}</x14:id>
        </ext>
      </extLst>
    </cfRule>
  </conditionalFormatting>
  <conditionalFormatting sqref="D5:D12">
    <cfRule type="dataBar" priority="209">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8:D23">
    <cfRule type="dataBar" priority="167">
      <dataBar>
        <cfvo type="min"/>
        <cfvo type="max"/>
        <color rgb="FF63C384"/>
      </dataBar>
      <extLst>
        <ext xmlns:x14="http://schemas.microsoft.com/office/spreadsheetml/2009/9/main" uri="{B025F937-C7B1-47D3-B67F-A62EFF666E3E}">
          <x14:id>{3F107DCC-63A1-497B-B919-528218A545C1}</x14:id>
        </ext>
      </extLst>
    </cfRule>
  </conditionalFormatting>
  <conditionalFormatting sqref="D29:D34">
    <cfRule type="dataBar" priority="135">
      <dataBar>
        <cfvo type="min"/>
        <cfvo type="max"/>
        <color rgb="FF63C384"/>
      </dataBar>
      <extLst>
        <ext xmlns:x14="http://schemas.microsoft.com/office/spreadsheetml/2009/9/main" uri="{B025F937-C7B1-47D3-B67F-A62EFF666E3E}">
          <x14:id>{384B1865-D0D4-4329-8EB2-17A34DF02C01}</x14:id>
        </ext>
      </extLst>
    </cfRule>
  </conditionalFormatting>
  <conditionalFormatting sqref="D40 D43 D46">
    <cfRule type="dataBar" priority="103">
      <dataBar>
        <cfvo type="min"/>
        <cfvo type="max"/>
        <color rgb="FF63C384"/>
      </dataBar>
      <extLst>
        <ext xmlns:x14="http://schemas.microsoft.com/office/spreadsheetml/2009/9/main" uri="{B025F937-C7B1-47D3-B67F-A62EFF666E3E}">
          <x14:id>{B4B99515-9754-4AC2-9B30-0480725103EF}</x14:id>
        </ext>
      </extLst>
    </cfRule>
  </conditionalFormatting>
  <conditionalFormatting sqref="D54:D55">
    <cfRule type="dataBar" priority="271">
      <dataBar>
        <cfvo type="min"/>
        <cfvo type="max"/>
        <color rgb="FF63C384"/>
      </dataBar>
      <extLst>
        <ext xmlns:x14="http://schemas.microsoft.com/office/spreadsheetml/2009/9/main" uri="{B025F937-C7B1-47D3-B67F-A62EFF666E3E}">
          <x14:id>{441F7801-B4D1-4328-8D7E-D3AEBB68D51B}</x14:id>
        </ext>
      </extLst>
    </cfRule>
  </conditionalFormatting>
  <conditionalFormatting sqref="D54:G55">
    <cfRule type="dataBar" priority="272">
      <dataBar>
        <cfvo type="min"/>
        <cfvo type="max"/>
        <color rgb="FF63C384"/>
      </dataBar>
      <extLst>
        <ext xmlns:x14="http://schemas.microsoft.com/office/spreadsheetml/2009/9/main" uri="{B025F937-C7B1-47D3-B67F-A62EFF666E3E}">
          <x14:id>{2B08F4D1-349C-4A16-B061-0D8787A90E07}</x14:id>
        </ext>
      </extLst>
    </cfRule>
  </conditionalFormatting>
  <conditionalFormatting sqref="D5:I10">
    <cfRule type="dataBar" priority="183">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8:I23">
    <cfRule type="dataBar" priority="161">
      <dataBar>
        <cfvo type="min"/>
        <cfvo type="max"/>
        <color rgb="FF63C384"/>
      </dataBar>
      <extLst>
        <ext xmlns:x14="http://schemas.microsoft.com/office/spreadsheetml/2009/9/main" uri="{B025F937-C7B1-47D3-B67F-A62EFF666E3E}">
          <x14:id>{5BBC426E-7FA9-4F5C-AC78-B3996BA8F931}</x14:id>
        </ext>
      </extLst>
    </cfRule>
  </conditionalFormatting>
  <conditionalFormatting sqref="D29:I34">
    <cfRule type="dataBar" priority="129">
      <dataBar>
        <cfvo type="min"/>
        <cfvo type="max"/>
        <color rgb="FF63C384"/>
      </dataBar>
      <extLst>
        <ext xmlns:x14="http://schemas.microsoft.com/office/spreadsheetml/2009/9/main" uri="{B025F937-C7B1-47D3-B67F-A62EFF666E3E}">
          <x14:id>{613A7C61-CDDD-44E3-B519-D298E6417E21}</x14:id>
        </ext>
      </extLst>
    </cfRule>
  </conditionalFormatting>
  <conditionalFormatting sqref="D40:I40 D43:I43 D46:I46">
    <cfRule type="dataBar" priority="97">
      <dataBar>
        <cfvo type="min"/>
        <cfvo type="max"/>
        <color rgb="FF63C384"/>
      </dataBar>
      <extLst>
        <ext xmlns:x14="http://schemas.microsoft.com/office/spreadsheetml/2009/9/main" uri="{B025F937-C7B1-47D3-B67F-A62EFF666E3E}">
          <x14:id>{94CA0B8C-F449-45AA-AC7D-D5E2E17D88BF}</x14:id>
        </ext>
      </extLst>
    </cfRule>
  </conditionalFormatting>
  <conditionalFormatting sqref="E5:E12">
    <cfRule type="dataBar" priority="208">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8:E23">
    <cfRule type="dataBar" priority="166">
      <dataBar>
        <cfvo type="min"/>
        <cfvo type="max"/>
        <color rgb="FF63C384"/>
      </dataBar>
      <extLst>
        <ext xmlns:x14="http://schemas.microsoft.com/office/spreadsheetml/2009/9/main" uri="{B025F937-C7B1-47D3-B67F-A62EFF666E3E}">
          <x14:id>{5AA7A103-2149-42E1-9BBB-48A01258D43D}</x14:id>
        </ext>
      </extLst>
    </cfRule>
  </conditionalFormatting>
  <conditionalFormatting sqref="E29:E34">
    <cfRule type="dataBar" priority="134">
      <dataBar>
        <cfvo type="min"/>
        <cfvo type="max"/>
        <color rgb="FF63C384"/>
      </dataBar>
      <extLst>
        <ext xmlns:x14="http://schemas.microsoft.com/office/spreadsheetml/2009/9/main" uri="{B025F937-C7B1-47D3-B67F-A62EFF666E3E}">
          <x14:id>{0B530FA8-547C-44E3-8DA5-7740827A0F0F}</x14:id>
        </ext>
      </extLst>
    </cfRule>
  </conditionalFormatting>
  <conditionalFormatting sqref="E40 E43 E46">
    <cfRule type="dataBar" priority="102">
      <dataBar>
        <cfvo type="min"/>
        <cfvo type="max"/>
        <color rgb="FF63C384"/>
      </dataBar>
      <extLst>
        <ext xmlns:x14="http://schemas.microsoft.com/office/spreadsheetml/2009/9/main" uri="{B025F937-C7B1-47D3-B67F-A62EFF666E3E}">
          <x14:id>{13ACEEE8-B899-4683-A01A-F72B7ABD3FC6}</x14:id>
        </ext>
      </extLst>
    </cfRule>
  </conditionalFormatting>
  <conditionalFormatting sqref="E54:E55">
    <cfRule type="dataBar" priority="273">
      <dataBar>
        <cfvo type="min"/>
        <cfvo type="max"/>
        <color rgb="FF63C384"/>
      </dataBar>
      <extLst>
        <ext xmlns:x14="http://schemas.microsoft.com/office/spreadsheetml/2009/9/main" uri="{B025F937-C7B1-47D3-B67F-A62EFF666E3E}">
          <x14:id>{1968FF61-A6BE-4D47-9AB5-F25CB6910901}</x14:id>
        </ext>
      </extLst>
    </cfRule>
  </conditionalFormatting>
  <conditionalFormatting sqref="F5:F12">
    <cfRule type="dataBar" priority="207">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8:F23">
    <cfRule type="dataBar" priority="165">
      <dataBar>
        <cfvo type="min"/>
        <cfvo type="max"/>
        <color rgb="FF63C384"/>
      </dataBar>
      <extLst>
        <ext xmlns:x14="http://schemas.microsoft.com/office/spreadsheetml/2009/9/main" uri="{B025F937-C7B1-47D3-B67F-A62EFF666E3E}">
          <x14:id>{5EE1521A-2483-44CA-9CCA-E5FC63E6246F}</x14:id>
        </ext>
      </extLst>
    </cfRule>
  </conditionalFormatting>
  <conditionalFormatting sqref="F29:F34">
    <cfRule type="dataBar" priority="133">
      <dataBar>
        <cfvo type="min"/>
        <cfvo type="max"/>
        <color rgb="FF63C384"/>
      </dataBar>
      <extLst>
        <ext xmlns:x14="http://schemas.microsoft.com/office/spreadsheetml/2009/9/main" uri="{B025F937-C7B1-47D3-B67F-A62EFF666E3E}">
          <x14:id>{4371DC2C-3C52-4D7D-8A63-0448257D7225}</x14:id>
        </ext>
      </extLst>
    </cfRule>
  </conditionalFormatting>
  <conditionalFormatting sqref="F40 F43 F46">
    <cfRule type="dataBar" priority="101">
      <dataBar>
        <cfvo type="min"/>
        <cfvo type="max"/>
        <color rgb="FF63C384"/>
      </dataBar>
      <extLst>
        <ext xmlns:x14="http://schemas.microsoft.com/office/spreadsheetml/2009/9/main" uri="{B025F937-C7B1-47D3-B67F-A62EFF666E3E}">
          <x14:id>{22511D4E-44F5-4EEE-9287-252308F5A2AB}</x14:id>
        </ext>
      </extLst>
    </cfRule>
  </conditionalFormatting>
  <conditionalFormatting sqref="F54:F55">
    <cfRule type="dataBar" priority="274">
      <dataBar>
        <cfvo type="min"/>
        <cfvo type="max"/>
        <color rgb="FF63C384"/>
      </dataBar>
      <extLst>
        <ext xmlns:x14="http://schemas.microsoft.com/office/spreadsheetml/2009/9/main" uri="{B025F937-C7B1-47D3-B67F-A62EFF666E3E}">
          <x14:id>{C9FBE745-CA11-400A-9B25-06C1D1A4B428}</x14:id>
        </ext>
      </extLst>
    </cfRule>
  </conditionalFormatting>
  <conditionalFormatting sqref="G5:G12">
    <cfRule type="dataBar" priority="206">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8:G23">
    <cfRule type="dataBar" priority="164">
      <dataBar>
        <cfvo type="min"/>
        <cfvo type="max"/>
        <color rgb="FF63C384"/>
      </dataBar>
      <extLst>
        <ext xmlns:x14="http://schemas.microsoft.com/office/spreadsheetml/2009/9/main" uri="{B025F937-C7B1-47D3-B67F-A62EFF666E3E}">
          <x14:id>{00DC50B7-1706-4DFB-A90F-9F95CB19CA6D}</x14:id>
        </ext>
      </extLst>
    </cfRule>
  </conditionalFormatting>
  <conditionalFormatting sqref="G29:G34">
    <cfRule type="dataBar" priority="132">
      <dataBar>
        <cfvo type="min"/>
        <cfvo type="max"/>
        <color rgb="FF63C384"/>
      </dataBar>
      <extLst>
        <ext xmlns:x14="http://schemas.microsoft.com/office/spreadsheetml/2009/9/main" uri="{B025F937-C7B1-47D3-B67F-A62EFF666E3E}">
          <x14:id>{29CB7842-1D71-4F33-935E-D0BA58F697AE}</x14:id>
        </ext>
      </extLst>
    </cfRule>
  </conditionalFormatting>
  <conditionalFormatting sqref="G40 G43 G46">
    <cfRule type="dataBar" priority="100">
      <dataBar>
        <cfvo type="min"/>
        <cfvo type="max"/>
        <color rgb="FF63C384"/>
      </dataBar>
      <extLst>
        <ext xmlns:x14="http://schemas.microsoft.com/office/spreadsheetml/2009/9/main" uri="{B025F937-C7B1-47D3-B67F-A62EFF666E3E}">
          <x14:id>{E34B0EB6-AD9B-405F-9313-6D51E4556017}</x14:id>
        </ext>
      </extLst>
    </cfRule>
  </conditionalFormatting>
  <conditionalFormatting sqref="G54:G55">
    <cfRule type="dataBar" priority="275">
      <dataBar>
        <cfvo type="min"/>
        <cfvo type="max"/>
        <color rgb="FF63C384"/>
      </dataBar>
      <extLst>
        <ext xmlns:x14="http://schemas.microsoft.com/office/spreadsheetml/2009/9/main" uri="{B025F937-C7B1-47D3-B67F-A62EFF666E3E}">
          <x14:id>{95FCF058-2B02-41A3-B199-87CEF819F55F}</x14:id>
        </ext>
      </extLst>
    </cfRule>
  </conditionalFormatting>
  <conditionalFormatting sqref="H5:H12">
    <cfRule type="dataBar" priority="205">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8:H23">
    <cfRule type="dataBar" priority="163">
      <dataBar>
        <cfvo type="min"/>
        <cfvo type="max"/>
        <color rgb="FF63C384"/>
      </dataBar>
      <extLst>
        <ext xmlns:x14="http://schemas.microsoft.com/office/spreadsheetml/2009/9/main" uri="{B025F937-C7B1-47D3-B67F-A62EFF666E3E}">
          <x14:id>{EED505F4-1AE5-4E85-A25F-1DAC1EADC97D}</x14:id>
        </ext>
      </extLst>
    </cfRule>
  </conditionalFormatting>
  <conditionalFormatting sqref="H29:H34">
    <cfRule type="dataBar" priority="131">
      <dataBar>
        <cfvo type="min"/>
        <cfvo type="max"/>
        <color rgb="FF63C384"/>
      </dataBar>
      <extLst>
        <ext xmlns:x14="http://schemas.microsoft.com/office/spreadsheetml/2009/9/main" uri="{B025F937-C7B1-47D3-B67F-A62EFF666E3E}">
          <x14:id>{39950A1C-21CD-4603-AB74-E08B46E94FB9}</x14:id>
        </ext>
      </extLst>
    </cfRule>
  </conditionalFormatting>
  <conditionalFormatting sqref="H40 H43 H46">
    <cfRule type="dataBar" priority="99">
      <dataBar>
        <cfvo type="min"/>
        <cfvo type="max"/>
        <color rgb="FF63C384"/>
      </dataBar>
      <extLst>
        <ext xmlns:x14="http://schemas.microsoft.com/office/spreadsheetml/2009/9/main" uri="{B025F937-C7B1-47D3-B67F-A62EFF666E3E}">
          <x14:id>{98F2E17C-BC42-47C7-8A01-2F398E1031A7}</x14:id>
        </ext>
      </extLst>
    </cfRule>
  </conditionalFormatting>
  <conditionalFormatting sqref="I5:I12">
    <cfRule type="dataBar" priority="204">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8:I23">
    <cfRule type="dataBar" priority="162">
      <dataBar>
        <cfvo type="min"/>
        <cfvo type="max"/>
        <color rgb="FF63C384"/>
      </dataBar>
      <extLst>
        <ext xmlns:x14="http://schemas.microsoft.com/office/spreadsheetml/2009/9/main" uri="{B025F937-C7B1-47D3-B67F-A62EFF666E3E}">
          <x14:id>{A192D211-7CF8-4DE2-A7D7-7E84CEAE76AC}</x14:id>
        </ext>
      </extLst>
    </cfRule>
  </conditionalFormatting>
  <conditionalFormatting sqref="I29:I34">
    <cfRule type="dataBar" priority="130">
      <dataBar>
        <cfvo type="min"/>
        <cfvo type="max"/>
        <color rgb="FF63C384"/>
      </dataBar>
      <extLst>
        <ext xmlns:x14="http://schemas.microsoft.com/office/spreadsheetml/2009/9/main" uri="{B025F937-C7B1-47D3-B67F-A62EFF666E3E}">
          <x14:id>{DAD18344-5C52-4FC2-B48A-3E1E66A9DE34}</x14:id>
        </ext>
      </extLst>
    </cfRule>
  </conditionalFormatting>
  <conditionalFormatting sqref="I40 I43 I46">
    <cfRule type="dataBar" priority="98">
      <dataBar>
        <cfvo type="min"/>
        <cfvo type="max"/>
        <color rgb="FF63C384"/>
      </dataBar>
      <extLst>
        <ext xmlns:x14="http://schemas.microsoft.com/office/spreadsheetml/2009/9/main" uri="{B025F937-C7B1-47D3-B67F-A62EFF666E3E}">
          <x14:id>{DFC14C5A-1101-4E2F-8DA9-5D5D695D51E1}</x14:id>
        </ext>
      </extLst>
    </cfRule>
  </conditionalFormatting>
  <conditionalFormatting sqref="I54:I55">
    <cfRule type="dataBar" priority="280">
      <dataBar>
        <cfvo type="min"/>
        <cfvo type="max"/>
        <color rgb="FF63C384"/>
      </dataBar>
      <extLst>
        <ext xmlns:x14="http://schemas.microsoft.com/office/spreadsheetml/2009/9/main" uri="{B025F937-C7B1-47D3-B67F-A62EFF666E3E}">
          <x14:id>{A7AA75C6-74FF-49F7-B822-E7AB391C1AC3}</x14:id>
        </ext>
      </extLst>
    </cfRule>
  </conditionalFormatting>
  <conditionalFormatting sqref="I54:L55">
    <cfRule type="dataBar" priority="293">
      <dataBar>
        <cfvo type="min"/>
        <cfvo type="max"/>
        <color rgb="FF63C384"/>
      </dataBar>
      <extLst>
        <ext xmlns:x14="http://schemas.microsoft.com/office/spreadsheetml/2009/9/main" uri="{B025F937-C7B1-47D3-B67F-A62EFF666E3E}">
          <x14:id>{D9A1A0A0-AB96-481A-94B7-BB26CE5B3F1F}</x14:id>
        </ext>
      </extLst>
    </cfRule>
    <cfRule type="dataBar" priority="295">
      <dataBar>
        <cfvo type="min"/>
        <cfvo type="max"/>
        <color rgb="FF63C384"/>
      </dataBar>
      <extLst>
        <ext xmlns:x14="http://schemas.microsoft.com/office/spreadsheetml/2009/9/main" uri="{B025F937-C7B1-47D3-B67F-A62EFF666E3E}">
          <x14:id>{A7368CA4-7A69-4BAF-85E9-14C43D4CE0D8}</x14:id>
        </ext>
      </extLst>
    </cfRule>
    <cfRule type="dataBar" priority="296">
      <dataBar>
        <cfvo type="min"/>
        <cfvo type="max"/>
        <color rgb="FF63C384"/>
      </dataBar>
      <extLst>
        <ext xmlns:x14="http://schemas.microsoft.com/office/spreadsheetml/2009/9/main" uri="{B025F937-C7B1-47D3-B67F-A62EFF666E3E}">
          <x14:id>{D0FFE44D-FA66-46A3-B128-6583F3610D3F}</x14:id>
        </ext>
      </extLst>
    </cfRule>
    <cfRule type="dataBar" priority="299">
      <dataBar>
        <cfvo type="min"/>
        <cfvo type="max"/>
        <color rgb="FF63C384"/>
      </dataBar>
      <extLst>
        <ext xmlns:x14="http://schemas.microsoft.com/office/spreadsheetml/2009/9/main" uri="{B025F937-C7B1-47D3-B67F-A62EFF666E3E}">
          <x14:id>{7AC5821E-B227-419A-B4C6-27F9889FBA38}</x14:id>
        </ext>
      </extLst>
    </cfRule>
    <cfRule type="dataBar" priority="300">
      <dataBar>
        <cfvo type="min"/>
        <cfvo type="max"/>
        <color rgb="FF63C384"/>
      </dataBar>
      <extLst>
        <ext xmlns:x14="http://schemas.microsoft.com/office/spreadsheetml/2009/9/main" uri="{B025F937-C7B1-47D3-B67F-A62EFF666E3E}">
          <x14:id>{A07FBE4A-D174-4BA7-8455-B72B59A85AC4}</x14:id>
        </ext>
      </extLst>
    </cfRule>
    <cfRule type="dataBar" priority="301">
      <dataBar>
        <cfvo type="min"/>
        <cfvo type="max"/>
        <color rgb="FF63C384"/>
      </dataBar>
      <extLst>
        <ext xmlns:x14="http://schemas.microsoft.com/office/spreadsheetml/2009/9/main" uri="{B025F937-C7B1-47D3-B67F-A62EFF666E3E}">
          <x14:id>{7DC284CC-AA85-4547-A334-19EA5A7BE45D}</x14:id>
        </ext>
      </extLst>
    </cfRule>
    <cfRule type="dataBar" priority="302">
      <dataBar>
        <cfvo type="min"/>
        <cfvo type="max"/>
        <color rgb="FF63C384"/>
      </dataBar>
      <extLst>
        <ext xmlns:x14="http://schemas.microsoft.com/office/spreadsheetml/2009/9/main" uri="{B025F937-C7B1-47D3-B67F-A62EFF666E3E}">
          <x14:id>{4F82DA98-62C8-4FB0-8500-E489587C7ACA}</x14:id>
        </ext>
      </extLst>
    </cfRule>
    <cfRule type="dataBar" priority="307">
      <dataBar>
        <cfvo type="min"/>
        <cfvo type="max"/>
        <color rgb="FF63C384"/>
      </dataBar>
      <extLst>
        <ext xmlns:x14="http://schemas.microsoft.com/office/spreadsheetml/2009/9/main" uri="{B025F937-C7B1-47D3-B67F-A62EFF666E3E}">
          <x14:id>{E7F37615-0AE4-4A4A-B912-19D9BD83911C}</x14:id>
        </ext>
      </extLst>
    </cfRule>
  </conditionalFormatting>
  <conditionalFormatting sqref="J54:J55">
    <cfRule type="dataBar" priority="289">
      <dataBar>
        <cfvo type="min"/>
        <cfvo type="max"/>
        <color rgb="FF63C384"/>
      </dataBar>
      <extLst>
        <ext xmlns:x14="http://schemas.microsoft.com/office/spreadsheetml/2009/9/main" uri="{B025F937-C7B1-47D3-B67F-A62EFF666E3E}">
          <x14:id>{6542EFEB-8CDE-4FB2-A461-DB1D732127CD}</x14:id>
        </ext>
      </extLst>
    </cfRule>
  </conditionalFormatting>
  <conditionalFormatting sqref="K5:K12">
    <cfRule type="dataBar" priority="216">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8:K19">
    <cfRule type="dataBar" priority="27">
      <dataBar>
        <cfvo type="min"/>
        <cfvo type="max"/>
        <color rgb="FF63C384"/>
      </dataBar>
      <extLst>
        <ext xmlns:x14="http://schemas.microsoft.com/office/spreadsheetml/2009/9/main" uri="{B025F937-C7B1-47D3-B67F-A62EFF666E3E}">
          <x14:id>{EC97311F-6E0C-4340-B88C-6BD9D0ACE38B}</x14:id>
        </ext>
      </extLst>
    </cfRule>
  </conditionalFormatting>
  <conditionalFormatting sqref="K20:K22">
    <cfRule type="dataBar" priority="174">
      <dataBar>
        <cfvo type="min"/>
        <cfvo type="max"/>
        <color rgb="FF63C384"/>
      </dataBar>
      <extLst>
        <ext xmlns:x14="http://schemas.microsoft.com/office/spreadsheetml/2009/9/main" uri="{B025F937-C7B1-47D3-B67F-A62EFF666E3E}">
          <x14:id>{60785AC6-7D44-400D-A2D8-9BBBDC5C548B}</x14:id>
        </ext>
      </extLst>
    </cfRule>
  </conditionalFormatting>
  <conditionalFormatting sqref="K29:K30">
    <cfRule type="dataBar" priority="22">
      <dataBar>
        <cfvo type="min"/>
        <cfvo type="max"/>
        <color rgb="FF63C384"/>
      </dataBar>
      <extLst>
        <ext xmlns:x14="http://schemas.microsoft.com/office/spreadsheetml/2009/9/main" uri="{B025F937-C7B1-47D3-B67F-A62EFF666E3E}">
          <x14:id>{5D585EFD-089A-4086-A2BD-E05CCBA9AD02}</x14:id>
        </ext>
      </extLst>
    </cfRule>
  </conditionalFormatting>
  <conditionalFormatting sqref="K31:K33">
    <cfRule type="dataBar" priority="142">
      <dataBar>
        <cfvo type="min"/>
        <cfvo type="max"/>
        <color rgb="FF63C384"/>
      </dataBar>
      <extLst>
        <ext xmlns:x14="http://schemas.microsoft.com/office/spreadsheetml/2009/9/main" uri="{B025F937-C7B1-47D3-B67F-A62EFF666E3E}">
          <x14:id>{1CEBAC69-F354-4AC6-A8A0-1CD58EF83787}</x14:id>
        </ext>
      </extLst>
    </cfRule>
  </conditionalFormatting>
  <conditionalFormatting sqref="K55">
    <cfRule type="dataBar" priority="278">
      <dataBar>
        <cfvo type="min"/>
        <cfvo type="max"/>
        <color rgb="FF63C384"/>
      </dataBar>
      <extLst>
        <ext xmlns:x14="http://schemas.microsoft.com/office/spreadsheetml/2009/9/main" uri="{B025F937-C7B1-47D3-B67F-A62EFF666E3E}">
          <x14:id>{5635FBB0-E3A3-4778-9D45-A61B4DD4AABB}</x14:id>
        </ext>
      </extLst>
    </cfRule>
  </conditionalFormatting>
  <conditionalFormatting sqref="K20:O22">
    <cfRule type="dataBar" priority="194">
      <dataBar>
        <cfvo type="min"/>
        <cfvo type="max"/>
        <color rgb="FF63C384"/>
      </dataBar>
      <extLst>
        <ext xmlns:x14="http://schemas.microsoft.com/office/spreadsheetml/2009/9/main" uri="{B025F937-C7B1-47D3-B67F-A62EFF666E3E}">
          <x14:id>{BE9D279A-ADD8-46F4-B26E-577DEFFA037B}</x14:id>
        </ext>
      </extLst>
    </cfRule>
  </conditionalFormatting>
  <conditionalFormatting sqref="K20:O23">
    <cfRule type="dataBar" priority="186">
      <dataBar>
        <cfvo type="min"/>
        <cfvo type="max"/>
        <color rgb="FF63C384"/>
      </dataBar>
      <extLst>
        <ext xmlns:x14="http://schemas.microsoft.com/office/spreadsheetml/2009/9/main" uri="{B025F937-C7B1-47D3-B67F-A62EFF666E3E}">
          <x14:id>{CBC457F7-3DB8-46A0-988B-11CCF8FF31E5}</x14:id>
        </ext>
      </extLst>
    </cfRule>
    <cfRule type="dataBar" priority="222">
      <dataBar>
        <cfvo type="min"/>
        <cfvo type="max"/>
        <color rgb="FF63C384"/>
      </dataBar>
      <extLst>
        <ext xmlns:x14="http://schemas.microsoft.com/office/spreadsheetml/2009/9/main" uri="{B025F937-C7B1-47D3-B67F-A62EFF666E3E}">
          <x14:id>{589E11FE-E342-4D21-9EB3-CB0F15AE87A6}</x14:id>
        </ext>
      </extLst>
    </cfRule>
  </conditionalFormatting>
  <conditionalFormatting sqref="K31:O33">
    <cfRule type="dataBar" priority="157">
      <dataBar>
        <cfvo type="min"/>
        <cfvo type="max"/>
        <color rgb="FF63C384"/>
      </dataBar>
      <extLst>
        <ext xmlns:x14="http://schemas.microsoft.com/office/spreadsheetml/2009/9/main" uri="{B025F937-C7B1-47D3-B67F-A62EFF666E3E}">
          <x14:id>{4EAA6084-0907-4F67-8C66-09C7473F94C3}</x14:id>
        </ext>
      </extLst>
    </cfRule>
  </conditionalFormatting>
  <conditionalFormatting sqref="K31:O34">
    <cfRule type="dataBar" priority="151">
      <dataBar>
        <cfvo type="min"/>
        <cfvo type="max"/>
        <color rgb="FF63C384"/>
      </dataBar>
      <extLst>
        <ext xmlns:x14="http://schemas.microsoft.com/office/spreadsheetml/2009/9/main" uri="{B025F937-C7B1-47D3-B67F-A62EFF666E3E}">
          <x14:id>{9B3F5EF5-5A7D-42DD-943C-0A8D95D93CF2}</x14:id>
        </ext>
      </extLst>
    </cfRule>
    <cfRule type="dataBar" priority="160">
      <dataBar>
        <cfvo type="min"/>
        <cfvo type="max"/>
        <color rgb="FF63C384"/>
      </dataBar>
      <extLst>
        <ext xmlns:x14="http://schemas.microsoft.com/office/spreadsheetml/2009/9/main" uri="{B025F937-C7B1-47D3-B67F-A62EFF666E3E}">
          <x14:id>{4FD942A7-D02C-42A9-8EDE-25306AE28B27}</x14:id>
        </ext>
      </extLst>
    </cfRule>
  </conditionalFormatting>
  <conditionalFormatting sqref="K40:O40 N51 K43:O43 K46:O46">
    <cfRule type="dataBar" priority="1">
      <dataBar>
        <cfvo type="min"/>
        <cfvo type="max"/>
        <color rgb="FF63C384"/>
      </dataBar>
      <extLst>
        <ext xmlns:x14="http://schemas.microsoft.com/office/spreadsheetml/2009/9/main" uri="{B025F937-C7B1-47D3-B67F-A62EFF666E3E}">
          <x14:id>{D4D8325C-0B75-4BDD-A6D8-F52052243561}</x14:id>
        </ext>
      </extLst>
    </cfRule>
  </conditionalFormatting>
  <conditionalFormatting sqref="K5:P10">
    <cfRule type="dataBar" priority="189">
      <dataBar>
        <cfvo type="min"/>
        <cfvo type="max"/>
        <color rgb="FF63C384"/>
      </dataBar>
      <extLst>
        <ext xmlns:x14="http://schemas.microsoft.com/office/spreadsheetml/2009/9/main" uri="{B025F937-C7B1-47D3-B67F-A62EFF666E3E}">
          <x14:id>{1642E512-5328-4DB9-81F4-5A67EFFA2D7A}</x14:id>
        </ext>
      </extLst>
    </cfRule>
    <cfRule type="dataBar" priority="190">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8:P19">
    <cfRule type="dataBar" priority="23">
      <dataBar>
        <cfvo type="min"/>
        <cfvo type="max"/>
        <color rgb="FF63C384"/>
      </dataBar>
      <extLst>
        <ext xmlns:x14="http://schemas.microsoft.com/office/spreadsheetml/2009/9/main" uri="{B025F937-C7B1-47D3-B67F-A62EFF666E3E}">
          <x14:id>{89B86DF7-6C9A-4AED-95B3-17A10F17C75A}</x14:id>
        </ext>
      </extLst>
    </cfRule>
    <cfRule type="dataBar" priority="24">
      <dataBar>
        <cfvo type="min"/>
        <cfvo type="max"/>
        <color rgb="FF63C384"/>
      </dataBar>
      <extLst>
        <ext xmlns:x14="http://schemas.microsoft.com/office/spreadsheetml/2009/9/main" uri="{B025F937-C7B1-47D3-B67F-A62EFF666E3E}">
          <x14:id>{8F054359-96CF-41E5-93B9-D6AC8D539303}</x14:id>
        </ext>
      </extLst>
    </cfRule>
  </conditionalFormatting>
  <conditionalFormatting sqref="K20:P22">
    <cfRule type="dataBar" priority="168">
      <dataBar>
        <cfvo type="min"/>
        <cfvo type="max"/>
        <color rgb="FF63C384"/>
      </dataBar>
      <extLst>
        <ext xmlns:x14="http://schemas.microsoft.com/office/spreadsheetml/2009/9/main" uri="{B025F937-C7B1-47D3-B67F-A62EFF666E3E}">
          <x14:id>{A85696C3-3FD4-4347-BBC8-6CEF041D9BC2}</x14:id>
        </ext>
      </extLst>
    </cfRule>
    <cfRule type="dataBar" priority="185">
      <dataBar>
        <cfvo type="min"/>
        <cfvo type="max"/>
        <color rgb="FF63C384"/>
      </dataBar>
      <extLst>
        <ext xmlns:x14="http://schemas.microsoft.com/office/spreadsheetml/2009/9/main" uri="{B025F937-C7B1-47D3-B67F-A62EFF666E3E}">
          <x14:id>{4CBCF4A4-EFBB-41F0-984E-0C4EF2D8C81C}</x14:id>
        </ext>
      </extLst>
    </cfRule>
    <cfRule type="dataBar" priority="187">
      <dataBar>
        <cfvo type="min"/>
        <cfvo type="max"/>
        <color rgb="FF63C384"/>
      </dataBar>
      <extLst>
        <ext xmlns:x14="http://schemas.microsoft.com/office/spreadsheetml/2009/9/main" uri="{B025F937-C7B1-47D3-B67F-A62EFF666E3E}">
          <x14:id>{9095667E-69EE-4811-BEDE-AFA010708C3B}</x14:id>
        </ext>
      </extLst>
    </cfRule>
    <cfRule type="dataBar" priority="192">
      <dataBar>
        <cfvo type="min"/>
        <cfvo type="max"/>
        <color rgb="FF63C384"/>
      </dataBar>
      <extLst>
        <ext xmlns:x14="http://schemas.microsoft.com/office/spreadsheetml/2009/9/main" uri="{B025F937-C7B1-47D3-B67F-A62EFF666E3E}">
          <x14:id>{00030478-9DDE-4C48-B970-8BFEEA7887D7}</x14:id>
        </ext>
      </extLst>
    </cfRule>
  </conditionalFormatting>
  <conditionalFormatting sqref="K20:P23">
    <cfRule type="dataBar" priority="188">
      <dataBar>
        <cfvo type="min"/>
        <cfvo type="max"/>
        <color rgb="FF63C384"/>
      </dataBar>
      <extLst>
        <ext xmlns:x14="http://schemas.microsoft.com/office/spreadsheetml/2009/9/main" uri="{B025F937-C7B1-47D3-B67F-A62EFF666E3E}">
          <x14:id>{EC7F1560-4E75-4756-AE37-09B82982D1AB}</x14:id>
        </ext>
      </extLst>
    </cfRule>
  </conditionalFormatting>
  <conditionalFormatting sqref="K23:P23">
    <cfRule type="dataBar" priority="175">
      <dataBar>
        <cfvo type="min"/>
        <cfvo type="max"/>
        <color rgb="FF63C384"/>
      </dataBar>
      <extLst>
        <ext xmlns:x14="http://schemas.microsoft.com/office/spreadsheetml/2009/9/main" uri="{B025F937-C7B1-47D3-B67F-A62EFF666E3E}">
          <x14:id>{624EF9E9-FC69-4C57-8B92-4F6320D43BF6}</x14:id>
        </ext>
      </extLst>
    </cfRule>
    <cfRule type="dataBar" priority="184">
      <dataBar>
        <cfvo type="min"/>
        <cfvo type="max"/>
        <color rgb="FF63C384"/>
      </dataBar>
      <extLst>
        <ext xmlns:x14="http://schemas.microsoft.com/office/spreadsheetml/2009/9/main" uri="{B025F937-C7B1-47D3-B67F-A62EFF666E3E}">
          <x14:id>{1C8C07B2-BD7C-4727-B188-3301C366D456}</x14:id>
        </ext>
      </extLst>
    </cfRule>
    <cfRule type="dataBar" priority="191">
      <dataBar>
        <cfvo type="min"/>
        <cfvo type="max"/>
        <color rgb="FF63C384"/>
      </dataBar>
      <extLst>
        <ext xmlns:x14="http://schemas.microsoft.com/office/spreadsheetml/2009/9/main" uri="{B025F937-C7B1-47D3-B67F-A62EFF666E3E}">
          <x14:id>{904D660B-3592-4479-B026-ACD9350A3616}</x14:id>
        </ext>
      </extLst>
    </cfRule>
    <cfRule type="dataBar" priority="193">
      <dataBar>
        <cfvo type="min"/>
        <cfvo type="max"/>
        <color rgb="FF63C384"/>
      </dataBar>
      <extLst>
        <ext xmlns:x14="http://schemas.microsoft.com/office/spreadsheetml/2009/9/main" uri="{B025F937-C7B1-47D3-B67F-A62EFF666E3E}">
          <x14:id>{FE2287FA-B40E-40F5-8AA8-262EA0BD4636}</x14:id>
        </ext>
      </extLst>
    </cfRule>
  </conditionalFormatting>
  <conditionalFormatting sqref="K29:P30">
    <cfRule type="dataBar" priority="18">
      <dataBar>
        <cfvo type="min"/>
        <cfvo type="max"/>
        <color rgb="FF63C384"/>
      </dataBar>
      <extLst>
        <ext xmlns:x14="http://schemas.microsoft.com/office/spreadsheetml/2009/9/main" uri="{B025F937-C7B1-47D3-B67F-A62EFF666E3E}">
          <x14:id>{592B61BC-8CDC-4A52-BD05-57EF0C2FF62B}</x14:id>
        </ext>
      </extLst>
    </cfRule>
    <cfRule type="dataBar" priority="19">
      <dataBar>
        <cfvo type="min"/>
        <cfvo type="max"/>
        <color rgb="FF63C384"/>
      </dataBar>
      <extLst>
        <ext xmlns:x14="http://schemas.microsoft.com/office/spreadsheetml/2009/9/main" uri="{B025F937-C7B1-47D3-B67F-A62EFF666E3E}">
          <x14:id>{C30E8336-9ABF-4DBB-8924-951B09CA3FD7}</x14:id>
        </ext>
      </extLst>
    </cfRule>
  </conditionalFormatting>
  <conditionalFormatting sqref="K31:P33">
    <cfRule type="dataBar" priority="136">
      <dataBar>
        <cfvo type="min"/>
        <cfvo type="max"/>
        <color rgb="FF63C384"/>
      </dataBar>
      <extLst>
        <ext xmlns:x14="http://schemas.microsoft.com/office/spreadsheetml/2009/9/main" uri="{B025F937-C7B1-47D3-B67F-A62EFF666E3E}">
          <x14:id>{8F62C0C1-DA3F-40EA-ACF2-DC537363BB15}</x14:id>
        </ext>
      </extLst>
    </cfRule>
    <cfRule type="dataBar" priority="150">
      <dataBar>
        <cfvo type="min"/>
        <cfvo type="max"/>
        <color rgb="FF63C384"/>
      </dataBar>
      <extLst>
        <ext xmlns:x14="http://schemas.microsoft.com/office/spreadsheetml/2009/9/main" uri="{B025F937-C7B1-47D3-B67F-A62EFF666E3E}">
          <x14:id>{2FAF653C-4EB5-4A35-8CAC-083821E30235}</x14:id>
        </ext>
      </extLst>
    </cfRule>
    <cfRule type="dataBar" priority="152">
      <dataBar>
        <cfvo type="min"/>
        <cfvo type="max"/>
        <color rgb="FF63C384"/>
      </dataBar>
      <extLst>
        <ext xmlns:x14="http://schemas.microsoft.com/office/spreadsheetml/2009/9/main" uri="{B025F937-C7B1-47D3-B67F-A62EFF666E3E}">
          <x14:id>{B8275E2D-11E8-40F0-B981-E4CDDB439809}</x14:id>
        </ext>
      </extLst>
    </cfRule>
    <cfRule type="dataBar" priority="155">
      <dataBar>
        <cfvo type="min"/>
        <cfvo type="max"/>
        <color rgb="FF63C384"/>
      </dataBar>
      <extLst>
        <ext xmlns:x14="http://schemas.microsoft.com/office/spreadsheetml/2009/9/main" uri="{B025F937-C7B1-47D3-B67F-A62EFF666E3E}">
          <x14:id>{53F1A2C9-EE11-4155-87E9-0FD86F991BF7}</x14:id>
        </ext>
      </extLst>
    </cfRule>
  </conditionalFormatting>
  <conditionalFormatting sqref="K31:P34">
    <cfRule type="dataBar" priority="153">
      <dataBar>
        <cfvo type="min"/>
        <cfvo type="max"/>
        <color rgb="FF63C384"/>
      </dataBar>
      <extLst>
        <ext xmlns:x14="http://schemas.microsoft.com/office/spreadsheetml/2009/9/main" uri="{B025F937-C7B1-47D3-B67F-A62EFF666E3E}">
          <x14:id>{F757D283-F7FE-4768-A5E5-5C7C44A57321}</x14:id>
        </ext>
      </extLst>
    </cfRule>
  </conditionalFormatting>
  <conditionalFormatting sqref="K34:P34">
    <cfRule type="dataBar" priority="143">
      <dataBar>
        <cfvo type="min"/>
        <cfvo type="max"/>
        <color rgb="FF63C384"/>
      </dataBar>
      <extLst>
        <ext xmlns:x14="http://schemas.microsoft.com/office/spreadsheetml/2009/9/main" uri="{B025F937-C7B1-47D3-B67F-A62EFF666E3E}">
          <x14:id>{DA0ADC38-7473-4A34-9FC7-D46B9FF1E6A3}</x14:id>
        </ext>
      </extLst>
    </cfRule>
    <cfRule type="dataBar" priority="149">
      <dataBar>
        <cfvo type="min"/>
        <cfvo type="max"/>
        <color rgb="FF63C384"/>
      </dataBar>
      <extLst>
        <ext xmlns:x14="http://schemas.microsoft.com/office/spreadsheetml/2009/9/main" uri="{B025F937-C7B1-47D3-B67F-A62EFF666E3E}">
          <x14:id>{13C7EC77-605F-4594-9FF6-707904CE5750}</x14:id>
        </ext>
      </extLst>
    </cfRule>
    <cfRule type="dataBar" priority="154">
      <dataBar>
        <cfvo type="min"/>
        <cfvo type="max"/>
        <color rgb="FF63C384"/>
      </dataBar>
      <extLst>
        <ext xmlns:x14="http://schemas.microsoft.com/office/spreadsheetml/2009/9/main" uri="{B025F937-C7B1-47D3-B67F-A62EFF666E3E}">
          <x14:id>{4549F74F-B3BC-465F-81E9-D296A0F1B908}</x14:id>
        </ext>
      </extLst>
    </cfRule>
    <cfRule type="dataBar" priority="156">
      <dataBar>
        <cfvo type="min"/>
        <cfvo type="max"/>
        <color rgb="FF63C384"/>
      </dataBar>
      <extLst>
        <ext xmlns:x14="http://schemas.microsoft.com/office/spreadsheetml/2009/9/main" uri="{B025F937-C7B1-47D3-B67F-A62EFF666E3E}">
          <x14:id>{4ED44751-5A59-40A0-A793-D9803AC99A2E}</x14:id>
        </ext>
      </extLst>
    </cfRule>
  </conditionalFormatting>
  <conditionalFormatting sqref="L5:L12">
    <cfRule type="dataBar" priority="214">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19">
    <cfRule type="dataBar" priority="26">
      <dataBar>
        <cfvo type="min"/>
        <cfvo type="max"/>
        <color rgb="FF63C384"/>
      </dataBar>
      <extLst>
        <ext xmlns:x14="http://schemas.microsoft.com/office/spreadsheetml/2009/9/main" uri="{B025F937-C7B1-47D3-B67F-A62EFF666E3E}">
          <x14:id>{6919797E-DEF7-4127-BB01-B92C08C5AA0A}</x14:id>
        </ext>
      </extLst>
    </cfRule>
  </conditionalFormatting>
  <conditionalFormatting sqref="L20:L22">
    <cfRule type="dataBar" priority="173">
      <dataBar>
        <cfvo type="min"/>
        <cfvo type="max"/>
        <color rgb="FF63C384"/>
      </dataBar>
      <extLst>
        <ext xmlns:x14="http://schemas.microsoft.com/office/spreadsheetml/2009/9/main" uri="{B025F937-C7B1-47D3-B67F-A62EFF666E3E}">
          <x14:id>{4BEF7755-0998-42F9-BE2B-3DDE71DD6879}</x14:id>
        </ext>
      </extLst>
    </cfRule>
  </conditionalFormatting>
  <conditionalFormatting sqref="L29:L30">
    <cfRule type="dataBar" priority="21">
      <dataBar>
        <cfvo type="min"/>
        <cfvo type="max"/>
        <color rgb="FF63C384"/>
      </dataBar>
      <extLst>
        <ext xmlns:x14="http://schemas.microsoft.com/office/spreadsheetml/2009/9/main" uri="{B025F937-C7B1-47D3-B67F-A62EFF666E3E}">
          <x14:id>{99AC8856-3C4F-40D6-BAEB-B5B214D75654}</x14:id>
        </ext>
      </extLst>
    </cfRule>
  </conditionalFormatting>
  <conditionalFormatting sqref="L31:L33">
    <cfRule type="dataBar" priority="141">
      <dataBar>
        <cfvo type="min"/>
        <cfvo type="max"/>
        <color rgb="FF63C384"/>
      </dataBar>
      <extLst>
        <ext xmlns:x14="http://schemas.microsoft.com/office/spreadsheetml/2009/9/main" uri="{B025F937-C7B1-47D3-B67F-A62EFF666E3E}">
          <x14:id>{56E5DB6E-8365-4CE5-BFC7-6F1933AF7401}</x14:id>
        </ext>
      </extLst>
    </cfRule>
  </conditionalFormatting>
  <conditionalFormatting sqref="L54:L55">
    <cfRule type="dataBar" priority="290">
      <dataBar>
        <cfvo type="min"/>
        <cfvo type="max"/>
        <color rgb="FF63C384"/>
      </dataBar>
      <extLst>
        <ext xmlns:x14="http://schemas.microsoft.com/office/spreadsheetml/2009/9/main" uri="{B025F937-C7B1-47D3-B67F-A62EFF666E3E}">
          <x14:id>{ED3D33F5-0936-47B6-B390-A145FC9690B8}</x14:id>
        </ext>
      </extLst>
    </cfRule>
  </conditionalFormatting>
  <conditionalFormatting sqref="M11:M12">
    <cfRule type="dataBar" priority="213">
      <dataBar>
        <cfvo type="min"/>
        <cfvo type="max"/>
        <color rgb="FF63C384"/>
      </dataBar>
      <extLst>
        <ext xmlns:x14="http://schemas.microsoft.com/office/spreadsheetml/2009/9/main" uri="{B025F937-C7B1-47D3-B67F-A62EFF666E3E}">
          <x14:id>{CF921376-951B-44A1-A35C-F489AA25CABD}</x14:id>
        </ext>
      </extLst>
    </cfRule>
  </conditionalFormatting>
  <conditionalFormatting sqref="M20:M22">
    <cfRule type="dataBar" priority="172">
      <dataBar>
        <cfvo type="min"/>
        <cfvo type="max"/>
        <color rgb="FF63C384"/>
      </dataBar>
      <extLst>
        <ext xmlns:x14="http://schemas.microsoft.com/office/spreadsheetml/2009/9/main" uri="{B025F937-C7B1-47D3-B67F-A62EFF666E3E}">
          <x14:id>{56FDBD16-DDEB-4D7A-98AA-9D8D76CB1BBA}</x14:id>
        </ext>
      </extLst>
    </cfRule>
  </conditionalFormatting>
  <conditionalFormatting sqref="M31:M33">
    <cfRule type="dataBar" priority="140">
      <dataBar>
        <cfvo type="min"/>
        <cfvo type="max"/>
        <color rgb="FF63C384"/>
      </dataBar>
      <extLst>
        <ext xmlns:x14="http://schemas.microsoft.com/office/spreadsheetml/2009/9/main" uri="{B025F937-C7B1-47D3-B67F-A62EFF666E3E}">
          <x14:id>{A5B88093-B553-4E86-BAD5-B2B5782B83F9}</x14:id>
        </ext>
      </extLst>
    </cfRule>
  </conditionalFormatting>
  <conditionalFormatting sqref="M5:P10">
    <cfRule type="dataBar" priority="195">
      <dataBar>
        <cfvo type="min"/>
        <cfvo type="max"/>
        <color rgb="FF63C384"/>
      </dataBar>
      <extLst>
        <ext xmlns:x14="http://schemas.microsoft.com/office/spreadsheetml/2009/9/main" uri="{B025F937-C7B1-47D3-B67F-A62EFF666E3E}">
          <x14:id>{418255D3-2B96-41A9-9582-87939D7FAE81}</x14:id>
        </ext>
      </extLst>
    </cfRule>
  </conditionalFormatting>
  <conditionalFormatting sqref="M18:P19">
    <cfRule type="dataBar" priority="25">
      <dataBar>
        <cfvo type="min"/>
        <cfvo type="max"/>
        <color rgb="FF63C384"/>
      </dataBar>
      <extLst>
        <ext xmlns:x14="http://schemas.microsoft.com/office/spreadsheetml/2009/9/main" uri="{B025F937-C7B1-47D3-B67F-A62EFF666E3E}">
          <x14:id>{1FB56D18-8CA6-4132-A495-26ED6968F79D}</x14:id>
        </ext>
      </extLst>
    </cfRule>
  </conditionalFormatting>
  <conditionalFormatting sqref="M29:P30">
    <cfRule type="dataBar" priority="20">
      <dataBar>
        <cfvo type="min"/>
        <cfvo type="max"/>
        <color rgb="FF63C384"/>
      </dataBar>
      <extLst>
        <ext xmlns:x14="http://schemas.microsoft.com/office/spreadsheetml/2009/9/main" uri="{B025F937-C7B1-47D3-B67F-A62EFF666E3E}">
          <x14:id>{8E7189E3-6A44-4521-8C2D-05E753784D54}</x14:id>
        </ext>
      </extLst>
    </cfRule>
  </conditionalFormatting>
  <conditionalFormatting sqref="N11:N12">
    <cfRule type="dataBar" priority="212">
      <dataBar>
        <cfvo type="min"/>
        <cfvo type="max"/>
        <color rgb="FF63C384"/>
      </dataBar>
      <extLst>
        <ext xmlns:x14="http://schemas.microsoft.com/office/spreadsheetml/2009/9/main" uri="{B025F937-C7B1-47D3-B67F-A62EFF666E3E}">
          <x14:id>{13101FF6-2EA7-4030-B4D6-DA0DA1C2F6A6}</x14:id>
        </ext>
      </extLst>
    </cfRule>
  </conditionalFormatting>
  <conditionalFormatting sqref="N20:N22">
    <cfRule type="dataBar" priority="171">
      <dataBar>
        <cfvo type="min"/>
        <cfvo type="max"/>
        <color rgb="FF63C384"/>
      </dataBar>
      <extLst>
        <ext xmlns:x14="http://schemas.microsoft.com/office/spreadsheetml/2009/9/main" uri="{B025F937-C7B1-47D3-B67F-A62EFF666E3E}">
          <x14:id>{E359D2BF-B4C7-4D3A-9103-4CBEE70A31B4}</x14:id>
        </ext>
      </extLst>
    </cfRule>
  </conditionalFormatting>
  <conditionalFormatting sqref="N31:N33">
    <cfRule type="dataBar" priority="139">
      <dataBar>
        <cfvo type="min"/>
        <cfvo type="max"/>
        <color rgb="FF63C384"/>
      </dataBar>
      <extLst>
        <ext xmlns:x14="http://schemas.microsoft.com/office/spreadsheetml/2009/9/main" uri="{B025F937-C7B1-47D3-B67F-A62EFF666E3E}">
          <x14:id>{F1F1D1E2-F58D-4DA1-AAAF-5CACBBE9BA74}</x14:id>
        </ext>
      </extLst>
    </cfRule>
  </conditionalFormatting>
  <conditionalFormatting sqref="O11:O12">
    <cfRule type="dataBar" priority="21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20:O22">
    <cfRule type="dataBar" priority="170">
      <dataBar>
        <cfvo type="min"/>
        <cfvo type="max"/>
        <color rgb="FF63C384"/>
      </dataBar>
      <extLst>
        <ext xmlns:x14="http://schemas.microsoft.com/office/spreadsheetml/2009/9/main" uri="{B025F937-C7B1-47D3-B67F-A62EFF666E3E}">
          <x14:id>{26AC0999-7FF4-4431-B91F-7A7C0E85B670}</x14:id>
        </ext>
      </extLst>
    </cfRule>
  </conditionalFormatting>
  <conditionalFormatting sqref="O31:O33">
    <cfRule type="dataBar" priority="138">
      <dataBar>
        <cfvo type="min"/>
        <cfvo type="max"/>
        <color rgb="FF63C384"/>
      </dataBar>
      <extLst>
        <ext xmlns:x14="http://schemas.microsoft.com/office/spreadsheetml/2009/9/main" uri="{B025F937-C7B1-47D3-B67F-A62EFF666E3E}">
          <x14:id>{72051DBD-038B-4034-BE0F-124A82567B04}</x14:id>
        </ext>
      </extLst>
    </cfRule>
  </conditionalFormatting>
  <conditionalFormatting sqref="P11:P12">
    <cfRule type="dataBar" priority="210">
      <dataBar>
        <cfvo type="min"/>
        <cfvo type="max"/>
        <color rgb="FF63C384"/>
      </dataBar>
      <extLst>
        <ext xmlns:x14="http://schemas.microsoft.com/office/spreadsheetml/2009/9/main" uri="{B025F937-C7B1-47D3-B67F-A62EFF666E3E}">
          <x14:id>{BA11135A-0895-4A01-87D0-A486C9D5843C}</x14:id>
        </ext>
      </extLst>
    </cfRule>
  </conditionalFormatting>
  <conditionalFormatting sqref="P20:P22">
    <cfRule type="dataBar" priority="169">
      <dataBar>
        <cfvo type="min"/>
        <cfvo type="max"/>
        <color rgb="FF63C384"/>
      </dataBar>
      <extLst>
        <ext xmlns:x14="http://schemas.microsoft.com/office/spreadsheetml/2009/9/main" uri="{B025F937-C7B1-47D3-B67F-A62EFF666E3E}">
          <x14:id>{00154FAC-2C70-4EF2-A308-BA8404420986}</x14:id>
        </ext>
      </extLst>
    </cfRule>
  </conditionalFormatting>
  <conditionalFormatting sqref="P20:P23">
    <cfRule type="dataBar" priority="217">
      <dataBar>
        <cfvo type="min"/>
        <cfvo type="max"/>
        <color rgb="FF63C384"/>
      </dataBar>
      <extLst>
        <ext xmlns:x14="http://schemas.microsoft.com/office/spreadsheetml/2009/9/main" uri="{B025F937-C7B1-47D3-B67F-A62EFF666E3E}">
          <x14:id>{A1AE97AD-5647-4F9F-A100-6C15C1895B18}</x14:id>
        </ext>
      </extLst>
    </cfRule>
  </conditionalFormatting>
  <conditionalFormatting sqref="P23">
    <cfRule type="dataBar" priority="176">
      <dataBar>
        <cfvo type="min"/>
        <cfvo type="max"/>
        <color rgb="FF63C384"/>
      </dataBar>
      <extLst>
        <ext xmlns:x14="http://schemas.microsoft.com/office/spreadsheetml/2009/9/main" uri="{B025F937-C7B1-47D3-B67F-A62EFF666E3E}">
          <x14:id>{44059659-321E-4F16-A91E-71EB67462F51}</x14:id>
        </ext>
      </extLst>
    </cfRule>
    <cfRule type="dataBar" priority="177">
      <dataBar>
        <cfvo type="min"/>
        <cfvo type="max"/>
        <color rgb="FF63C384"/>
      </dataBar>
      <extLst>
        <ext xmlns:x14="http://schemas.microsoft.com/office/spreadsheetml/2009/9/main" uri="{B025F937-C7B1-47D3-B67F-A62EFF666E3E}">
          <x14:id>{657DE2C6-03A4-4EDE-99AD-798EB4DDA82C}</x14:id>
        </ext>
      </extLst>
    </cfRule>
    <cfRule type="dataBar" priority="178">
      <dataBar>
        <cfvo type="min"/>
        <cfvo type="max"/>
        <color rgb="FF63C384"/>
      </dataBar>
      <extLst>
        <ext xmlns:x14="http://schemas.microsoft.com/office/spreadsheetml/2009/9/main" uri="{B025F937-C7B1-47D3-B67F-A62EFF666E3E}">
          <x14:id>{ECB61C77-2C43-48F4-8A50-733EB85A1CEE}</x14:id>
        </ext>
      </extLst>
    </cfRule>
    <cfRule type="dataBar" priority="179">
      <dataBar>
        <cfvo type="min"/>
        <cfvo type="max"/>
        <color rgb="FF63C384"/>
      </dataBar>
      <extLst>
        <ext xmlns:x14="http://schemas.microsoft.com/office/spreadsheetml/2009/9/main" uri="{B025F937-C7B1-47D3-B67F-A62EFF666E3E}">
          <x14:id>{CA13E27F-6DDD-451D-9981-58C3F52DF064}</x14:id>
        </ext>
      </extLst>
    </cfRule>
    <cfRule type="dataBar" priority="180">
      <dataBar>
        <cfvo type="min"/>
        <cfvo type="max"/>
        <color rgb="FF63C384"/>
      </dataBar>
      <extLst>
        <ext xmlns:x14="http://schemas.microsoft.com/office/spreadsheetml/2009/9/main" uri="{B025F937-C7B1-47D3-B67F-A62EFF666E3E}">
          <x14:id>{E25FCA19-5187-42DE-ACC0-FA124C432602}</x14:id>
        </ext>
      </extLst>
    </cfRule>
  </conditionalFormatting>
  <conditionalFormatting sqref="P31:P33">
    <cfRule type="dataBar" priority="137">
      <dataBar>
        <cfvo type="min"/>
        <cfvo type="max"/>
        <color rgb="FF63C384"/>
      </dataBar>
      <extLst>
        <ext xmlns:x14="http://schemas.microsoft.com/office/spreadsheetml/2009/9/main" uri="{B025F937-C7B1-47D3-B67F-A62EFF666E3E}">
          <x14:id>{7C8CD9BC-5762-4589-9F02-B4BF0D638AB1}</x14:id>
        </ext>
      </extLst>
    </cfRule>
  </conditionalFormatting>
  <conditionalFormatting sqref="P31:P34">
    <cfRule type="dataBar" priority="159">
      <dataBar>
        <cfvo type="min"/>
        <cfvo type="max"/>
        <color rgb="FF63C384"/>
      </dataBar>
      <extLst>
        <ext xmlns:x14="http://schemas.microsoft.com/office/spreadsheetml/2009/9/main" uri="{B025F937-C7B1-47D3-B67F-A62EFF666E3E}">
          <x14:id>{6DFC1F85-F3C6-4A56-B9C9-34A6EDAF91A7}</x14:id>
        </ext>
      </extLst>
    </cfRule>
  </conditionalFormatting>
  <conditionalFormatting sqref="P34">
    <cfRule type="dataBar" priority="144">
      <dataBar>
        <cfvo type="min"/>
        <cfvo type="max"/>
        <color rgb="FF63C384"/>
      </dataBar>
      <extLst>
        <ext xmlns:x14="http://schemas.microsoft.com/office/spreadsheetml/2009/9/main" uri="{B025F937-C7B1-47D3-B67F-A62EFF666E3E}">
          <x14:id>{87EF0EE6-CB7F-4048-AA0D-6F5C8B95622F}</x14:id>
        </ext>
      </extLst>
    </cfRule>
    <cfRule type="dataBar" priority="145">
      <dataBar>
        <cfvo type="min"/>
        <cfvo type="max"/>
        <color rgb="FF63C384"/>
      </dataBar>
      <extLst>
        <ext xmlns:x14="http://schemas.microsoft.com/office/spreadsheetml/2009/9/main" uri="{B025F937-C7B1-47D3-B67F-A62EFF666E3E}">
          <x14:id>{8EC73540-44D3-4F83-9DB4-F733F140B032}</x14:id>
        </ext>
      </extLst>
    </cfRule>
    <cfRule type="dataBar" priority="146">
      <dataBar>
        <cfvo type="min"/>
        <cfvo type="max"/>
        <color rgb="FF63C384"/>
      </dataBar>
      <extLst>
        <ext xmlns:x14="http://schemas.microsoft.com/office/spreadsheetml/2009/9/main" uri="{B025F937-C7B1-47D3-B67F-A62EFF666E3E}">
          <x14:id>{42DFCED1-C07A-4E7F-BF15-E0C58754BB3E}</x14:id>
        </ext>
      </extLst>
    </cfRule>
    <cfRule type="dataBar" priority="147">
      <dataBar>
        <cfvo type="min"/>
        <cfvo type="max"/>
        <color rgb="FF63C384"/>
      </dataBar>
      <extLst>
        <ext xmlns:x14="http://schemas.microsoft.com/office/spreadsheetml/2009/9/main" uri="{B025F937-C7B1-47D3-B67F-A62EFF666E3E}">
          <x14:id>{69CB8F51-3362-47CD-8FEA-685999E236C8}</x14:id>
        </ext>
      </extLst>
    </cfRule>
    <cfRule type="dataBar" priority="148">
      <dataBar>
        <cfvo type="min"/>
        <cfvo type="max"/>
        <color rgb="FF63C384"/>
      </dataBar>
      <extLst>
        <ext xmlns:x14="http://schemas.microsoft.com/office/spreadsheetml/2009/9/main" uri="{B025F937-C7B1-47D3-B67F-A62EFF666E3E}">
          <x14:id>{58DC721E-4B15-4CE8-A0B6-AA5AB697CBBB}</x14:id>
        </ext>
      </extLst>
    </cfRule>
  </conditionalFormatting>
  <hyperlinks>
    <hyperlink ref="B73:C73" r:id="rId1" location="unit-sales" display="Battery EVs China" xr:uid="{854AD90B-0CF8-4E1E-A3BC-621552588DC6}"/>
    <hyperlink ref="B74:C74" r:id="rId2" display="Advanced Driver-Assintance System" xr:uid="{2F83F365-2D88-471D-8481-31E4B64625D5}"/>
    <hyperlink ref="B72:C72" r:id="rId3" display="Electric SUV" xr:uid="{1D1D1A7D-C741-4826-B9D8-010F33D23E9D}"/>
  </hyperlinks>
  <pageMargins left="0.75" right="0.75" top="1" bottom="1" header="0" footer="0"/>
  <pageSetup orientation="landscape" r:id="rId4"/>
  <headerFooter alignWithMargins="0"/>
  <drawing r:id="rId5"/>
  <legacyDrawing r:id="rId6"/>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B18:B23</xm:sqref>
        </x14:conditionalFormatting>
        <x14:conditionalFormatting xmlns:xm="http://schemas.microsoft.com/office/excel/2006/main">
          <x14:cfRule type="dataBar" id="{972919B0-73B8-48BF-8BB6-887C0A9FF5F3}">
            <x14:dataBar minLength="0" maxLength="100" border="1" negativeBarBorderColorSameAsPositive="0">
              <x14:cfvo type="autoMin"/>
              <x14:cfvo type="autoMax"/>
              <x14:borderColor rgb="FF638EC6"/>
              <x14:negativeFillColor rgb="FFFF0000"/>
              <x14:negativeBorderColor rgb="FFFF0000"/>
              <x14:axisColor rgb="FF000000"/>
            </x14:dataBar>
          </x14:cfRule>
          <xm:sqref>B29:B34</xm:sqref>
        </x14:conditionalFormatting>
        <x14:conditionalFormatting xmlns:xm="http://schemas.microsoft.com/office/excel/2006/main">
          <x14:cfRule type="dataBar" id="{863A9C89-1C6A-4F7F-9FC6-52FE7865C11C}">
            <x14:dataBar minLength="0" maxLength="100" border="1" negativeBarBorderColorSameAsPositive="0">
              <x14:cfvo type="autoMin"/>
              <x14:cfvo type="autoMax"/>
              <x14:borderColor rgb="FF638EC6"/>
              <x14:negativeFillColor rgb="FFFF0000"/>
              <x14:negativeBorderColor rgb="FFFF0000"/>
              <x14:axisColor rgb="FF000000"/>
            </x14:dataBar>
          </x14:cfRule>
          <xm:sqref>B40:B48</xm:sqref>
        </x14:conditionalFormatting>
        <x14:conditionalFormatting xmlns:xm="http://schemas.microsoft.com/office/excel/2006/main">
          <x14:cfRule type="dataBar" id="{E7C842DE-076E-4616-9BFA-8B86D90743D2}">
            <x14:dataBar minLength="0" maxLength="100" border="1" negativeBarBorderColorSameAsPositive="0">
              <x14:cfvo type="autoMin"/>
              <x14:cfvo type="autoMax"/>
              <x14:borderColor rgb="FF638EC6"/>
              <x14:negativeFillColor rgb="FFFF0000"/>
              <x14:negativeBorderColor rgb="FFFF0000"/>
              <x14:axisColor rgb="FF000000"/>
            </x14:dataBar>
          </x14:cfRule>
          <xm:sqref>B54:B55</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D5:D12</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D18:D23</xm:sqref>
        </x14:conditionalFormatting>
        <x14:conditionalFormatting xmlns:xm="http://schemas.microsoft.com/office/excel/2006/main">
          <x14:cfRule type="dataBar" id="{384B1865-D0D4-4329-8EB2-17A34DF02C01}">
            <x14:dataBar minLength="0" maxLength="100" gradient="0">
              <x14:cfvo type="autoMin"/>
              <x14:cfvo type="autoMax"/>
              <x14:negativeFillColor rgb="FFFF0000"/>
              <x14:axisColor rgb="FF000000"/>
            </x14:dataBar>
          </x14:cfRule>
          <xm:sqref>D29:D34</xm:sqref>
        </x14:conditionalFormatting>
        <x14:conditionalFormatting xmlns:xm="http://schemas.microsoft.com/office/excel/2006/main">
          <x14:cfRule type="dataBar" id="{B4B99515-9754-4AC2-9B30-0480725103EF}">
            <x14:dataBar minLength="0" maxLength="100" gradient="0">
              <x14:cfvo type="autoMin"/>
              <x14:cfvo type="autoMax"/>
              <x14:negativeFillColor rgb="FFFF0000"/>
              <x14:axisColor rgb="FF000000"/>
            </x14:dataBar>
          </x14:cfRule>
          <xm:sqref>D40 D43 D46</xm:sqref>
        </x14:conditionalFormatting>
        <x14:conditionalFormatting xmlns:xm="http://schemas.microsoft.com/office/excel/2006/main">
          <x14:cfRule type="dataBar" id="{441F7801-B4D1-4328-8D7E-D3AEBB68D51B}">
            <x14:dataBar minLength="0" maxLength="100" gradient="0">
              <x14:cfvo type="autoMin"/>
              <x14:cfvo type="autoMax"/>
              <x14:negativeFillColor rgb="FFFF0000"/>
              <x14:axisColor rgb="FF000000"/>
            </x14:dataBar>
          </x14:cfRule>
          <xm:sqref>D54:D55</xm:sqref>
        </x14:conditionalFormatting>
        <x14:conditionalFormatting xmlns:xm="http://schemas.microsoft.com/office/excel/2006/main">
          <x14:cfRule type="dataBar" id="{2B08F4D1-349C-4A16-B061-0D8787A90E07}">
            <x14:dataBar minLength="0" maxLength="100" gradient="0">
              <x14:cfvo type="autoMin"/>
              <x14:cfvo type="autoMax"/>
              <x14:negativeFillColor rgb="FFFF0000"/>
              <x14:axisColor rgb="FF000000"/>
            </x14:dataBar>
          </x14:cfRule>
          <xm:sqref>D54:G55</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D18:I23</xm:sqref>
        </x14:conditionalFormatting>
        <x14:conditionalFormatting xmlns:xm="http://schemas.microsoft.com/office/excel/2006/main">
          <x14:cfRule type="dataBar" id="{613A7C61-CDDD-44E3-B519-D298E6417E21}">
            <x14:dataBar minLength="0" maxLength="100" gradient="0">
              <x14:cfvo type="autoMin"/>
              <x14:cfvo type="autoMax"/>
              <x14:negativeFillColor rgb="FFFF0000"/>
              <x14:axisColor rgb="FF000000"/>
            </x14:dataBar>
          </x14:cfRule>
          <xm:sqref>D29:I34</xm:sqref>
        </x14:conditionalFormatting>
        <x14:conditionalFormatting xmlns:xm="http://schemas.microsoft.com/office/excel/2006/main">
          <x14:cfRule type="dataBar" id="{94CA0B8C-F449-45AA-AC7D-D5E2E17D88BF}">
            <x14:dataBar minLength="0" maxLength="100" gradient="0">
              <x14:cfvo type="autoMin"/>
              <x14:cfvo type="autoMax"/>
              <x14:negativeFillColor rgb="FFFF0000"/>
              <x14:axisColor rgb="FF000000"/>
            </x14:dataBar>
          </x14:cfRule>
          <xm:sqref>D40:I40 D43:I43 D46:I46</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E5:E12</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E18:E23</xm:sqref>
        </x14:conditionalFormatting>
        <x14:conditionalFormatting xmlns:xm="http://schemas.microsoft.com/office/excel/2006/main">
          <x14:cfRule type="dataBar" id="{0B530FA8-547C-44E3-8DA5-7740827A0F0F}">
            <x14:dataBar minLength="0" maxLength="100" gradient="0">
              <x14:cfvo type="autoMin"/>
              <x14:cfvo type="autoMax"/>
              <x14:negativeFillColor rgb="FFFF0000"/>
              <x14:axisColor rgb="FF000000"/>
            </x14:dataBar>
          </x14:cfRule>
          <xm:sqref>E29:E34</xm:sqref>
        </x14:conditionalFormatting>
        <x14:conditionalFormatting xmlns:xm="http://schemas.microsoft.com/office/excel/2006/main">
          <x14:cfRule type="dataBar" id="{13ACEEE8-B899-4683-A01A-F72B7ABD3FC6}">
            <x14:dataBar minLength="0" maxLength="100" gradient="0">
              <x14:cfvo type="autoMin"/>
              <x14:cfvo type="autoMax"/>
              <x14:negativeFillColor rgb="FFFF0000"/>
              <x14:axisColor rgb="FF000000"/>
            </x14:dataBar>
          </x14:cfRule>
          <xm:sqref>E40 E43 E46</xm:sqref>
        </x14:conditionalFormatting>
        <x14:conditionalFormatting xmlns:xm="http://schemas.microsoft.com/office/excel/2006/main">
          <x14:cfRule type="dataBar" id="{1968FF61-A6BE-4D47-9AB5-F25CB6910901}">
            <x14:dataBar minLength="0" maxLength="100" gradient="0">
              <x14:cfvo type="autoMin"/>
              <x14:cfvo type="autoMax"/>
              <x14:negativeFillColor rgb="FFFF0000"/>
              <x14:axisColor rgb="FF000000"/>
            </x14:dataBar>
          </x14:cfRule>
          <xm:sqref>E54:E55</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F5:F12</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F18:F23</xm:sqref>
        </x14:conditionalFormatting>
        <x14:conditionalFormatting xmlns:xm="http://schemas.microsoft.com/office/excel/2006/main">
          <x14:cfRule type="dataBar" id="{4371DC2C-3C52-4D7D-8A63-0448257D7225}">
            <x14:dataBar minLength="0" maxLength="100" gradient="0">
              <x14:cfvo type="autoMin"/>
              <x14:cfvo type="autoMax"/>
              <x14:negativeFillColor rgb="FFFF0000"/>
              <x14:axisColor rgb="FF000000"/>
            </x14:dataBar>
          </x14:cfRule>
          <xm:sqref>F29:F34</xm:sqref>
        </x14:conditionalFormatting>
        <x14:conditionalFormatting xmlns:xm="http://schemas.microsoft.com/office/excel/2006/main">
          <x14:cfRule type="dataBar" id="{22511D4E-44F5-4EEE-9287-252308F5A2AB}">
            <x14:dataBar minLength="0" maxLength="100" gradient="0">
              <x14:cfvo type="autoMin"/>
              <x14:cfvo type="autoMax"/>
              <x14:negativeFillColor rgb="FFFF0000"/>
              <x14:axisColor rgb="FF000000"/>
            </x14:dataBar>
          </x14:cfRule>
          <xm:sqref>F40 F43 F46</xm:sqref>
        </x14:conditionalFormatting>
        <x14:conditionalFormatting xmlns:xm="http://schemas.microsoft.com/office/excel/2006/main">
          <x14:cfRule type="dataBar" id="{C9FBE745-CA11-400A-9B25-06C1D1A4B428}">
            <x14:dataBar minLength="0" maxLength="100" gradient="0">
              <x14:cfvo type="autoMin"/>
              <x14:cfvo type="autoMax"/>
              <x14:negativeFillColor rgb="FFFF0000"/>
              <x14:axisColor rgb="FF000000"/>
            </x14:dataBar>
          </x14:cfRule>
          <xm:sqref>F54:F55</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G5:G12</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G18:G23</xm:sqref>
        </x14:conditionalFormatting>
        <x14:conditionalFormatting xmlns:xm="http://schemas.microsoft.com/office/excel/2006/main">
          <x14:cfRule type="dataBar" id="{29CB7842-1D71-4F33-935E-D0BA58F697AE}">
            <x14:dataBar minLength="0" maxLength="100" gradient="0">
              <x14:cfvo type="autoMin"/>
              <x14:cfvo type="autoMax"/>
              <x14:negativeFillColor rgb="FFFF0000"/>
              <x14:axisColor rgb="FF000000"/>
            </x14:dataBar>
          </x14:cfRule>
          <xm:sqref>G29:G34</xm:sqref>
        </x14:conditionalFormatting>
        <x14:conditionalFormatting xmlns:xm="http://schemas.microsoft.com/office/excel/2006/main">
          <x14:cfRule type="dataBar" id="{E34B0EB6-AD9B-405F-9313-6D51E4556017}">
            <x14:dataBar minLength="0" maxLength="100" gradient="0">
              <x14:cfvo type="autoMin"/>
              <x14:cfvo type="autoMax"/>
              <x14:negativeFillColor rgb="FFFF0000"/>
              <x14:axisColor rgb="FF000000"/>
            </x14:dataBar>
          </x14:cfRule>
          <xm:sqref>G40 G43 G46</xm:sqref>
        </x14:conditionalFormatting>
        <x14:conditionalFormatting xmlns:xm="http://schemas.microsoft.com/office/excel/2006/main">
          <x14:cfRule type="dataBar" id="{95FCF058-2B02-41A3-B199-87CEF819F55F}">
            <x14:dataBar minLength="0" maxLength="100" gradient="0">
              <x14:cfvo type="autoMin"/>
              <x14:cfvo type="autoMax"/>
              <x14:negativeFillColor rgb="FFFF0000"/>
              <x14:axisColor rgb="FF000000"/>
            </x14:dataBar>
          </x14:cfRule>
          <xm:sqref>G54:G55</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H5:H12</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H18:H23</xm:sqref>
        </x14:conditionalFormatting>
        <x14:conditionalFormatting xmlns:xm="http://schemas.microsoft.com/office/excel/2006/main">
          <x14:cfRule type="dataBar" id="{39950A1C-21CD-4603-AB74-E08B46E94FB9}">
            <x14:dataBar minLength="0" maxLength="100" gradient="0">
              <x14:cfvo type="autoMin"/>
              <x14:cfvo type="autoMax"/>
              <x14:negativeFillColor rgb="FFFF0000"/>
              <x14:axisColor rgb="FF000000"/>
            </x14:dataBar>
          </x14:cfRule>
          <xm:sqref>H29:H34</xm:sqref>
        </x14:conditionalFormatting>
        <x14:conditionalFormatting xmlns:xm="http://schemas.microsoft.com/office/excel/2006/main">
          <x14:cfRule type="dataBar" id="{98F2E17C-BC42-47C7-8A01-2F398E1031A7}">
            <x14:dataBar minLength="0" maxLength="100" gradient="0">
              <x14:cfvo type="autoMin"/>
              <x14:cfvo type="autoMax"/>
              <x14:negativeFillColor rgb="FFFF0000"/>
              <x14:axisColor rgb="FF000000"/>
            </x14:dataBar>
          </x14:cfRule>
          <xm:sqref>H40 H43 H46</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I5:I12</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I18:I23</xm:sqref>
        </x14:conditionalFormatting>
        <x14:conditionalFormatting xmlns:xm="http://schemas.microsoft.com/office/excel/2006/main">
          <x14:cfRule type="dataBar" id="{DAD18344-5C52-4FC2-B48A-3E1E66A9DE34}">
            <x14:dataBar minLength="0" maxLength="100" gradient="0">
              <x14:cfvo type="autoMin"/>
              <x14:cfvo type="autoMax"/>
              <x14:negativeFillColor rgb="FFFF0000"/>
              <x14:axisColor rgb="FF000000"/>
            </x14:dataBar>
          </x14:cfRule>
          <xm:sqref>I29:I34</xm:sqref>
        </x14:conditionalFormatting>
        <x14:conditionalFormatting xmlns:xm="http://schemas.microsoft.com/office/excel/2006/main">
          <x14:cfRule type="dataBar" id="{DFC14C5A-1101-4E2F-8DA9-5D5D695D51E1}">
            <x14:dataBar minLength="0" maxLength="100" gradient="0">
              <x14:cfvo type="autoMin"/>
              <x14:cfvo type="autoMax"/>
              <x14:negativeFillColor rgb="FFFF0000"/>
              <x14:axisColor rgb="FF000000"/>
            </x14:dataBar>
          </x14:cfRule>
          <xm:sqref>I40 I43 I46</xm:sqref>
        </x14:conditionalFormatting>
        <x14:conditionalFormatting xmlns:xm="http://schemas.microsoft.com/office/excel/2006/main">
          <x14:cfRule type="dataBar" id="{A7AA75C6-74FF-49F7-B822-E7AB391C1AC3}">
            <x14:dataBar minLength="0" maxLength="100" gradient="0">
              <x14:cfvo type="autoMin"/>
              <x14:cfvo type="autoMax"/>
              <x14:negativeFillColor rgb="FFFF0000"/>
              <x14:axisColor rgb="FF000000"/>
            </x14:dataBar>
          </x14:cfRule>
          <xm:sqref>I54:I55</xm:sqref>
        </x14:conditionalFormatting>
        <x14:conditionalFormatting xmlns:xm="http://schemas.microsoft.com/office/excel/2006/main">
          <x14:cfRule type="dataBar" id="{D9A1A0A0-AB96-481A-94B7-BB26CE5B3F1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7368CA4-7A69-4BAF-85E9-14C43D4CE0D8}">
            <x14:dataBar minLength="0" maxLength="100" gradient="0">
              <x14:cfvo type="autoMin"/>
              <x14:cfvo type="autoMax"/>
              <x14:negativeFillColor rgb="FFFF0000"/>
              <x14:axisColor rgb="FF000000"/>
            </x14:dataBar>
          </x14:cfRule>
          <x14:cfRule type="dataBar" id="{D0FFE44D-FA66-46A3-B128-6583F3610D3F}">
            <x14:dataBar minLength="0" maxLength="100" gradient="0">
              <x14:cfvo type="autoMin"/>
              <x14:cfvo type="autoMax"/>
              <x14:negativeFillColor rgb="FFFF0000"/>
              <x14:axisColor rgb="FF000000"/>
            </x14:dataBar>
          </x14:cfRule>
          <x14:cfRule type="dataBar" id="{7AC5821E-B227-419A-B4C6-27F9889FBA38}">
            <x14:dataBar minLength="0" maxLength="100" gradient="0">
              <x14:cfvo type="autoMin"/>
              <x14:cfvo type="autoMax"/>
              <x14:negativeFillColor rgb="FFFF0000"/>
              <x14:axisColor rgb="FF000000"/>
            </x14:dataBar>
          </x14:cfRule>
          <x14:cfRule type="dataBar" id="{A07FBE4A-D174-4BA7-8455-B72B59A85AC4}">
            <x14:dataBar minLength="0" maxLength="100" gradient="0">
              <x14:cfvo type="autoMin"/>
              <x14:cfvo type="autoMax"/>
              <x14:negativeFillColor rgb="FFFF0000"/>
              <x14:axisColor rgb="FF000000"/>
            </x14:dataBar>
          </x14:cfRule>
          <x14:cfRule type="dataBar" id="{7DC284CC-AA85-4547-A334-19EA5A7BE45D}">
            <x14:dataBar minLength="0" maxLength="100" gradient="0">
              <x14:cfvo type="autoMin"/>
              <x14:cfvo type="autoMax"/>
              <x14:negativeFillColor rgb="FFFF0000"/>
              <x14:axisColor rgb="FF000000"/>
            </x14:dataBar>
          </x14:cfRule>
          <x14:cfRule type="dataBar" id="{4F82DA98-62C8-4FB0-8500-E489587C7ACA}">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7F37615-0AE4-4A4A-B912-19D9BD83911C}">
            <x14:dataBar minLength="0" maxLength="100" gradient="0">
              <x14:cfvo type="autoMin"/>
              <x14:cfvo type="autoMax"/>
              <x14:negativeFillColor rgb="FFFF0000"/>
              <x14:axisColor rgb="FF000000"/>
            </x14:dataBar>
          </x14:cfRule>
          <xm:sqref>I54:L55</xm:sqref>
        </x14:conditionalFormatting>
        <x14:conditionalFormatting xmlns:xm="http://schemas.microsoft.com/office/excel/2006/main">
          <x14:cfRule type="dataBar" id="{6542EFEB-8CDE-4FB2-A461-DB1D732127CD}">
            <x14:dataBar minLength="0" maxLength="100" gradient="0">
              <x14:cfvo type="autoMin"/>
              <x14:cfvo type="autoMax"/>
              <x14:negativeFillColor rgb="FFFF0000"/>
              <x14:axisColor rgb="FF000000"/>
            </x14:dataBar>
          </x14:cfRule>
          <xm:sqref>J54:J55</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K5:K12</xm:sqref>
        </x14:conditionalFormatting>
        <x14:conditionalFormatting xmlns:xm="http://schemas.microsoft.com/office/excel/2006/main">
          <x14:cfRule type="dataBar" id="{EC97311F-6E0C-4340-B88C-6BD9D0ACE38B}">
            <x14:dataBar minLength="0" maxLength="100" gradient="0">
              <x14:cfvo type="autoMin"/>
              <x14:cfvo type="autoMax"/>
              <x14:negativeFillColor rgb="FFFF0000"/>
              <x14:axisColor rgb="FF000000"/>
            </x14:dataBar>
          </x14:cfRule>
          <xm:sqref>K18:K19</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K20:K22</xm:sqref>
        </x14:conditionalFormatting>
        <x14:conditionalFormatting xmlns:xm="http://schemas.microsoft.com/office/excel/2006/main">
          <x14:cfRule type="dataBar" id="{5D585EFD-089A-4086-A2BD-E05CCBA9AD02}">
            <x14:dataBar minLength="0" maxLength="100" gradient="0">
              <x14:cfvo type="autoMin"/>
              <x14:cfvo type="autoMax"/>
              <x14:negativeFillColor rgb="FFFF0000"/>
              <x14:axisColor rgb="FF000000"/>
            </x14:dataBar>
          </x14:cfRule>
          <xm:sqref>K29:K30</xm:sqref>
        </x14:conditionalFormatting>
        <x14:conditionalFormatting xmlns:xm="http://schemas.microsoft.com/office/excel/2006/main">
          <x14:cfRule type="dataBar" id="{1CEBAC69-F354-4AC6-A8A0-1CD58EF83787}">
            <x14:dataBar minLength="0" maxLength="100" gradient="0">
              <x14:cfvo type="autoMin"/>
              <x14:cfvo type="autoMax"/>
              <x14:negativeFillColor rgb="FFFF0000"/>
              <x14:axisColor rgb="FF000000"/>
            </x14:dataBar>
          </x14:cfRule>
          <xm:sqref>K31:K33</xm:sqref>
        </x14:conditionalFormatting>
        <x14:conditionalFormatting xmlns:xm="http://schemas.microsoft.com/office/excel/2006/main">
          <x14:cfRule type="dataBar" id="{5635FBB0-E3A3-4778-9D45-A61B4DD4AABB}">
            <x14:dataBar minLength="0" maxLength="100" gradient="0">
              <x14:cfvo type="autoMin"/>
              <x14:cfvo type="autoMax"/>
              <x14:negativeFillColor rgb="FFFF0000"/>
              <x14:axisColor rgb="FF000000"/>
            </x14:dataBar>
          </x14:cfRule>
          <xm:sqref>K55</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K20:O22</xm:sqref>
        </x14:conditionalFormatting>
        <x14:conditionalFormatting xmlns:xm="http://schemas.microsoft.com/office/excel/2006/main">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K20:O23</xm:sqref>
        </x14:conditionalFormatting>
        <x14:conditionalFormatting xmlns:xm="http://schemas.microsoft.com/office/excel/2006/main">
          <x14:cfRule type="dataBar" id="{4EAA6084-0907-4F67-8C66-09C7473F94C3}">
            <x14:dataBar minLength="0" maxLength="100" border="1" negativeBarBorderColorSameAsPositive="0">
              <x14:cfvo type="autoMin"/>
              <x14:cfvo type="autoMax"/>
              <x14:borderColor rgb="FF63C384"/>
              <x14:negativeFillColor rgb="FFFF0000"/>
              <x14:negativeBorderColor rgb="FFFF0000"/>
              <x14:axisColor rgb="FF000000"/>
            </x14:dataBar>
          </x14:cfRule>
          <xm:sqref>K31:O33</xm:sqref>
        </x14:conditionalFormatting>
        <x14:conditionalFormatting xmlns:xm="http://schemas.microsoft.com/office/excel/2006/main">
          <x14:cfRule type="dataBar" id="{9B3F5EF5-5A7D-42DD-943C-0A8D95D93CF2}">
            <x14:dataBar minLength="0" maxLength="100" gradient="0">
              <x14:cfvo type="autoMin"/>
              <x14:cfvo type="autoMax"/>
              <x14:negativeFillColor rgb="FFFF0000"/>
              <x14:axisColor rgb="FF000000"/>
            </x14:dataBar>
          </x14:cfRule>
          <x14:cfRule type="dataBar" id="{4FD942A7-D02C-42A9-8EDE-25306AE28B27}">
            <x14:dataBar minLength="0" maxLength="100" gradient="0">
              <x14:cfvo type="autoMin"/>
              <x14:cfvo type="autoMax"/>
              <x14:negativeFillColor rgb="FFFF0000"/>
              <x14:axisColor rgb="FF000000"/>
            </x14:dataBar>
          </x14:cfRule>
          <xm:sqref>K31:O34</xm:sqref>
        </x14:conditionalFormatting>
        <x14:conditionalFormatting xmlns:xm="http://schemas.microsoft.com/office/excel/2006/main">
          <x14:cfRule type="dataBar" id="{D4D8325C-0B75-4BDD-A6D8-F52052243561}">
            <x14:dataBar minLength="0" maxLength="100" gradient="0">
              <x14:cfvo type="autoMin"/>
              <x14:cfvo type="autoMax"/>
              <x14:negativeFillColor rgb="FFFF0000"/>
              <x14:axisColor rgb="FF000000"/>
            </x14:dataBar>
          </x14:cfRule>
          <xm:sqref>K40:O40 N51 K43:O43 K46:O46</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K5:P10</xm:sqref>
        </x14:conditionalFormatting>
        <x14:conditionalFormatting xmlns:xm="http://schemas.microsoft.com/office/excel/2006/main">
          <x14:cfRule type="dataBar" id="{89B86DF7-6C9A-4AED-95B3-17A10F17C75A}">
            <x14:dataBar minLength="0" maxLength="100" gradient="0">
              <x14:cfvo type="autoMin"/>
              <x14:cfvo type="autoMax"/>
              <x14:negativeFillColor rgb="FFFF0000"/>
              <x14:axisColor rgb="FF000000"/>
            </x14:dataBar>
          </x14:cfRule>
          <x14:cfRule type="dataBar" id="{8F054359-96CF-41E5-93B9-D6AC8D539303}">
            <x14:dataBar minLength="0" maxLength="100" border="1" negativeBarBorderColorSameAsPositive="0">
              <x14:cfvo type="autoMin"/>
              <x14:cfvo type="autoMax"/>
              <x14:borderColor rgb="FF63C384"/>
              <x14:negativeFillColor rgb="FFFF0000"/>
              <x14:negativeBorderColor rgb="FFFF0000"/>
              <x14:axisColor rgb="FF000000"/>
            </x14:dataBar>
          </x14:cfRule>
          <xm:sqref>K18:P19</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m:sqref>K20:P22</xm:sqref>
        </x14:conditionalFormatting>
        <x14:conditionalFormatting xmlns:xm="http://schemas.microsoft.com/office/excel/2006/main">
          <x14:cfRule type="dataBar" id="{EC7F1560-4E75-4756-AE37-09B82982D1AB}">
            <x14:dataBar minLength="0" maxLength="100" gradient="0">
              <x14:cfvo type="autoMin"/>
              <x14:cfvo type="autoMax"/>
              <x14:negativeFillColor rgb="FFFF0000"/>
              <x14:axisColor rgb="FF000000"/>
            </x14:dataBar>
          </x14:cfRule>
          <xm:sqref>K20:P23</xm:sqref>
        </x14:conditionalFormatting>
        <x14:conditionalFormatting xmlns:xm="http://schemas.microsoft.com/office/excel/2006/main">
          <x14:cfRule type="dataBar" id="{624EF9E9-FC69-4C57-8B92-4F6320D43BF6}">
            <x14:dataBar minLength="0" maxLength="100" gradient="0">
              <x14:cfvo type="autoMin"/>
              <x14:cfvo type="autoMax"/>
              <x14:negativeFillColor rgb="FFFF0000"/>
              <x14:axisColor rgb="FF000000"/>
            </x14:dataBar>
          </x14:cfRule>
          <x14:cfRule type="dataBar" id="{1C8C07B2-BD7C-4727-B188-3301C366D456}">
            <x14:dataBar minLength="0" maxLength="100" gradient="0">
              <x14:cfvo type="autoMin"/>
              <x14:cfvo type="autoMax"/>
              <x14:negativeFillColor rgb="FFFF0000"/>
              <x14:axisColor rgb="FF000000"/>
            </x14:dataBar>
          </x14:cfRule>
          <x14:cfRule type="dataBar" id="{904D660B-3592-4479-B026-ACD9350A361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E2287FA-B40E-40F5-8AA8-262EA0BD4636}">
            <x14:dataBar minLength="0" maxLength="100" border="1" negativeBarBorderColorSameAsPositive="0">
              <x14:cfvo type="autoMin"/>
              <x14:cfvo type="autoMax"/>
              <x14:borderColor rgb="FF63C384"/>
              <x14:negativeFillColor rgb="FFFF0000"/>
              <x14:negativeBorderColor rgb="FFFF0000"/>
              <x14:axisColor rgb="FF000000"/>
            </x14:dataBar>
          </x14:cfRule>
          <xm:sqref>K23:P23</xm:sqref>
        </x14:conditionalFormatting>
        <x14:conditionalFormatting xmlns:xm="http://schemas.microsoft.com/office/excel/2006/main">
          <x14:cfRule type="dataBar" id="{592B61BC-8CDC-4A52-BD05-57EF0C2FF62B}">
            <x14:dataBar minLength="0" maxLength="100" gradient="0">
              <x14:cfvo type="autoMin"/>
              <x14:cfvo type="autoMax"/>
              <x14:negativeFillColor rgb="FFFF0000"/>
              <x14:axisColor rgb="FF000000"/>
            </x14:dataBar>
          </x14:cfRule>
          <x14:cfRule type="dataBar" id="{C30E8336-9ABF-4DBB-8924-951B09CA3FD7}">
            <x14:dataBar minLength="0" maxLength="100" border="1" negativeBarBorderColorSameAsPositive="0">
              <x14:cfvo type="autoMin"/>
              <x14:cfvo type="autoMax"/>
              <x14:borderColor rgb="FF63C384"/>
              <x14:negativeFillColor rgb="FFFF0000"/>
              <x14:negativeBorderColor rgb="FFFF0000"/>
              <x14:axisColor rgb="FF000000"/>
            </x14:dataBar>
          </x14:cfRule>
          <xm:sqref>K29:P30</xm:sqref>
        </x14:conditionalFormatting>
        <x14:conditionalFormatting xmlns:xm="http://schemas.microsoft.com/office/excel/2006/main">
          <x14:cfRule type="dataBar" id="{8F62C0C1-DA3F-40EA-ACF2-DC537363BB15}">
            <x14:dataBar minLength="0" maxLength="100" gradient="0">
              <x14:cfvo type="autoMin"/>
              <x14:cfvo type="autoMax"/>
              <x14:negativeFillColor rgb="FFFF0000"/>
              <x14:axisColor rgb="FF000000"/>
            </x14:dataBar>
          </x14:cfRule>
          <x14:cfRule type="dataBar" id="{2FAF653C-4EB5-4A35-8CAC-083821E30235}">
            <x14:dataBar minLength="0" maxLength="100" gradient="0">
              <x14:cfvo type="autoMin"/>
              <x14:cfvo type="autoMax"/>
              <x14:negativeFillColor rgb="FFFF0000"/>
              <x14:axisColor rgb="FF000000"/>
            </x14:dataBar>
          </x14:cfRule>
          <x14:cfRule type="dataBar" id="{B8275E2D-11E8-40F0-B981-E4CDDB439809}">
            <x14:dataBar minLength="0" maxLength="100" gradient="0">
              <x14:cfvo type="autoMin"/>
              <x14:cfvo type="autoMax"/>
              <x14:negativeFillColor rgb="FFFF0000"/>
              <x14:axisColor rgb="FF000000"/>
            </x14:dataBar>
          </x14:cfRule>
          <x14:cfRule type="dataBar" id="{53F1A2C9-EE11-4155-87E9-0FD86F991BF7}">
            <x14:dataBar minLength="0" maxLength="100" border="1" negativeBarBorderColorSameAsPositive="0">
              <x14:cfvo type="autoMin"/>
              <x14:cfvo type="autoMax"/>
              <x14:borderColor rgb="FF63C384"/>
              <x14:negativeFillColor rgb="FFFF0000"/>
              <x14:negativeBorderColor rgb="FFFF0000"/>
              <x14:axisColor rgb="FF000000"/>
            </x14:dataBar>
          </x14:cfRule>
          <xm:sqref>K31:P33</xm:sqref>
        </x14:conditionalFormatting>
        <x14:conditionalFormatting xmlns:xm="http://schemas.microsoft.com/office/excel/2006/main">
          <x14:cfRule type="dataBar" id="{F757D283-F7FE-4768-A5E5-5C7C44A57321}">
            <x14:dataBar minLength="0" maxLength="100" gradient="0">
              <x14:cfvo type="autoMin"/>
              <x14:cfvo type="autoMax"/>
              <x14:negativeFillColor rgb="FFFF0000"/>
              <x14:axisColor rgb="FF000000"/>
            </x14:dataBar>
          </x14:cfRule>
          <xm:sqref>K31:P34</xm:sqref>
        </x14:conditionalFormatting>
        <x14:conditionalFormatting xmlns:xm="http://schemas.microsoft.com/office/excel/2006/main">
          <x14:cfRule type="dataBar" id="{DA0ADC38-7473-4A34-9FC7-D46B9FF1E6A3}">
            <x14:dataBar minLength="0" maxLength="100" gradient="0">
              <x14:cfvo type="autoMin"/>
              <x14:cfvo type="autoMax"/>
              <x14:negativeFillColor rgb="FFFF0000"/>
              <x14:axisColor rgb="FF000000"/>
            </x14:dataBar>
          </x14:cfRule>
          <x14:cfRule type="dataBar" id="{13C7EC77-605F-4594-9FF6-707904CE5750}">
            <x14:dataBar minLength="0" maxLength="100" gradient="0">
              <x14:cfvo type="autoMin"/>
              <x14:cfvo type="autoMax"/>
              <x14:negativeFillColor rgb="FFFF0000"/>
              <x14:axisColor rgb="FF000000"/>
            </x14:dataBar>
          </x14:cfRule>
          <x14:cfRule type="dataBar" id="{4549F74F-B3BC-465F-81E9-D296A0F1B90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4ED44751-5A59-40A0-A793-D9803AC99A2E}">
            <x14:dataBar minLength="0" maxLength="100" border="1" negativeBarBorderColorSameAsPositive="0">
              <x14:cfvo type="autoMin"/>
              <x14:cfvo type="autoMax"/>
              <x14:borderColor rgb="FF63C384"/>
              <x14:negativeFillColor rgb="FFFF0000"/>
              <x14:negativeBorderColor rgb="FFFF0000"/>
              <x14:axisColor rgb="FF000000"/>
            </x14:dataBar>
          </x14:cfRule>
          <xm:sqref>K34:P34</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L5:L12</xm:sqref>
        </x14:conditionalFormatting>
        <x14:conditionalFormatting xmlns:xm="http://schemas.microsoft.com/office/excel/2006/main">
          <x14:cfRule type="dataBar" id="{6919797E-DEF7-4127-BB01-B92C08C5AA0A}">
            <x14:dataBar minLength="0" maxLength="100" gradient="0">
              <x14:cfvo type="autoMin"/>
              <x14:cfvo type="autoMax"/>
              <x14:negativeFillColor rgb="FFFF0000"/>
              <x14:axisColor rgb="FF000000"/>
            </x14:dataBar>
          </x14:cfRule>
          <xm:sqref>L18:L19</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L20:L22</xm:sqref>
        </x14:conditionalFormatting>
        <x14:conditionalFormatting xmlns:xm="http://schemas.microsoft.com/office/excel/2006/main">
          <x14:cfRule type="dataBar" id="{99AC8856-3C4F-40D6-BAEB-B5B214D75654}">
            <x14:dataBar minLength="0" maxLength="100" gradient="0">
              <x14:cfvo type="autoMin"/>
              <x14:cfvo type="autoMax"/>
              <x14:negativeFillColor rgb="FFFF0000"/>
              <x14:axisColor rgb="FF000000"/>
            </x14:dataBar>
          </x14:cfRule>
          <xm:sqref>L29:L30</xm:sqref>
        </x14:conditionalFormatting>
        <x14:conditionalFormatting xmlns:xm="http://schemas.microsoft.com/office/excel/2006/main">
          <x14:cfRule type="dataBar" id="{56E5DB6E-8365-4CE5-BFC7-6F1933AF7401}">
            <x14:dataBar minLength="0" maxLength="100" gradient="0">
              <x14:cfvo type="autoMin"/>
              <x14:cfvo type="autoMax"/>
              <x14:negativeFillColor rgb="FFFF0000"/>
              <x14:axisColor rgb="FF000000"/>
            </x14:dataBar>
          </x14:cfRule>
          <xm:sqref>L31:L33</xm:sqref>
        </x14:conditionalFormatting>
        <x14:conditionalFormatting xmlns:xm="http://schemas.microsoft.com/office/excel/2006/main">
          <x14:cfRule type="dataBar" id="{ED3D33F5-0936-47B6-B390-A145FC9690B8}">
            <x14:dataBar minLength="0" maxLength="100" gradient="0">
              <x14:cfvo type="autoMin"/>
              <x14:cfvo type="autoMax"/>
              <x14:negativeFillColor rgb="FFFF0000"/>
              <x14:axisColor rgb="FF000000"/>
            </x14:dataBar>
          </x14:cfRule>
          <xm:sqref>L54:L55</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M20:M22</xm:sqref>
        </x14:conditionalFormatting>
        <x14:conditionalFormatting xmlns:xm="http://schemas.microsoft.com/office/excel/2006/main">
          <x14:cfRule type="dataBar" id="{A5B88093-B553-4E86-BAD5-B2B5782B83F9}">
            <x14:dataBar minLength="0" maxLength="100" gradient="0">
              <x14:cfvo type="autoMin"/>
              <x14:cfvo type="autoMax"/>
              <x14:negativeFillColor rgb="FFFF0000"/>
              <x14:axisColor rgb="FF000000"/>
            </x14:dataBar>
          </x14:cfRule>
          <xm:sqref>M31:M33</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M5:P10</xm:sqref>
        </x14:conditionalFormatting>
        <x14:conditionalFormatting xmlns:xm="http://schemas.microsoft.com/office/excel/2006/main">
          <x14:cfRule type="dataBar" id="{1FB56D18-8CA6-4132-A495-26ED6968F79D}">
            <x14:dataBar minLength="0" maxLength="100" gradient="0">
              <x14:cfvo type="autoMin"/>
              <x14:cfvo type="autoMax"/>
              <x14:negativeFillColor rgb="FFFF0000"/>
              <x14:axisColor rgb="FF000000"/>
            </x14:dataBar>
          </x14:cfRule>
          <xm:sqref>M18:P19</xm:sqref>
        </x14:conditionalFormatting>
        <x14:conditionalFormatting xmlns:xm="http://schemas.microsoft.com/office/excel/2006/main">
          <x14:cfRule type="dataBar" id="{8E7189E3-6A44-4521-8C2D-05E753784D54}">
            <x14:dataBar minLength="0" maxLength="100" gradient="0">
              <x14:cfvo type="autoMin"/>
              <x14:cfvo type="autoMax"/>
              <x14:negativeFillColor rgb="FFFF0000"/>
              <x14:axisColor rgb="FF000000"/>
            </x14:dataBar>
          </x14:cfRule>
          <xm:sqref>M29:P30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N20:N22</xm:sqref>
        </x14:conditionalFormatting>
        <x14:conditionalFormatting xmlns:xm="http://schemas.microsoft.com/office/excel/2006/main">
          <x14:cfRule type="dataBar" id="{F1F1D1E2-F58D-4DA1-AAAF-5CACBBE9BA74}">
            <x14:dataBar minLength="0" maxLength="100" gradient="0">
              <x14:cfvo type="autoMin"/>
              <x14:cfvo type="autoMax"/>
              <x14:negativeFillColor rgb="FFFF0000"/>
              <x14:axisColor rgb="FF000000"/>
            </x14:dataBar>
          </x14:cfRule>
          <xm:sqref>N31:N33</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O20:O22</xm:sqref>
        </x14:conditionalFormatting>
        <x14:conditionalFormatting xmlns:xm="http://schemas.microsoft.com/office/excel/2006/main">
          <x14:cfRule type="dataBar" id="{72051DBD-038B-4034-BE0F-124A82567B04}">
            <x14:dataBar minLength="0" maxLength="100" gradient="0">
              <x14:cfvo type="autoMin"/>
              <x14:cfvo type="autoMax"/>
              <x14:negativeFillColor rgb="FFFF0000"/>
              <x14:axisColor rgb="FF000000"/>
            </x14:dataBar>
          </x14:cfRule>
          <xm:sqref>O31:O33</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P11:P12</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P20:P22</xm:sqref>
        </x14:conditionalFormatting>
        <x14:conditionalFormatting xmlns:xm="http://schemas.microsoft.com/office/excel/2006/main">
          <x14:cfRule type="dataBar" id="{A1AE97AD-5647-4F9F-A100-6C15C1895B18}">
            <x14:dataBar minLength="0" maxLength="100" gradient="0">
              <x14:cfvo type="autoMin"/>
              <x14:cfvo type="autoMax"/>
              <x14:negativeFillColor rgb="FFFF0000"/>
              <x14:axisColor rgb="FF000000"/>
            </x14:dataBar>
          </x14:cfRule>
          <xm:sqref>P20:P23</xm:sqref>
        </x14:conditionalFormatting>
        <x14:conditionalFormatting xmlns:xm="http://schemas.microsoft.com/office/excel/2006/main">
          <x14:cfRule type="dataBar" id="{44059659-321E-4F16-A91E-71EB67462F51}">
            <x14:dataBar minLength="0" maxLength="100" gradient="0">
              <x14:cfvo type="autoMin"/>
              <x14:cfvo type="autoMax"/>
              <x14:negativeFillColor rgb="FFFF0000"/>
              <x14:axisColor rgb="FF000000"/>
            </x14:dataBar>
          </x14:cfRule>
          <x14:cfRule type="dataBar" id="{657DE2C6-03A4-4EDE-99AD-798EB4DDA82C}">
            <x14:dataBar minLength="0" maxLength="100" gradient="0">
              <x14:cfvo type="autoMin"/>
              <x14:cfvo type="autoMax"/>
              <x14:negativeFillColor rgb="FFFF0000"/>
              <x14:axisColor rgb="FF000000"/>
            </x14:dataBar>
          </x14:cfRule>
          <x14:cfRule type="dataBar" id="{ECB61C77-2C43-48F4-8A50-733EB85A1CEE}">
            <x14:dataBar minLength="0" maxLength="100" gradient="0">
              <x14:cfvo type="autoMin"/>
              <x14:cfvo type="autoMax"/>
              <x14:negativeFillColor rgb="FFFF0000"/>
              <x14:axisColor rgb="FF000000"/>
            </x14:dataBar>
          </x14:cfRule>
          <x14:cfRule type="dataBar" id="{CA13E27F-6DDD-451D-9981-58C3F52DF064}">
            <x14:dataBar minLength="0" maxLength="100" gradient="0">
              <x14:cfvo type="autoMin"/>
              <x14:cfvo type="autoMax"/>
              <x14:negativeFillColor rgb="FFFF0000"/>
              <x14:axisColor rgb="FF000000"/>
            </x14:dataBar>
          </x14:cfRule>
          <x14:cfRule type="dataBar" id="{E25FCA19-5187-42DE-ACC0-FA124C432602}">
            <x14:dataBar minLength="0" maxLength="100" border="1" negativeBarBorderColorSameAsPositive="0">
              <x14:cfvo type="autoMin"/>
              <x14:cfvo type="autoMax"/>
              <x14:borderColor rgb="FF63C384"/>
              <x14:negativeFillColor rgb="FFFF0000"/>
              <x14:negativeBorderColor rgb="FFFF0000"/>
              <x14:axisColor rgb="FF000000"/>
            </x14:dataBar>
          </x14:cfRule>
          <xm:sqref>P23</xm:sqref>
        </x14:conditionalFormatting>
        <x14:conditionalFormatting xmlns:xm="http://schemas.microsoft.com/office/excel/2006/main">
          <x14:cfRule type="dataBar" id="{7C8CD9BC-5762-4589-9F02-B4BF0D638AB1}">
            <x14:dataBar minLength="0" maxLength="100" gradient="0">
              <x14:cfvo type="autoMin"/>
              <x14:cfvo type="autoMax"/>
              <x14:negativeFillColor rgb="FFFF0000"/>
              <x14:axisColor rgb="FF000000"/>
            </x14:dataBar>
          </x14:cfRule>
          <xm:sqref>P31:P33</xm:sqref>
        </x14:conditionalFormatting>
        <x14:conditionalFormatting xmlns:xm="http://schemas.microsoft.com/office/excel/2006/main">
          <x14:cfRule type="dataBar" id="{6DFC1F85-F3C6-4A56-B9C9-34A6EDAF91A7}">
            <x14:dataBar minLength="0" maxLength="100" gradient="0">
              <x14:cfvo type="autoMin"/>
              <x14:cfvo type="autoMax"/>
              <x14:negativeFillColor rgb="FFFF0000"/>
              <x14:axisColor rgb="FF000000"/>
            </x14:dataBar>
          </x14:cfRule>
          <xm:sqref>P31:P34</xm:sqref>
        </x14:conditionalFormatting>
        <x14:conditionalFormatting xmlns:xm="http://schemas.microsoft.com/office/excel/2006/main">
          <x14:cfRule type="dataBar" id="{87EF0EE6-CB7F-4048-AA0D-6F5C8B95622F}">
            <x14:dataBar minLength="0" maxLength="100" gradient="0">
              <x14:cfvo type="autoMin"/>
              <x14:cfvo type="autoMax"/>
              <x14:negativeFillColor rgb="FFFF0000"/>
              <x14:axisColor rgb="FF000000"/>
            </x14:dataBar>
          </x14:cfRule>
          <x14:cfRule type="dataBar" id="{8EC73540-44D3-4F83-9DB4-F733F140B032}">
            <x14:dataBar minLength="0" maxLength="100" gradient="0">
              <x14:cfvo type="autoMin"/>
              <x14:cfvo type="autoMax"/>
              <x14:negativeFillColor rgb="FFFF0000"/>
              <x14:axisColor rgb="FF000000"/>
            </x14:dataBar>
          </x14:cfRule>
          <x14:cfRule type="dataBar" id="{42DFCED1-C07A-4E7F-BF15-E0C58754BB3E}">
            <x14:dataBar minLength="0" maxLength="100" gradient="0">
              <x14:cfvo type="autoMin"/>
              <x14:cfvo type="autoMax"/>
              <x14:negativeFillColor rgb="FFFF0000"/>
              <x14:axisColor rgb="FF000000"/>
            </x14:dataBar>
          </x14:cfRule>
          <x14:cfRule type="dataBar" id="{69CB8F51-3362-47CD-8FEA-685999E236C8}">
            <x14:dataBar minLength="0" maxLength="100" gradient="0">
              <x14:cfvo type="autoMin"/>
              <x14:cfvo type="autoMax"/>
              <x14:negativeFillColor rgb="FFFF0000"/>
              <x14:axisColor rgb="FF000000"/>
            </x14:dataBar>
          </x14:cfRule>
          <x14:cfRule type="dataBar" id="{58DC721E-4B15-4CE8-A0B6-AA5AB697CBBB}">
            <x14:dataBar minLength="0" maxLength="100" border="1" negativeBarBorderColorSameAsPositive="0">
              <x14:cfvo type="autoMin"/>
              <x14:cfvo type="autoMax"/>
              <x14:borderColor rgb="FF63C384"/>
              <x14:negativeFillColor rgb="FFFF0000"/>
              <x14:negativeBorderColor rgb="FFFF0000"/>
              <x14:axisColor rgb="FF000000"/>
            </x14:dataBar>
          </x14:cfRule>
          <xm:sqref>P34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N74"/>
  <sheetViews>
    <sheetView showGridLines="0" zoomScale="45" zoomScaleNormal="55" workbookViewId="0">
      <selection activeCell="F59" sqref="F59"/>
    </sheetView>
  </sheetViews>
  <sheetFormatPr defaultColWidth="11.3984375" defaultRowHeight="12.75" x14ac:dyDescent="0.35"/>
  <cols>
    <col min="1" max="1" width="0.3984375" customWidth="1"/>
    <col min="2" max="2" width="31.73046875" bestFit="1" customWidth="1"/>
    <col min="3" max="4" width="32.1328125" customWidth="1"/>
    <col min="5" max="5" width="33.3984375" customWidth="1"/>
    <col min="6" max="6" width="33.86328125" customWidth="1"/>
    <col min="7" max="7" width="32.1328125" customWidth="1"/>
    <col min="8" max="8" width="33.1328125" customWidth="1"/>
    <col min="9" max="9" width="15.3984375" customWidth="1"/>
    <col min="10" max="10" width="10.73046875" customWidth="1"/>
  </cols>
  <sheetData>
    <row r="1" spans="2:14" ht="13.9" x14ac:dyDescent="0.4">
      <c r="B1" s="195" t="s">
        <v>191</v>
      </c>
      <c r="C1" s="196" t="s">
        <v>192</v>
      </c>
      <c r="D1" s="1054" t="s">
        <v>156</v>
      </c>
      <c r="E1" s="1054"/>
      <c r="F1" s="1054"/>
      <c r="G1" s="1054"/>
      <c r="H1" s="1054"/>
    </row>
    <row r="2" spans="2:14" ht="81.75" customHeight="1" x14ac:dyDescent="0.35">
      <c r="B2" s="197"/>
      <c r="C2" s="384" t="e">
        <v>#VALUE!</v>
      </c>
      <c r="D2" s="1048" t="str" cm="2">
        <f t="array" aca="1" ref="D2" ca="1">_FV(C2,"Description")</f>
        <v>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v>
      </c>
      <c r="E2" s="1049"/>
      <c r="F2" s="1049"/>
      <c r="G2" s="1049"/>
      <c r="H2" s="1050"/>
    </row>
    <row r="3" spans="2:14" ht="81.75" customHeight="1" x14ac:dyDescent="0.35">
      <c r="B3" s="197"/>
      <c r="C3" s="385" t="e">
        <v>#VALUE!</v>
      </c>
      <c r="D3" s="1048" t="str" cm="2">
        <f t="array" aca="1" ref="D3" ca="1">_FV(C3,"Description")</f>
        <v>Geely Automobile Holdings Ltd is an investment holding company principally engaged in the production and sales of automobiles. The Company mainly develops, manufactures and sells automobiles, including cars, sport utility vehicles (SUVs), new energy and electrified vehicles. The Company's car types include home, travel and sports. The Company's new energy and electrified vehicles include electric vehicles, battery electric vehicles, hybrid electric vehicles, mild hybrid electric vehicles and plug-in hybrid electric vehicles. In addition, the Company produces and sells automobile parts, batteries and other automobile components. The Company also sells licenses for its intellectual property.</v>
      </c>
      <c r="E3" s="1049"/>
      <c r="F3" s="1049"/>
      <c r="G3" s="1049"/>
      <c r="H3" s="1050"/>
    </row>
    <row r="4" spans="2:14" ht="81.75" customHeight="1" x14ac:dyDescent="0.35">
      <c r="B4" s="197"/>
      <c r="C4" s="386" t="e">
        <v>#VALUE!</v>
      </c>
      <c r="D4" s="1051" t="str" cm="2">
        <f t="array" aca="1" ref="D4" ca="1">_FV(C4,"Description")</f>
        <v>BAIC Motor Corp Ltd is a China-based company principally engaged in the manufacture and sale of passenger cars, engines and auto parts. The Company operates through two business segments. The Fuel Vehicle segment produces and sells fuel vehicles, as well as provides other businesses and related services. The New Energy Vehicles segment produces and sells new energy vehicles, as well as provides other businesses and related services.</v>
      </c>
      <c r="E4" s="1052"/>
      <c r="F4" s="1052"/>
      <c r="G4" s="1052"/>
      <c r="H4" s="1053"/>
    </row>
    <row r="5" spans="2:14" ht="81.75" customHeight="1" x14ac:dyDescent="0.35">
      <c r="B5" s="197"/>
      <c r="C5" s="387" t="e">
        <v>#VALUE!</v>
      </c>
      <c r="D5" s="1048" t="str" cm="2">
        <f t="array" aca="1" ref="D5" ca="1">_FV(C5,"Description")</f>
        <v>Dongfeng Motor Group Co Ltd is a China-based company mainly engaged in automobile-related businesses. The company operates through four segments. The Commercial Vehicles segment mainly manufactures and sells of commercial vehicles, and its related engines and other automotive parts. The commercial vehicles include medium and heavy trucks, light trucks, pickup trucks and buses. The Passenger Vehicles segment mainly manufactures and sells of passenger vehicles, and its related engines and other automotive parts. The passenger cars include sedans, sports utility vehicles (SUVs) and multi-purpose vehicles (MPVs). The Financing Service segment mainly provides financial services. The Corporate and Others segment mainly manufactures and sells of other automobile related products.</v>
      </c>
      <c r="E5" s="1049"/>
      <c r="F5" s="1049"/>
      <c r="G5" s="1049"/>
      <c r="H5" s="1050"/>
    </row>
    <row r="6" spans="2:14" ht="81.75" customHeight="1" x14ac:dyDescent="0.35">
      <c r="B6" s="197"/>
      <c r="C6" s="388" t="e">
        <v>#VALUE!</v>
      </c>
      <c r="D6" s="1048" t="str" cm="2">
        <f t="array" aca="1" ref="D6" ca="1">_FV(C6,"Description")</f>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c>
      <c r="E6" s="1049"/>
      <c r="F6" s="1049"/>
      <c r="G6" s="1049"/>
      <c r="H6" s="1050"/>
      <c r="L6" s="2"/>
    </row>
    <row r="7" spans="2:14" ht="13.15" thickBot="1" x14ac:dyDescent="0.4">
      <c r="B7" s="10"/>
    </row>
    <row r="8" spans="2:14" ht="36" customHeight="1" thickBot="1" x14ac:dyDescent="0.45">
      <c r="B8" s="194" t="s">
        <v>193</v>
      </c>
      <c r="C8" s="378" t="e" vm="1">
        <f>OP!E2</f>
        <v>#VALUE!</v>
      </c>
      <c r="D8" s="379" t="e">
        <f>C2</f>
        <v>#VALUE!</v>
      </c>
      <c r="E8" s="380" t="e">
        <f>C3</f>
        <v>#VALUE!</v>
      </c>
      <c r="F8" s="381" t="e">
        <f>C4</f>
        <v>#VALUE!</v>
      </c>
      <c r="G8" s="648" t="e">
        <f>C5</f>
        <v>#VALUE!</v>
      </c>
      <c r="H8" s="383" t="e">
        <f>C6</f>
        <v>#VALUE!</v>
      </c>
      <c r="I8" s="190" t="s">
        <v>194</v>
      </c>
      <c r="J8" s="609" t="s">
        <v>195</v>
      </c>
    </row>
    <row r="9" spans="2:14" ht="16.5" customHeight="1" thickBot="1" x14ac:dyDescent="0.45">
      <c r="B9" s="188" t="s">
        <v>196</v>
      </c>
      <c r="C9" s="172"/>
      <c r="D9" s="173"/>
      <c r="E9" s="173"/>
      <c r="F9" s="173"/>
      <c r="G9" s="173"/>
      <c r="H9" s="174"/>
      <c r="I9" s="175" t="str">
        <f>IFERROR(AVERAGE(C9:H9),"")</f>
        <v/>
      </c>
      <c r="J9" s="584"/>
      <c r="L9" s="1058" t="s">
        <v>197</v>
      </c>
      <c r="M9" s="1059"/>
      <c r="N9" s="1060"/>
    </row>
    <row r="10" spans="2:14" ht="13.5" customHeight="1" thickBot="1" x14ac:dyDescent="0.4">
      <c r="B10" s="187" t="s">
        <v>198</v>
      </c>
      <c r="C10" s="170" cm="2">
        <f t="array" aca="1" ref="C10" ca="1">_FV(C8,"Market cap",TRUE)</f>
        <v>181725500000</v>
      </c>
      <c r="D10" s="170" cm="2">
        <f t="array" aca="1" ref="D10" ca="1">_FV(D8,"Market cap",TRUE)</f>
        <v>836322200000</v>
      </c>
      <c r="E10" s="170" cm="2">
        <f t="array" aca="1" ref="E10" ca="1">_FV(E8,"Market cap",TRUE)/1000000</f>
        <v>148914</v>
      </c>
      <c r="F10" s="170" cm="2">
        <f t="array" aca="1" ref="F10" ca="1">_FV(F8,"Market cap",TRUE)/1000000</f>
        <v>17633.740000000002</v>
      </c>
      <c r="G10" s="170" cm="2">
        <f t="array" aca="1" ref="G10" ca="1">_FV(G8,"Market cap",TRUE)/1000000</f>
        <v>25252.92</v>
      </c>
      <c r="H10" s="170" cm="2">
        <f t="array" aca="1" ref="H10" ca="1">_FV(H8,"Market cap",TRUE)/1000000</f>
        <v>112692.8</v>
      </c>
      <c r="I10" s="537">
        <f ca="1">IFERROR(AVERAGE(C10:H10),"")</f>
        <v>169674667415.57669</v>
      </c>
      <c r="J10" s="585">
        <f ca="1">SQRT((C10-I10)^2)</f>
        <v>12050832584.423309</v>
      </c>
      <c r="L10" s="1061"/>
      <c r="M10" s="1056" t="s">
        <v>199</v>
      </c>
      <c r="N10" s="1057"/>
    </row>
    <row r="11" spans="2:14" ht="13.5" thickBot="1" x14ac:dyDescent="0.4">
      <c r="B11" s="505" t="s">
        <v>200</v>
      </c>
      <c r="C11" s="506">
        <f>C56</f>
        <v>173212.07675797</v>
      </c>
      <c r="D11" s="506">
        <f t="shared" ref="D11:H11" si="0">D56</f>
        <v>602315.35400000005</v>
      </c>
      <c r="E11" s="506">
        <f t="shared" si="0"/>
        <v>0</v>
      </c>
      <c r="F11" s="506">
        <f t="shared" si="0"/>
        <v>0</v>
      </c>
      <c r="G11" s="506">
        <f t="shared" si="0"/>
        <v>0</v>
      </c>
      <c r="H11" s="506">
        <f t="shared" si="0"/>
        <v>0</v>
      </c>
      <c r="I11" s="538">
        <f t="shared" ref="I11:I40" si="1">IFERROR(AVERAGE(C11:H11),"")</f>
        <v>129254.57179299502</v>
      </c>
      <c r="J11" s="586">
        <f t="shared" ref="J11:J50" si="2">SQRT((C11-I11)^2)</f>
        <v>43957.504964974985</v>
      </c>
      <c r="L11" s="1061"/>
      <c r="M11" s="1056"/>
      <c r="N11" s="1057"/>
    </row>
    <row r="12" spans="2:14" ht="16.5" customHeight="1" thickBot="1" x14ac:dyDescent="0.4">
      <c r="B12" s="188" t="s">
        <v>201</v>
      </c>
      <c r="C12" s="193"/>
      <c r="D12" s="193"/>
      <c r="E12" s="193"/>
      <c r="F12" s="193"/>
      <c r="G12" s="193"/>
      <c r="H12" s="193"/>
      <c r="I12" s="539" t="str">
        <f t="shared" si="1"/>
        <v/>
      </c>
      <c r="J12" s="587"/>
      <c r="L12" s="1055"/>
      <c r="M12" s="1056" t="s">
        <v>202</v>
      </c>
      <c r="N12" s="1057"/>
    </row>
    <row r="13" spans="2:14" ht="13.5" thickBot="1" x14ac:dyDescent="0.4">
      <c r="B13" s="187" t="s">
        <v>203</v>
      </c>
      <c r="C13" s="516">
        <f>C56/C55-1</f>
        <v>0.26119189922125452</v>
      </c>
      <c r="D13" s="516">
        <f t="shared" ref="D13:H13" si="3">D56/D55-1</f>
        <v>0.42035195980876661</v>
      </c>
      <c r="E13" s="516" t="e">
        <f t="shared" si="3"/>
        <v>#DIV/0!</v>
      </c>
      <c r="F13" s="516" t="e">
        <f t="shared" si="3"/>
        <v>#DIV/0!</v>
      </c>
      <c r="G13" s="516" t="e">
        <f t="shared" si="3"/>
        <v>#DIV/0!</v>
      </c>
      <c r="H13" s="516" t="e">
        <f t="shared" si="3"/>
        <v>#DIV/0!</v>
      </c>
      <c r="I13" s="540" t="str">
        <f t="shared" si="1"/>
        <v/>
      </c>
      <c r="J13" s="588" t="e">
        <f t="shared" si="2"/>
        <v>#VALUE!</v>
      </c>
      <c r="L13" s="1055"/>
      <c r="M13" s="1056"/>
      <c r="N13" s="1057"/>
    </row>
    <row r="14" spans="2:14" ht="13.5" thickBot="1" x14ac:dyDescent="0.4">
      <c r="B14" s="507" t="s">
        <v>204</v>
      </c>
      <c r="C14" s="508" t="s">
        <v>205</v>
      </c>
      <c r="D14" s="508">
        <f t="shared" ref="D14:H14" si="4">D56/D54-1</f>
        <v>1.7866599423958456</v>
      </c>
      <c r="E14" s="508" t="e">
        <f t="shared" si="4"/>
        <v>#DIV/0!</v>
      </c>
      <c r="F14" s="508" t="e">
        <f t="shared" si="4"/>
        <v>#DIV/0!</v>
      </c>
      <c r="G14" s="508" t="e">
        <f t="shared" si="4"/>
        <v>#DIV/0!</v>
      </c>
      <c r="H14" s="508" t="e">
        <f t="shared" si="4"/>
        <v>#DIV/0!</v>
      </c>
      <c r="I14" s="541" t="str">
        <f t="shared" si="1"/>
        <v/>
      </c>
      <c r="J14" s="589" t="e">
        <f t="shared" si="2"/>
        <v>#VALUE!</v>
      </c>
      <c r="L14" s="1062"/>
      <c r="M14" s="1056" t="s">
        <v>206</v>
      </c>
      <c r="N14" s="1057"/>
    </row>
    <row r="15" spans="2:14" ht="13.5" thickBot="1" x14ac:dyDescent="0.4">
      <c r="B15" s="517" t="s">
        <v>99</v>
      </c>
      <c r="C15" s="518">
        <f>C59/C56</f>
        <v>3.6453000958026269E-2</v>
      </c>
      <c r="D15" s="518">
        <f t="shared" ref="D15:H15" si="5">D59/D56</f>
        <v>6.3261038834484029E-2</v>
      </c>
      <c r="E15" s="518" t="e">
        <f t="shared" si="5"/>
        <v>#DIV/0!</v>
      </c>
      <c r="F15" s="518" t="e">
        <f t="shared" si="5"/>
        <v>#DIV/0!</v>
      </c>
      <c r="G15" s="518" t="e">
        <f t="shared" si="5"/>
        <v>#DIV/0!</v>
      </c>
      <c r="H15" s="518" t="e">
        <f t="shared" si="5"/>
        <v>#DIV/0!</v>
      </c>
      <c r="I15" s="541" t="str">
        <f>IFERROR(AVERAGE(C15:H15),"")</f>
        <v/>
      </c>
      <c r="J15" s="590" t="e">
        <f t="shared" si="2"/>
        <v>#VALUE!</v>
      </c>
      <c r="L15" s="1063"/>
      <c r="M15" s="1064"/>
      <c r="N15" s="1065"/>
    </row>
    <row r="16" spans="2:14" ht="13.5" thickBot="1" x14ac:dyDescent="0.4">
      <c r="B16" s="507" t="s">
        <v>207</v>
      </c>
      <c r="C16" s="508">
        <f>C62/C56</f>
        <v>4.0537589130181219E-2</v>
      </c>
      <c r="D16" s="508">
        <f t="shared" ref="D16:H16" si="6">D62/D56</f>
        <v>4.9875552400412491E-2</v>
      </c>
      <c r="E16" s="508" t="e">
        <f t="shared" si="6"/>
        <v>#DIV/0!</v>
      </c>
      <c r="F16" s="508" t="e">
        <f t="shared" si="6"/>
        <v>#DIV/0!</v>
      </c>
      <c r="G16" s="508" t="e">
        <f t="shared" si="6"/>
        <v>#DIV/0!</v>
      </c>
      <c r="H16" s="508" t="e">
        <f t="shared" si="6"/>
        <v>#DIV/0!</v>
      </c>
      <c r="I16" s="541" t="str">
        <f t="shared" si="1"/>
        <v/>
      </c>
      <c r="J16" s="589" t="e">
        <f t="shared" si="2"/>
        <v>#VALUE!</v>
      </c>
    </row>
    <row r="17" spans="1:10" ht="13.5" thickBot="1" x14ac:dyDescent="0.4">
      <c r="B17" s="517" t="s">
        <v>208</v>
      </c>
      <c r="C17" s="518">
        <f>C62/C74</f>
        <v>0.10250421164194184</v>
      </c>
      <c r="D17" s="518">
        <f t="shared" ref="D17:H17" si="7">D62/D74</f>
        <v>0.21641666258134812</v>
      </c>
      <c r="E17" s="518" t="e">
        <f t="shared" si="7"/>
        <v>#DIV/0!</v>
      </c>
      <c r="F17" s="518" t="e">
        <f t="shared" si="7"/>
        <v>#DIV/0!</v>
      </c>
      <c r="G17" s="518" t="e">
        <f t="shared" si="7"/>
        <v>#DIV/0!</v>
      </c>
      <c r="H17" s="518" t="e">
        <f t="shared" si="7"/>
        <v>#DIV/0!</v>
      </c>
      <c r="I17" s="541" t="str">
        <f t="shared" si="1"/>
        <v/>
      </c>
      <c r="J17" s="590" t="e">
        <f t="shared" si="2"/>
        <v>#VALUE!</v>
      </c>
    </row>
    <row r="18" spans="1:10" ht="13.5" thickBot="1" x14ac:dyDescent="0.4">
      <c r="B18" s="505" t="s">
        <v>209</v>
      </c>
      <c r="C18" s="509">
        <f>(1+C61/(C59+C60))*C59/(C73+C74-C65)</f>
        <v>6.5112377606033028E-2</v>
      </c>
      <c r="D18" s="509">
        <f t="shared" ref="D18:H18" si="8">(1+D61/(D59+D60))*D59/(D73+D74-D65)</f>
        <v>0.6548480391706617</v>
      </c>
      <c r="E18" s="509" t="e">
        <f t="shared" si="8"/>
        <v>#DIV/0!</v>
      </c>
      <c r="F18" s="509" t="e">
        <f t="shared" si="8"/>
        <v>#DIV/0!</v>
      </c>
      <c r="G18" s="509" t="e">
        <f t="shared" si="8"/>
        <v>#DIV/0!</v>
      </c>
      <c r="H18" s="509" t="e">
        <f t="shared" si="8"/>
        <v>#DIV/0!</v>
      </c>
      <c r="I18" s="542" t="str">
        <f t="shared" si="1"/>
        <v/>
      </c>
      <c r="J18" s="591" t="e">
        <f t="shared" si="2"/>
        <v>#VALUE!</v>
      </c>
    </row>
    <row r="19" spans="1:10" ht="15.4" thickBot="1" x14ac:dyDescent="0.4">
      <c r="B19" s="188" t="s">
        <v>210</v>
      </c>
      <c r="C19" s="193"/>
      <c r="D19" s="193"/>
      <c r="E19" s="193"/>
      <c r="F19" s="193"/>
      <c r="G19" s="193"/>
      <c r="H19" s="193"/>
      <c r="I19" s="543" t="str">
        <f t="shared" si="1"/>
        <v/>
      </c>
      <c r="J19" s="587"/>
    </row>
    <row r="20" spans="1:10" ht="13.5" thickBot="1" x14ac:dyDescent="0.4">
      <c r="B20" s="187" t="s">
        <v>56</v>
      </c>
      <c r="C20" s="519">
        <f>C73/C70</f>
        <v>0.28780252227974024</v>
      </c>
      <c r="D20" s="519">
        <f t="shared" ref="D20:H20" si="9">D73/D70</f>
        <v>6.8995942551020734E-2</v>
      </c>
      <c r="E20" s="519" t="e">
        <f t="shared" si="9"/>
        <v>#DIV/0!</v>
      </c>
      <c r="F20" s="519" t="e">
        <f t="shared" si="9"/>
        <v>#DIV/0!</v>
      </c>
      <c r="G20" s="519" t="e">
        <f t="shared" si="9"/>
        <v>#DIV/0!</v>
      </c>
      <c r="H20" s="519" t="e">
        <f t="shared" si="9"/>
        <v>#DIV/0!</v>
      </c>
      <c r="I20" s="544" t="str">
        <f>IFERROR(AVERAGE(C20:H20),"")</f>
        <v/>
      </c>
      <c r="J20" s="592" t="e">
        <f t="shared" si="2"/>
        <v>#VALUE!</v>
      </c>
    </row>
    <row r="21" spans="1:10" ht="13.5" thickBot="1" x14ac:dyDescent="0.4">
      <c r="B21" s="507" t="s">
        <v>211</v>
      </c>
      <c r="C21" s="510">
        <f>(C73-C65)/C58</f>
        <v>1.3255005969274323</v>
      </c>
      <c r="D21" s="511">
        <f t="shared" ref="D21:H21" si="10">(D73-D65)/D58</f>
        <v>-0.87123038697789468</v>
      </c>
      <c r="E21" s="511" t="e">
        <f t="shared" si="10"/>
        <v>#DIV/0!</v>
      </c>
      <c r="F21" s="511" t="e">
        <f t="shared" si="10"/>
        <v>#DIV/0!</v>
      </c>
      <c r="G21" s="511" t="e">
        <f t="shared" si="10"/>
        <v>#DIV/0!</v>
      </c>
      <c r="H21" s="511" t="e">
        <f t="shared" si="10"/>
        <v>#DIV/0!</v>
      </c>
      <c r="I21" s="544" t="str">
        <f t="shared" si="1"/>
        <v/>
      </c>
      <c r="J21" s="593" t="e">
        <f t="shared" si="2"/>
        <v>#VALUE!</v>
      </c>
    </row>
    <row r="22" spans="1:10" ht="13.5" thickBot="1" x14ac:dyDescent="0.4">
      <c r="B22" s="520" t="s">
        <v>212</v>
      </c>
      <c r="C22" s="534">
        <f t="shared" ref="C22:H22" si="11">-C58/C60</f>
        <v>-9.2643883700907335</v>
      </c>
      <c r="D22" s="534">
        <f t="shared" si="11"/>
        <v>-98.526405050059253</v>
      </c>
      <c r="E22" s="534" t="e">
        <f t="shared" si="11"/>
        <v>#DIV/0!</v>
      </c>
      <c r="F22" s="534" t="e">
        <f t="shared" si="11"/>
        <v>#DIV/0!</v>
      </c>
      <c r="G22" s="534" t="e">
        <f t="shared" si="11"/>
        <v>#DIV/0!</v>
      </c>
      <c r="H22" s="534" t="e">
        <f t="shared" si="11"/>
        <v>#DIV/0!</v>
      </c>
      <c r="I22" s="545" t="str">
        <f t="shared" si="1"/>
        <v/>
      </c>
      <c r="J22" s="594" t="e">
        <f t="shared" si="2"/>
        <v>#VALUE!</v>
      </c>
    </row>
    <row r="23" spans="1:10" ht="15.4" thickBot="1" x14ac:dyDescent="0.4">
      <c r="B23" s="188" t="s">
        <v>213</v>
      </c>
      <c r="C23" s="193"/>
      <c r="D23" s="193"/>
      <c r="E23" s="193"/>
      <c r="F23" s="193"/>
      <c r="G23" s="193"/>
      <c r="H23" s="193"/>
      <c r="I23" s="546"/>
      <c r="J23" s="587"/>
    </row>
    <row r="24" spans="1:10" ht="13.5" thickBot="1" x14ac:dyDescent="0.4">
      <c r="B24" s="512" t="s">
        <v>214</v>
      </c>
      <c r="C24" s="513">
        <f>C68/C72</f>
        <v>1.0699119683205049</v>
      </c>
      <c r="D24" s="513">
        <f t="shared" ref="D24:H24" si="12">D68/D72</f>
        <v>0.66595468724657536</v>
      </c>
      <c r="E24" s="513" t="e">
        <f t="shared" si="12"/>
        <v>#DIV/0!</v>
      </c>
      <c r="F24" s="513" t="e">
        <f t="shared" si="12"/>
        <v>#DIV/0!</v>
      </c>
      <c r="G24" s="513" t="e">
        <f t="shared" si="12"/>
        <v>#DIV/0!</v>
      </c>
      <c r="H24" s="513" t="e">
        <f t="shared" si="12"/>
        <v>#DIV/0!</v>
      </c>
      <c r="I24" s="547" t="str">
        <f t="shared" si="1"/>
        <v/>
      </c>
      <c r="J24" s="595" t="e">
        <f t="shared" si="2"/>
        <v>#VALUE!</v>
      </c>
    </row>
    <row r="25" spans="1:10" ht="13.5" thickBot="1" x14ac:dyDescent="0.4">
      <c r="B25" s="520" t="s">
        <v>215</v>
      </c>
      <c r="C25" s="521">
        <f>(C65+C66)/C72</f>
        <v>0.42024412843945641</v>
      </c>
      <c r="D25" s="521">
        <f t="shared" ref="D25:H25" si="13">(D65+D66)/D72</f>
        <v>0.26643432001201606</v>
      </c>
      <c r="E25" s="521" t="e">
        <f t="shared" si="13"/>
        <v>#DIV/0!</v>
      </c>
      <c r="F25" s="521" t="e">
        <f t="shared" si="13"/>
        <v>#DIV/0!</v>
      </c>
      <c r="G25" s="521" t="e">
        <f t="shared" si="13"/>
        <v>#DIV/0!</v>
      </c>
      <c r="H25" s="521" t="e">
        <f t="shared" si="13"/>
        <v>#DIV/0!</v>
      </c>
      <c r="I25" s="545" t="str">
        <f t="shared" si="1"/>
        <v/>
      </c>
      <c r="J25" s="596" t="e">
        <f t="shared" si="2"/>
        <v>#VALUE!</v>
      </c>
    </row>
    <row r="26" spans="1:10" ht="15.4" thickBot="1" x14ac:dyDescent="0.4">
      <c r="B26" s="188" t="s">
        <v>216</v>
      </c>
      <c r="C26" s="193"/>
      <c r="D26" s="193"/>
      <c r="E26" s="193"/>
      <c r="F26" s="193"/>
      <c r="G26" s="193"/>
      <c r="H26" s="193"/>
      <c r="I26" s="546" t="str">
        <f t="shared" si="1"/>
        <v/>
      </c>
      <c r="J26" s="587"/>
    </row>
    <row r="27" spans="1:10" ht="13.5" thickBot="1" x14ac:dyDescent="0.4">
      <c r="B27" s="512" t="s">
        <v>217</v>
      </c>
      <c r="C27" s="522">
        <f>C57/C67</f>
        <v>5.2866994929348277</v>
      </c>
      <c r="D27" s="513">
        <f t="shared" ref="D27:H27" si="14">D57/D67</f>
        <v>5.4810238856030553</v>
      </c>
      <c r="E27" s="513" t="e">
        <f t="shared" si="14"/>
        <v>#DIV/0!</v>
      </c>
      <c r="F27" s="513" t="e">
        <f t="shared" si="14"/>
        <v>#DIV/0!</v>
      </c>
      <c r="G27" s="513" t="e">
        <f t="shared" si="14"/>
        <v>#DIV/0!</v>
      </c>
      <c r="H27" s="513" t="e">
        <f t="shared" si="14"/>
        <v>#DIV/0!</v>
      </c>
      <c r="I27" s="547" t="str">
        <f t="shared" si="1"/>
        <v/>
      </c>
      <c r="J27" s="595" t="e">
        <f t="shared" si="2"/>
        <v>#VALUE!</v>
      </c>
    </row>
    <row r="28" spans="1:10" ht="13.5" thickBot="1" x14ac:dyDescent="0.4">
      <c r="B28" s="517" t="s">
        <v>218</v>
      </c>
      <c r="C28" s="521">
        <f>C56/C66</f>
        <v>24.0799750817397</v>
      </c>
      <c r="D28" s="521">
        <f t="shared" ref="D28:H28" si="15">D56/D66</f>
        <v>271.87497500466054</v>
      </c>
      <c r="E28" s="521" t="e">
        <f>E56/E66</f>
        <v>#DIV/0!</v>
      </c>
      <c r="F28" s="521" t="e">
        <f t="shared" si="15"/>
        <v>#DIV/0!</v>
      </c>
      <c r="G28" s="521" t="e">
        <f>G56/G66</f>
        <v>#DIV/0!</v>
      </c>
      <c r="H28" s="521" t="e">
        <f t="shared" si="15"/>
        <v>#DIV/0!</v>
      </c>
      <c r="I28" s="544" t="str">
        <f t="shared" si="1"/>
        <v/>
      </c>
      <c r="J28" s="596" t="e">
        <f t="shared" si="2"/>
        <v>#VALUE!</v>
      </c>
    </row>
    <row r="29" spans="1:10" ht="13.5" thickBot="1" x14ac:dyDescent="0.4">
      <c r="A29" s="10" t="s">
        <v>219</v>
      </c>
      <c r="B29" s="507" t="s">
        <v>220</v>
      </c>
      <c r="C29" s="514">
        <f>C57/C71</f>
        <v>2.3661584410964731</v>
      </c>
      <c r="D29" s="511">
        <f t="shared" ref="D29:H29" si="16">D57/D71</f>
        <v>18.437835799796247</v>
      </c>
      <c r="E29" s="511" t="e">
        <f t="shared" si="16"/>
        <v>#DIV/0!</v>
      </c>
      <c r="F29" s="511" t="e">
        <f t="shared" si="16"/>
        <v>#DIV/0!</v>
      </c>
      <c r="G29" s="511" t="e">
        <f t="shared" si="16"/>
        <v>#DIV/0!</v>
      </c>
      <c r="H29" s="511" t="e">
        <f t="shared" si="16"/>
        <v>#DIV/0!</v>
      </c>
      <c r="I29" s="544" t="str">
        <f t="shared" si="1"/>
        <v/>
      </c>
      <c r="J29" s="593" t="e">
        <f t="shared" si="2"/>
        <v>#VALUE!</v>
      </c>
    </row>
    <row r="30" spans="1:10" ht="13.5" thickBot="1" x14ac:dyDescent="0.4">
      <c r="B30" s="517" t="s">
        <v>221</v>
      </c>
      <c r="C30" s="521">
        <f>C56/C69</f>
        <v>4.2836953139336522</v>
      </c>
      <c r="D30" s="521">
        <f t="shared" ref="D30:H30" si="17">D56/D69</f>
        <v>2.1877796049450944</v>
      </c>
      <c r="E30" s="521" t="e">
        <f t="shared" si="17"/>
        <v>#DIV/0!</v>
      </c>
      <c r="F30" s="521" t="e">
        <f t="shared" si="17"/>
        <v>#DIV/0!</v>
      </c>
      <c r="G30" s="521" t="e">
        <f t="shared" si="17"/>
        <v>#DIV/0!</v>
      </c>
      <c r="H30" s="521" t="e">
        <f t="shared" si="17"/>
        <v>#DIV/0!</v>
      </c>
      <c r="I30" s="544" t="str">
        <f t="shared" si="1"/>
        <v/>
      </c>
      <c r="J30" s="596" t="e">
        <f t="shared" si="2"/>
        <v>#VALUE!</v>
      </c>
    </row>
    <row r="31" spans="1:10" ht="13.5" thickBot="1" x14ac:dyDescent="0.4">
      <c r="B31" s="505" t="s">
        <v>222</v>
      </c>
      <c r="C31" s="523">
        <f>C56/C70</f>
        <v>0.86059431897289373</v>
      </c>
      <c r="D31" s="523">
        <f t="shared" ref="D31:H31" si="18">D56/D70</f>
        <v>0.88634746404177944</v>
      </c>
      <c r="E31" s="523" t="e">
        <f t="shared" si="18"/>
        <v>#DIV/0!</v>
      </c>
      <c r="F31" s="523" t="e">
        <f t="shared" si="18"/>
        <v>#DIV/0!</v>
      </c>
      <c r="G31" s="523" t="e">
        <f t="shared" si="18"/>
        <v>#DIV/0!</v>
      </c>
      <c r="H31" s="523" t="e">
        <f t="shared" si="18"/>
        <v>#DIV/0!</v>
      </c>
      <c r="I31" s="544" t="str">
        <f t="shared" si="1"/>
        <v/>
      </c>
      <c r="J31" s="597" t="e">
        <f t="shared" si="2"/>
        <v>#VALUE!</v>
      </c>
    </row>
    <row r="32" spans="1:10" ht="15.4" thickBot="1" x14ac:dyDescent="0.4">
      <c r="B32" s="189" t="s">
        <v>90</v>
      </c>
      <c r="C32" s="193"/>
      <c r="D32" s="193"/>
      <c r="E32" s="193"/>
      <c r="F32" s="193"/>
      <c r="G32" s="193"/>
      <c r="H32" s="193"/>
      <c r="I32" s="548" t="str">
        <f t="shared" si="1"/>
        <v/>
      </c>
      <c r="J32" s="587"/>
    </row>
    <row r="33" spans="2:11" ht="13.5" thickBot="1" x14ac:dyDescent="0.4">
      <c r="B33" s="187" t="s">
        <v>223</v>
      </c>
      <c r="C33" s="532">
        <f ca="1">C10/C62</f>
        <v>25880924.575595304</v>
      </c>
      <c r="D33" s="533">
        <f t="shared" ref="D33:H33" ca="1" si="19">D10/D62</f>
        <v>27839534.691656627</v>
      </c>
      <c r="E33" s="533" t="e">
        <f t="shared" ca="1" si="19"/>
        <v>#DIV/0!</v>
      </c>
      <c r="F33" s="533" t="e">
        <f t="shared" ca="1" si="19"/>
        <v>#DIV/0!</v>
      </c>
      <c r="G33" s="533" t="e">
        <f t="shared" ca="1" si="19"/>
        <v>#DIV/0!</v>
      </c>
      <c r="H33" s="533" t="e">
        <f t="shared" ca="1" si="19"/>
        <v>#DIV/0!</v>
      </c>
      <c r="I33" s="547" t="str">
        <f t="shared" ca="1" si="1"/>
        <v/>
      </c>
      <c r="J33" s="598" t="e">
        <f t="shared" ca="1" si="2"/>
        <v>#VALUE!</v>
      </c>
    </row>
    <row r="34" spans="2:11" ht="13.5" thickBot="1" x14ac:dyDescent="0.4">
      <c r="B34" s="507" t="s">
        <v>219</v>
      </c>
      <c r="C34" s="515">
        <f ca="1">C10/C56</f>
        <v>1049150.2867546922</v>
      </c>
      <c r="D34" s="515">
        <f t="shared" ref="D34:H34" ca="1" si="20">D10/D56</f>
        <v>1388512.1713168214</v>
      </c>
      <c r="E34" s="515" t="e">
        <f t="shared" ca="1" si="20"/>
        <v>#DIV/0!</v>
      </c>
      <c r="F34" s="515" t="e">
        <f t="shared" ca="1" si="20"/>
        <v>#DIV/0!</v>
      </c>
      <c r="G34" s="515" t="e">
        <f t="shared" ca="1" si="20"/>
        <v>#DIV/0!</v>
      </c>
      <c r="H34" s="515" t="e">
        <f t="shared" ca="1" si="20"/>
        <v>#DIV/0!</v>
      </c>
      <c r="I34" s="544" t="str">
        <f t="shared" ca="1" si="1"/>
        <v/>
      </c>
      <c r="J34" s="599" t="e">
        <f t="shared" ca="1" si="2"/>
        <v>#VALUE!</v>
      </c>
    </row>
    <row r="35" spans="2:11" ht="13.5" thickBot="1" x14ac:dyDescent="0.4">
      <c r="B35" s="517" t="s">
        <v>224</v>
      </c>
      <c r="C35" s="535">
        <f ca="1">C10/C74</f>
        <v>2652903.7701859549</v>
      </c>
      <c r="D35" s="535">
        <f t="shared" ref="D35:H35" ca="1" si="21">D10/D74</f>
        <v>6024939.1857859874</v>
      </c>
      <c r="E35" s="535" t="e">
        <f t="shared" ca="1" si="21"/>
        <v>#DIV/0!</v>
      </c>
      <c r="F35" s="535" t="e">
        <f t="shared" ca="1" si="21"/>
        <v>#DIV/0!</v>
      </c>
      <c r="G35" s="535" t="e">
        <f t="shared" ca="1" si="21"/>
        <v>#DIV/0!</v>
      </c>
      <c r="H35" s="535" t="e">
        <f t="shared" ca="1" si="21"/>
        <v>#DIV/0!</v>
      </c>
      <c r="I35" s="544" t="str">
        <f t="shared" ca="1" si="1"/>
        <v/>
      </c>
      <c r="J35" s="600" t="e">
        <f t="shared" ca="1" si="2"/>
        <v>#VALUE!</v>
      </c>
    </row>
    <row r="36" spans="2:11" ht="13.5" thickBot="1" x14ac:dyDescent="0.4">
      <c r="B36" s="507" t="s">
        <v>225</v>
      </c>
      <c r="C36" s="515">
        <f ca="1">(C73+C10-C65)/C56</f>
        <v>1049150.3937997688</v>
      </c>
      <c r="D36" s="515">
        <f t="shared" ref="D36:G36" ca="1" si="22">(D73+D10-D65)/D56</f>
        <v>1388512.0521584344</v>
      </c>
      <c r="E36" s="515" t="e">
        <f t="shared" ca="1" si="22"/>
        <v>#DIV/0!</v>
      </c>
      <c r="F36" s="515" t="e">
        <f t="shared" ca="1" si="22"/>
        <v>#DIV/0!</v>
      </c>
      <c r="G36" s="515" t="e">
        <f t="shared" ca="1" si="22"/>
        <v>#DIV/0!</v>
      </c>
      <c r="H36" s="515" t="e">
        <f ca="1">(H73+H10-H65)/H56</f>
        <v>#DIV/0!</v>
      </c>
      <c r="I36" s="544" t="str">
        <f t="shared" ca="1" si="1"/>
        <v/>
      </c>
      <c r="J36" s="599" t="e">
        <f t="shared" ca="1" si="2"/>
        <v>#VALUE!</v>
      </c>
    </row>
    <row r="37" spans="2:11" ht="13.5" thickBot="1" x14ac:dyDescent="0.4">
      <c r="B37" s="520" t="s">
        <v>226</v>
      </c>
      <c r="C37" s="531">
        <f ca="1">(C73+C10-C65)/C58</f>
        <v>12991251.155715849</v>
      </c>
      <c r="D37" s="531">
        <f t="shared" ref="D37:H37" ca="1" si="23">(D73+D10-D65)/D58</f>
        <v>10152150.62733331</v>
      </c>
      <c r="E37" s="531" t="e">
        <f t="shared" ca="1" si="23"/>
        <v>#DIV/0!</v>
      </c>
      <c r="F37" s="531" t="e">
        <f t="shared" ca="1" si="23"/>
        <v>#DIV/0!</v>
      </c>
      <c r="G37" s="531" t="e">
        <f t="shared" ca="1" si="23"/>
        <v>#DIV/0!</v>
      </c>
      <c r="H37" s="531" t="e">
        <f t="shared" ca="1" si="23"/>
        <v>#DIV/0!</v>
      </c>
      <c r="I37" s="545" t="str">
        <f t="shared" ca="1" si="1"/>
        <v/>
      </c>
      <c r="J37" s="601" t="e">
        <f t="shared" ca="1" si="2"/>
        <v>#VALUE!</v>
      </c>
    </row>
    <row r="38" spans="2:11" ht="15.4" thickBot="1" x14ac:dyDescent="0.4">
      <c r="B38" s="189" t="s">
        <v>227</v>
      </c>
      <c r="C38" s="193"/>
      <c r="D38" s="193"/>
      <c r="E38" s="193"/>
      <c r="F38" s="193"/>
      <c r="G38" s="193"/>
      <c r="H38" s="193"/>
      <c r="I38" s="549" t="str">
        <f t="shared" si="1"/>
        <v/>
      </c>
      <c r="J38" s="587"/>
    </row>
    <row r="39" spans="2:11" ht="13.5" thickBot="1" x14ac:dyDescent="0.4">
      <c r="B39" s="187" t="s">
        <v>33</v>
      </c>
      <c r="C39" s="536" t="str">
        <f>OP!M15</f>
        <v/>
      </c>
      <c r="D39" s="536"/>
      <c r="E39" s="536"/>
      <c r="F39" s="536"/>
      <c r="G39" s="536"/>
      <c r="H39" s="536"/>
      <c r="I39" s="540" t="str">
        <f t="shared" si="1"/>
        <v/>
      </c>
      <c r="J39" s="602" t="e">
        <f t="shared" si="2"/>
        <v>#VALUE!</v>
      </c>
    </row>
    <row r="40" spans="2:11" ht="13.5" thickBot="1" x14ac:dyDescent="0.4">
      <c r="B40" s="524" t="s">
        <v>228</v>
      </c>
      <c r="C40" s="525">
        <f ca="1">OP!M17</f>
        <v>1.8053999999999999</v>
      </c>
      <c r="D40" s="525"/>
      <c r="E40" s="525"/>
      <c r="F40" s="525"/>
      <c r="G40" s="525"/>
      <c r="H40" s="525"/>
      <c r="I40" s="550">
        <f t="shared" ca="1" si="1"/>
        <v>1.8053999999999999</v>
      </c>
      <c r="J40" s="603">
        <f t="shared" ca="1" si="2"/>
        <v>0</v>
      </c>
    </row>
    <row r="41" spans="2:11" ht="13.5" thickBot="1" x14ac:dyDescent="0.4">
      <c r="B41" s="520" t="s">
        <v>229</v>
      </c>
      <c r="C41" s="529">
        <f ca="1">OP!M27</f>
        <v>6.3872976967109035E-3</v>
      </c>
      <c r="D41" s="530"/>
      <c r="E41" s="530"/>
      <c r="F41" s="530"/>
      <c r="G41" s="530"/>
      <c r="H41" s="530"/>
      <c r="I41" s="541">
        <f ca="1">IFERROR(AVERAGE(C41:H41),"")</f>
        <v>6.3872976967109035E-3</v>
      </c>
      <c r="J41" s="604">
        <f t="shared" ca="1" si="2"/>
        <v>0</v>
      </c>
    </row>
    <row r="42" spans="2:11" ht="15.4" thickBot="1" x14ac:dyDescent="0.4">
      <c r="B42" s="189" t="s">
        <v>230</v>
      </c>
      <c r="C42" s="193"/>
      <c r="D42" s="193"/>
      <c r="E42" s="193"/>
      <c r="F42" s="193"/>
      <c r="G42" s="193"/>
      <c r="H42" s="193"/>
      <c r="I42" s="551"/>
      <c r="J42" s="587"/>
    </row>
    <row r="43" spans="2:11" ht="13.5" thickBot="1" x14ac:dyDescent="0.4">
      <c r="B43" s="191" t="s">
        <v>231</v>
      </c>
      <c r="C43" s="652"/>
      <c r="D43" s="652"/>
      <c r="E43" s="652"/>
      <c r="F43" s="652"/>
      <c r="G43" s="652"/>
      <c r="H43" s="652"/>
      <c r="I43" s="540" t="str">
        <f>IFERROR(AVERAGE(C43:H43),"")</f>
        <v/>
      </c>
      <c r="J43" s="578" t="e">
        <f t="shared" si="2"/>
        <v>#VALUE!</v>
      </c>
    </row>
    <row r="44" spans="2:11" ht="13.5" thickBot="1" x14ac:dyDescent="0.4">
      <c r="B44" s="507" t="s">
        <v>232</v>
      </c>
      <c r="C44" s="653"/>
      <c r="D44" s="653"/>
      <c r="E44" s="653"/>
      <c r="F44" s="653"/>
      <c r="G44" s="653"/>
      <c r="H44" s="653"/>
      <c r="I44" s="540" t="str">
        <f t="shared" ref="I44:I47" si="24">IFERROR(AVERAGE(C44:H44),"")</f>
        <v/>
      </c>
      <c r="J44" s="605" t="e">
        <f t="shared" si="2"/>
        <v>#VALUE!</v>
      </c>
    </row>
    <row r="45" spans="2:11" ht="13.5" thickBot="1" x14ac:dyDescent="0.4">
      <c r="B45" s="192" t="s">
        <v>233</v>
      </c>
      <c r="C45" s="684" cm="2">
        <f t="array" aca="1" ref="C45" ca="1">_FV(C8,"Price")</f>
        <v>11.74</v>
      </c>
      <c r="D45" s="684" cm="2">
        <f t="array" aca="1" ref="D45" ca="1">_FV(D8,"Price")</f>
        <v>286.2</v>
      </c>
      <c r="E45" s="684" cm="2">
        <f t="array" aca="1" ref="E45" ca="1">_FV(E8,"Price")</f>
        <v>15.94</v>
      </c>
      <c r="F45" s="684" cm="2">
        <f t="array" aca="1" ref="F45" ca="1">_FV(F8,"Price")</f>
        <v>2.19</v>
      </c>
      <c r="G45" s="684" cm="2">
        <f t="array" aca="1" ref="G45" ca="1">_FV(G8,"Price")</f>
        <v>3.09</v>
      </c>
      <c r="H45" s="684" cm="2">
        <f t="array" aca="1" ref="H45" ca="1">_FV(H8,"Price")</f>
        <v>65.7</v>
      </c>
      <c r="I45" s="540">
        <f t="shared" ca="1" si="24"/>
        <v>64.143333333333331</v>
      </c>
      <c r="J45" s="606">
        <f t="shared" ca="1" si="2"/>
        <v>52.403333333333329</v>
      </c>
    </row>
    <row r="46" spans="2:11" ht="13.5" thickBot="1" x14ac:dyDescent="0.4">
      <c r="B46" s="507" t="s">
        <v>234</v>
      </c>
      <c r="C46" s="526"/>
      <c r="D46" s="526"/>
      <c r="E46" s="526"/>
      <c r="F46" s="526"/>
      <c r="G46" s="526"/>
      <c r="H46" s="526"/>
      <c r="I46" s="540" t="str">
        <f t="shared" si="24"/>
        <v/>
      </c>
      <c r="J46" s="607" t="e">
        <f t="shared" si="2"/>
        <v>#VALUE!</v>
      </c>
    </row>
    <row r="47" spans="2:11" ht="13.5" thickBot="1" x14ac:dyDescent="0.4">
      <c r="B47" s="527" t="s">
        <v>235</v>
      </c>
      <c r="C47" s="528">
        <f ca="1">C46/C45-1</f>
        <v>-1</v>
      </c>
      <c r="D47" s="528">
        <f t="shared" ref="D47:H47" ca="1" si="25">D46/D45-1</f>
        <v>-1</v>
      </c>
      <c r="E47" s="528">
        <f t="shared" ca="1" si="25"/>
        <v>-1</v>
      </c>
      <c r="F47" s="528">
        <f t="shared" ca="1" si="25"/>
        <v>-1</v>
      </c>
      <c r="G47" s="528">
        <f t="shared" ca="1" si="25"/>
        <v>-1</v>
      </c>
      <c r="H47" s="528">
        <f t="shared" ca="1" si="25"/>
        <v>-1</v>
      </c>
      <c r="I47" s="552">
        <f t="shared" ca="1" si="24"/>
        <v>-1</v>
      </c>
      <c r="J47" s="608">
        <f t="shared" ca="1" si="2"/>
        <v>0</v>
      </c>
    </row>
    <row r="48" spans="2:11" ht="15.4" thickBot="1" x14ac:dyDescent="0.4">
      <c r="B48" s="189" t="s">
        <v>236</v>
      </c>
      <c r="C48" s="189"/>
      <c r="D48" s="189"/>
      <c r="E48" s="189"/>
      <c r="F48" s="189"/>
      <c r="G48" s="189"/>
      <c r="H48" s="189"/>
      <c r="I48" s="189" t="str">
        <f>IFERROR(AVERAGE(C48:H48),"")</f>
        <v/>
      </c>
      <c r="J48" s="577"/>
      <c r="K48" s="582"/>
    </row>
    <row r="49" spans="2:11" ht="13.5" thickBot="1" x14ac:dyDescent="0.4">
      <c r="B49" s="191" t="s">
        <v>237</v>
      </c>
      <c r="C49" s="610">
        <f>(Inputs!B59-Inputs!E59)/Inputs!E59</f>
        <v>1.8604705126374412</v>
      </c>
      <c r="D49" s="436"/>
      <c r="E49" s="436"/>
      <c r="F49" s="436"/>
      <c r="G49" s="436"/>
      <c r="H49" s="436"/>
      <c r="I49" s="552">
        <f>IFERROR(AVERAGE(C49:H49),"")</f>
        <v>1.8604705126374412</v>
      </c>
      <c r="J49" s="578">
        <f t="shared" si="2"/>
        <v>0</v>
      </c>
      <c r="K49" s="436"/>
    </row>
    <row r="50" spans="2:11" ht="13.5" thickBot="1" x14ac:dyDescent="0.4">
      <c r="B50" s="579" t="s">
        <v>238</v>
      </c>
      <c r="C50" s="580">
        <f t="shared" ref="C50:H50" si="26">C63/C11</f>
        <v>5.0521881405693268E-2</v>
      </c>
      <c r="D50" s="580">
        <f t="shared" si="26"/>
        <v>0</v>
      </c>
      <c r="E50" s="580" t="e">
        <f t="shared" si="26"/>
        <v>#DIV/0!</v>
      </c>
      <c r="F50" s="580" t="e">
        <f t="shared" si="26"/>
        <v>#DIV/0!</v>
      </c>
      <c r="G50" s="580" t="e">
        <f t="shared" si="26"/>
        <v>#DIV/0!</v>
      </c>
      <c r="H50" s="580" t="e">
        <f t="shared" si="26"/>
        <v>#DIV/0!</v>
      </c>
      <c r="I50" s="552" t="str">
        <f>IFERROR(AVERAGE(C50:H50),"")</f>
        <v/>
      </c>
      <c r="J50" s="581" t="e">
        <f t="shared" si="2"/>
        <v>#VALUE!</v>
      </c>
      <c r="K50" s="583"/>
    </row>
    <row r="51" spans="2:11" ht="13.15" thickBot="1" x14ac:dyDescent="0.4"/>
    <row r="52" spans="2:11" ht="15.4" thickBot="1" x14ac:dyDescent="0.4">
      <c r="B52" s="492" t="s">
        <v>239</v>
      </c>
      <c r="C52" s="491" t="e" vm="1">
        <f>OP!E2</f>
        <v>#VALUE!</v>
      </c>
      <c r="D52" s="379" t="e">
        <f>D8</f>
        <v>#VALUE!</v>
      </c>
      <c r="E52" s="380" t="e">
        <f>E8</f>
        <v>#VALUE!</v>
      </c>
      <c r="F52" s="381" t="e">
        <f>F8</f>
        <v>#VALUE!</v>
      </c>
      <c r="G52" s="382" t="e">
        <f>G8</f>
        <v>#VALUE!</v>
      </c>
      <c r="H52" s="649" t="e">
        <f>H8</f>
        <v>#VALUE!</v>
      </c>
    </row>
    <row r="53" spans="2:11" ht="13.5" thickBot="1" x14ac:dyDescent="0.45">
      <c r="B53" s="181" t="s">
        <v>240</v>
      </c>
      <c r="C53" s="182"/>
      <c r="D53" s="182"/>
      <c r="E53" s="182"/>
      <c r="F53" s="182"/>
      <c r="G53" s="182"/>
      <c r="H53" s="183"/>
    </row>
    <row r="54" spans="2:11" ht="13.5" thickBot="1" x14ac:dyDescent="0.45">
      <c r="B54" s="176" t="s">
        <v>241</v>
      </c>
      <c r="C54" s="198">
        <f>'Fin. Data'!E5</f>
        <v>103307.6</v>
      </c>
      <c r="D54" s="171">
        <v>216142.39499999999</v>
      </c>
      <c r="E54" s="171"/>
      <c r="F54" s="171"/>
      <c r="G54" s="171"/>
      <c r="H54" s="179"/>
    </row>
    <row r="55" spans="2:11" ht="13.5" thickBot="1" x14ac:dyDescent="0.45">
      <c r="B55" s="176" t="s">
        <v>242</v>
      </c>
      <c r="C55" s="198">
        <f>'Fin. Data'!C5</f>
        <v>137339.98518776</v>
      </c>
      <c r="D55" s="171">
        <v>424060.63500000001</v>
      </c>
      <c r="E55" s="171"/>
      <c r="F55" s="171"/>
      <c r="G55" s="171"/>
      <c r="H55" s="179"/>
    </row>
    <row r="56" spans="2:11" ht="13.5" thickBot="1" x14ac:dyDescent="0.45">
      <c r="B56" s="176" t="s">
        <v>200</v>
      </c>
      <c r="C56" s="198">
        <f>'Fin. Data'!B5</f>
        <v>173212.07675797</v>
      </c>
      <c r="D56" s="171">
        <v>602315.35400000005</v>
      </c>
      <c r="E56" s="171"/>
      <c r="F56" s="171"/>
      <c r="G56" s="171"/>
      <c r="H56" s="179"/>
    </row>
    <row r="57" spans="2:11" ht="13.5" thickBot="1" x14ac:dyDescent="0.45">
      <c r="B57" s="176" t="s">
        <v>243</v>
      </c>
      <c r="C57" s="198">
        <f>'Fin. Data'!B5-'Fin. Data'!B7</f>
        <v>140773.17675797001</v>
      </c>
      <c r="D57" s="171">
        <v>480558.35</v>
      </c>
      <c r="E57" s="171"/>
      <c r="F57" s="171"/>
      <c r="G57" s="171"/>
      <c r="H57" s="179"/>
    </row>
    <row r="58" spans="2:11" ht="13.5" thickBot="1" x14ac:dyDescent="0.45">
      <c r="B58" s="176" t="s">
        <v>40</v>
      </c>
      <c r="C58" s="198">
        <f>'Fin. Data'!B19</f>
        <v>13988.3</v>
      </c>
      <c r="D58" s="171">
        <v>82378.813999999998</v>
      </c>
      <c r="E58" s="171"/>
      <c r="F58" s="171"/>
      <c r="G58" s="171"/>
      <c r="H58" s="179"/>
    </row>
    <row r="59" spans="2:11" ht="13.5" thickBot="1" x14ac:dyDescent="0.45">
      <c r="B59" s="176" t="s">
        <v>244</v>
      </c>
      <c r="C59" s="490">
        <f>'Fin. Data'!B11</f>
        <v>6314.1</v>
      </c>
      <c r="D59" s="171">
        <v>38103.095000000001</v>
      </c>
      <c r="E59" s="171"/>
      <c r="F59" s="171"/>
      <c r="G59" s="171"/>
      <c r="H59" s="179"/>
    </row>
    <row r="60" spans="2:11" ht="13.5" thickBot="1" x14ac:dyDescent="0.45">
      <c r="B60" s="176" t="s">
        <v>245</v>
      </c>
      <c r="C60" s="490">
        <f>'Fin. Data'!B14</f>
        <v>1509.9</v>
      </c>
      <c r="D60" s="171">
        <v>836.10900000000004</v>
      </c>
      <c r="E60" s="171"/>
      <c r="F60" s="377"/>
      <c r="G60" s="171"/>
      <c r="H60" s="179"/>
    </row>
    <row r="61" spans="2:11" ht="13.5" thickBot="1" x14ac:dyDescent="0.45">
      <c r="B61" s="176" t="s">
        <v>246</v>
      </c>
      <c r="C61" s="490">
        <f>'Fin. Data'!B21</f>
        <v>-801.2</v>
      </c>
      <c r="D61" s="171">
        <v>5924.567</v>
      </c>
      <c r="E61" s="171"/>
      <c r="F61" s="171"/>
      <c r="G61" s="171"/>
      <c r="H61" s="179"/>
    </row>
    <row r="62" spans="2:11" ht="13.5" thickBot="1" x14ac:dyDescent="0.45">
      <c r="B62" s="176" t="s">
        <v>52</v>
      </c>
      <c r="C62" s="490">
        <f>'Fin. Data'!B23</f>
        <v>7021.6</v>
      </c>
      <c r="D62" s="171">
        <v>30040.811000000002</v>
      </c>
      <c r="E62" s="171"/>
      <c r="F62" s="171"/>
      <c r="G62" s="171"/>
      <c r="H62" s="179"/>
    </row>
    <row r="63" spans="2:11" ht="13.5" thickBot="1" x14ac:dyDescent="0.45">
      <c r="B63" s="176" t="s">
        <v>247</v>
      </c>
      <c r="C63" s="490">
        <v>8751</v>
      </c>
      <c r="D63" s="171"/>
      <c r="E63" s="171"/>
      <c r="F63" s="171"/>
      <c r="G63" s="171"/>
      <c r="H63" s="179"/>
    </row>
    <row r="64" spans="2:11" ht="13.5" thickBot="1" x14ac:dyDescent="0.45">
      <c r="B64" s="184" t="s">
        <v>248</v>
      </c>
      <c r="C64" s="185"/>
      <c r="D64" s="185"/>
      <c r="E64" s="185"/>
      <c r="F64" s="185"/>
      <c r="G64" s="185"/>
      <c r="H64" s="186"/>
    </row>
    <row r="65" spans="2:8" ht="13.5" thickBot="1" x14ac:dyDescent="0.45">
      <c r="B65" s="176" t="s">
        <v>249</v>
      </c>
      <c r="C65" s="198">
        <f>'Fin. Data'!B39</f>
        <v>39384.6</v>
      </c>
      <c r="D65" s="171">
        <v>118656.958</v>
      </c>
      <c r="E65" s="171"/>
      <c r="F65" s="171"/>
      <c r="G65" s="171"/>
      <c r="H65" s="179"/>
    </row>
    <row r="66" spans="2:8" ht="13.5" thickBot="1" x14ac:dyDescent="0.45">
      <c r="B66" s="176" t="s">
        <v>250</v>
      </c>
      <c r="C66" s="198">
        <f>'Fin. Data'!B40</f>
        <v>7193.2</v>
      </c>
      <c r="D66" s="171">
        <v>2215.413</v>
      </c>
      <c r="E66" s="171"/>
      <c r="F66" s="171"/>
      <c r="G66" s="171"/>
      <c r="H66" s="179"/>
    </row>
    <row r="67" spans="2:8" ht="13.5" thickBot="1" x14ac:dyDescent="0.45">
      <c r="B67" s="176" t="s">
        <v>251</v>
      </c>
      <c r="C67" s="198">
        <f>'Fin. Data'!B41</f>
        <v>26627.8</v>
      </c>
      <c r="D67" s="171">
        <v>87676.748000000007</v>
      </c>
      <c r="E67" s="171"/>
      <c r="F67" s="171"/>
      <c r="G67" s="171"/>
      <c r="H67" s="179"/>
    </row>
    <row r="68" spans="2:8" ht="13.5" thickBot="1" x14ac:dyDescent="0.45">
      <c r="B68" s="176" t="s">
        <v>252</v>
      </c>
      <c r="C68" s="198">
        <f>Inputs!B27</f>
        <v>118583.8</v>
      </c>
      <c r="D68" s="171">
        <v>302121.446</v>
      </c>
      <c r="E68" s="171"/>
      <c r="F68" s="171"/>
      <c r="G68" s="171"/>
      <c r="H68" s="179"/>
    </row>
    <row r="69" spans="2:8" ht="13.5" thickBot="1" x14ac:dyDescent="0.45">
      <c r="B69" s="176" t="s">
        <v>253</v>
      </c>
      <c r="C69" s="198">
        <f>'Fin. Data'!B42</f>
        <v>40435.199999999997</v>
      </c>
      <c r="D69" s="171">
        <v>275308.97200000001</v>
      </c>
      <c r="E69" s="171"/>
      <c r="F69" s="171"/>
      <c r="G69" s="171"/>
      <c r="H69" s="179"/>
    </row>
    <row r="70" spans="2:8" ht="13.5" thickBot="1" x14ac:dyDescent="0.45">
      <c r="B70" s="176" t="s">
        <v>29</v>
      </c>
      <c r="C70" s="198">
        <f>'Fin. Data'!B44</f>
        <v>201270.3</v>
      </c>
      <c r="D70" s="171">
        <v>679547.67</v>
      </c>
      <c r="E70" s="171"/>
      <c r="F70" s="171"/>
      <c r="G70" s="171"/>
      <c r="H70" s="179"/>
    </row>
    <row r="71" spans="2:8" ht="13.5" thickBot="1" x14ac:dyDescent="0.45">
      <c r="B71" s="176" t="s">
        <v>254</v>
      </c>
      <c r="C71" s="198">
        <f>Inputs!B43</f>
        <v>59494.400000000001</v>
      </c>
      <c r="D71" s="171">
        <v>26063.706999999999</v>
      </c>
      <c r="E71" s="171"/>
      <c r="F71" s="171"/>
      <c r="G71" s="171"/>
      <c r="H71" s="179"/>
    </row>
    <row r="72" spans="2:8" ht="13.5" thickBot="1" x14ac:dyDescent="0.45">
      <c r="B72" s="176" t="s">
        <v>255</v>
      </c>
      <c r="C72" s="198">
        <f>Inputs!B42</f>
        <v>110835.1</v>
      </c>
      <c r="D72" s="171">
        <v>453666.67099999997</v>
      </c>
      <c r="E72" s="171"/>
      <c r="F72" s="171"/>
      <c r="G72" s="171"/>
      <c r="H72" s="179"/>
    </row>
    <row r="73" spans="2:8" ht="13.5" thickBot="1" x14ac:dyDescent="0.45">
      <c r="B73" s="176" t="s">
        <v>256</v>
      </c>
      <c r="C73" s="198">
        <f>'Fin. Data'!B58</f>
        <v>57926.1</v>
      </c>
      <c r="D73" s="171">
        <v>46886.031999999999</v>
      </c>
      <c r="E73" s="171"/>
      <c r="F73" s="171"/>
      <c r="G73" s="171"/>
      <c r="H73" s="179"/>
    </row>
    <row r="74" spans="2:8" ht="13.5" thickBot="1" x14ac:dyDescent="0.45">
      <c r="B74" s="177" t="s">
        <v>257</v>
      </c>
      <c r="C74" s="199">
        <f>'Fin. Data'!B64</f>
        <v>68500.599999999991</v>
      </c>
      <c r="D74" s="178">
        <v>138810.065</v>
      </c>
      <c r="E74" s="178"/>
      <c r="F74" s="178"/>
      <c r="G74" s="178"/>
      <c r="H74" s="180"/>
    </row>
  </sheetData>
  <mergeCells count="13">
    <mergeCell ref="L12:L13"/>
    <mergeCell ref="M12:N13"/>
    <mergeCell ref="L9:N9"/>
    <mergeCell ref="L10:L11"/>
    <mergeCell ref="L14:L15"/>
    <mergeCell ref="M14:N15"/>
    <mergeCell ref="M10:N11"/>
    <mergeCell ref="D6:H6"/>
    <mergeCell ref="D4:H4"/>
    <mergeCell ref="D1:H1"/>
    <mergeCell ref="D2:H2"/>
    <mergeCell ref="D3:H3"/>
    <mergeCell ref="D5:H5"/>
  </mergeCells>
  <pageMargins left="0.7" right="0.7" top="0.75" bottom="0.75" header="0.3" footer="0.3"/>
  <pageSetup orientation="portrait" r:id="rId1"/>
  <ignoredErrors>
    <ignoredError sqref="J46" evalError="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zoomScale="48" zoomScaleNormal="80" workbookViewId="0">
      <selection activeCell="G16" sqref="G16"/>
    </sheetView>
  </sheetViews>
  <sheetFormatPr defaultColWidth="11.3984375" defaultRowHeight="12.75" x14ac:dyDescent="0.35"/>
  <cols>
    <col min="1" max="1" width="1.1328125" style="73" customWidth="1"/>
    <col min="2" max="2" width="59.3984375" style="73" customWidth="1"/>
    <col min="3" max="4" width="12.86328125" style="73" customWidth="1"/>
    <col min="5" max="5" width="11.3984375" style="73" bestFit="1" customWidth="1"/>
    <col min="6" max="6" width="11" style="73" customWidth="1"/>
    <col min="7" max="7" width="10.3984375" style="73" customWidth="1"/>
    <col min="8" max="8" width="20.265625" style="479" customWidth="1"/>
    <col min="9" max="9" width="22.3984375" style="479" customWidth="1"/>
    <col min="10" max="10" width="64.1328125" style="73" customWidth="1"/>
    <col min="11" max="11" width="34.73046875" style="73" bestFit="1" customWidth="1"/>
    <col min="12" max="12" width="21.265625" style="73" customWidth="1"/>
    <col min="13" max="13" width="19.86328125" style="73" customWidth="1"/>
    <col min="14" max="14" width="20.86328125" style="73" bestFit="1" customWidth="1"/>
    <col min="15" max="15" width="19.86328125" style="73" bestFit="1" customWidth="1"/>
    <col min="16" max="16" width="19.86328125" style="73" customWidth="1"/>
    <col min="17" max="17" width="22.265625" style="73" bestFit="1" customWidth="1"/>
    <col min="18" max="18" width="11.3984375" style="73" customWidth="1"/>
    <col min="19" max="19" width="10.3984375" style="73" customWidth="1"/>
    <col min="20" max="20" width="12.265625" style="73" bestFit="1" customWidth="1"/>
    <col min="21" max="21" width="15.3984375" style="73" customWidth="1"/>
    <col min="22" max="22" width="18.1328125" style="73" bestFit="1" customWidth="1"/>
    <col min="23" max="23" width="18.265625" style="73" bestFit="1" customWidth="1"/>
    <col min="24" max="24" width="17.265625" style="73" bestFit="1" customWidth="1"/>
    <col min="25" max="30" width="11.3984375" style="73"/>
    <col min="31" max="31" width="13" style="73" bestFit="1" customWidth="1"/>
    <col min="32" max="16384" width="11.3984375" style="73"/>
  </cols>
  <sheetData>
    <row r="1" spans="1:24" ht="13.15" x14ac:dyDescent="0.35">
      <c r="B1" s="215" t="s">
        <v>258</v>
      </c>
      <c r="C1" s="77"/>
      <c r="D1" s="77"/>
      <c r="E1" s="77"/>
      <c r="F1" s="77"/>
      <c r="G1" s="77"/>
      <c r="H1" s="473"/>
      <c r="I1" s="473"/>
      <c r="J1" s="77"/>
      <c r="T1" s="87" t="s">
        <v>18</v>
      </c>
    </row>
    <row r="2" spans="1:24" ht="13.5" thickBot="1" x14ac:dyDescent="0.4">
      <c r="B2" s="83" t="s">
        <v>259</v>
      </c>
      <c r="C2" s="216" t="s">
        <v>260</v>
      </c>
      <c r="D2" s="77"/>
      <c r="E2" s="77"/>
      <c r="F2" s="77"/>
      <c r="G2" s="77"/>
      <c r="H2" s="473"/>
      <c r="I2" s="473"/>
      <c r="J2" s="77"/>
      <c r="T2" s="87" t="s">
        <v>261</v>
      </c>
    </row>
    <row r="3" spans="1:24" ht="21" thickBot="1" x14ac:dyDescent="0.6">
      <c r="B3" s="1067" t="s">
        <v>262</v>
      </c>
      <c r="C3" s="1067"/>
      <c r="D3" s="1067"/>
      <c r="E3" s="1067"/>
      <c r="F3" s="1067"/>
      <c r="G3" s="1067"/>
      <c r="H3" s="1067"/>
      <c r="I3" s="1067"/>
      <c r="J3" s="1067"/>
      <c r="K3" s="1068" t="s">
        <v>263</v>
      </c>
      <c r="L3" s="1068"/>
      <c r="M3" s="1068"/>
      <c r="N3" s="1068"/>
      <c r="O3" s="1068"/>
      <c r="P3" s="1068"/>
      <c r="Q3" s="1068"/>
    </row>
    <row r="4" spans="1:24" ht="30.4" thickBot="1" x14ac:dyDescent="0.4">
      <c r="B4" s="206" t="s">
        <v>264</v>
      </c>
      <c r="C4" s="238" t="s">
        <v>265</v>
      </c>
      <c r="D4" s="238" t="s">
        <v>266</v>
      </c>
      <c r="E4" s="238" t="s">
        <v>267</v>
      </c>
      <c r="F4" s="238" t="s">
        <v>268</v>
      </c>
      <c r="G4" s="238" t="s">
        <v>269</v>
      </c>
      <c r="H4" s="207" t="s">
        <v>270</v>
      </c>
      <c r="I4" s="207" t="s">
        <v>271</v>
      </c>
      <c r="J4" s="208" t="s">
        <v>272</v>
      </c>
      <c r="K4" s="206" t="s">
        <v>264</v>
      </c>
      <c r="L4" s="241" t="e" vm="1">
        <f>Peers!C8</f>
        <v>#VALUE!</v>
      </c>
      <c r="M4" s="241" t="e">
        <f>Peers!D8</f>
        <v>#VALUE!</v>
      </c>
      <c r="N4" s="241" t="e">
        <f>Peers!E8</f>
        <v>#VALUE!</v>
      </c>
      <c r="O4" s="241" t="e">
        <f>Peers!F8</f>
        <v>#VALUE!</v>
      </c>
      <c r="P4" s="241" t="e">
        <f>Peers!G8</f>
        <v>#VALUE!</v>
      </c>
      <c r="Q4" s="241" t="e">
        <f>Peers!H8</f>
        <v>#VALUE!</v>
      </c>
      <c r="R4" s="647" t="s">
        <v>194</v>
      </c>
    </row>
    <row r="5" spans="1:24" ht="14.25" thickBot="1" x14ac:dyDescent="0.4">
      <c r="B5" s="217" t="s">
        <v>273</v>
      </c>
      <c r="C5" s="218"/>
      <c r="D5" s="219"/>
      <c r="E5" s="219"/>
      <c r="F5" s="219"/>
      <c r="G5" s="219"/>
      <c r="H5" s="474"/>
      <c r="I5" s="474"/>
      <c r="J5" s="220"/>
      <c r="K5" s="217" t="s">
        <v>274</v>
      </c>
      <c r="L5" s="219"/>
      <c r="M5" s="219"/>
      <c r="N5" s="219"/>
      <c r="O5" s="219"/>
      <c r="P5" s="220"/>
      <c r="Q5" s="220"/>
      <c r="R5" s="220"/>
    </row>
    <row r="6" spans="1:24" ht="17.649999999999999" thickBot="1" x14ac:dyDescent="0.5">
      <c r="A6" s="73">
        <v>1</v>
      </c>
      <c r="B6" s="211" t="s">
        <v>275</v>
      </c>
      <c r="C6" s="209" t="str">
        <f>VLOOKUP($B$2,'Sector Impact'!$K$4:$AA$16,A6+1,FALSE)</f>
        <v>Low</v>
      </c>
      <c r="D6" s="209"/>
      <c r="E6" s="209"/>
      <c r="F6" s="221"/>
      <c r="G6" s="301"/>
      <c r="H6" s="210"/>
      <c r="I6" s="210"/>
      <c r="J6" s="210"/>
      <c r="K6" s="211" t="s">
        <v>276</v>
      </c>
      <c r="L6" s="455" t="e">
        <f>L12/L$11</f>
        <v>#DIV/0!</v>
      </c>
      <c r="M6" s="455" t="e">
        <f t="shared" ref="M6:O6" si="0">M12/M$11</f>
        <v>#DIV/0!</v>
      </c>
      <c r="N6" s="455" t="e">
        <f t="shared" si="0"/>
        <v>#DIV/0!</v>
      </c>
      <c r="O6" s="455" t="e">
        <f t="shared" si="0"/>
        <v>#DIV/0!</v>
      </c>
      <c r="P6" s="455" t="e">
        <f t="shared" ref="P6:Q9" si="1">P12/P$11</f>
        <v>#DIV/0!</v>
      </c>
      <c r="Q6" s="455" t="e">
        <f t="shared" si="1"/>
        <v>#DIV/0!</v>
      </c>
      <c r="R6" s="540" t="str">
        <f>IFERROR(AVERAGE(L6:Q6),"")</f>
        <v/>
      </c>
    </row>
    <row r="7" spans="1:24" s="77" customFormat="1" ht="17.649999999999999" thickBot="1" x14ac:dyDescent="0.5">
      <c r="A7" s="77">
        <v>2</v>
      </c>
      <c r="B7" s="211" t="s">
        <v>277</v>
      </c>
      <c r="C7" s="209" t="str">
        <f>VLOOKUP($B$2,'Sector Impact'!$K$4:$AA$16,A7+1,FALSE)</f>
        <v>Low</v>
      </c>
      <c r="D7" s="209"/>
      <c r="E7" s="209"/>
      <c r="F7" s="221"/>
      <c r="G7" s="301"/>
      <c r="H7" s="210"/>
      <c r="I7" s="210"/>
      <c r="J7" s="210"/>
      <c r="K7" s="211" t="s">
        <v>278</v>
      </c>
      <c r="L7" s="455" t="e">
        <f t="shared" ref="L7:O9" si="2">L13/L$11</f>
        <v>#DIV/0!</v>
      </c>
      <c r="M7" s="455" t="e">
        <f t="shared" si="2"/>
        <v>#DIV/0!</v>
      </c>
      <c r="N7" s="455" t="e">
        <f t="shared" si="2"/>
        <v>#DIV/0!</v>
      </c>
      <c r="O7" s="455" t="e">
        <f t="shared" si="2"/>
        <v>#DIV/0!</v>
      </c>
      <c r="P7" s="455" t="e">
        <f t="shared" si="1"/>
        <v>#DIV/0!</v>
      </c>
      <c r="Q7" s="455" t="e">
        <f t="shared" si="1"/>
        <v>#DIV/0!</v>
      </c>
      <c r="R7" s="541" t="str">
        <f t="shared" ref="R7:R9" si="3">IFERROR(AVERAGE(L7:Q7),"")</f>
        <v/>
      </c>
    </row>
    <row r="8" spans="1:24" ht="17.649999999999999" thickBot="1" x14ac:dyDescent="0.5">
      <c r="A8" s="73">
        <v>3</v>
      </c>
      <c r="B8" s="211" t="s">
        <v>279</v>
      </c>
      <c r="C8" s="209" t="str">
        <f>VLOOKUP($B$2,'Sector Impact'!$K$4:$AA$16,A8+1,FALSE)</f>
        <v>Medium</v>
      </c>
      <c r="D8" s="209" t="s">
        <v>18</v>
      </c>
      <c r="E8" s="209" t="s">
        <v>280</v>
      </c>
      <c r="F8" s="221"/>
      <c r="G8" s="298"/>
      <c r="H8" s="210"/>
      <c r="I8" s="210"/>
      <c r="J8" s="210"/>
      <c r="K8" s="211" t="s">
        <v>281</v>
      </c>
      <c r="L8" s="455" t="e">
        <f t="shared" si="2"/>
        <v>#DIV/0!</v>
      </c>
      <c r="M8" s="455" t="e">
        <f t="shared" si="2"/>
        <v>#DIV/0!</v>
      </c>
      <c r="N8" s="455" t="e">
        <f t="shared" si="2"/>
        <v>#DIV/0!</v>
      </c>
      <c r="O8" s="455" t="e">
        <f t="shared" si="2"/>
        <v>#DIV/0!</v>
      </c>
      <c r="P8" s="455" t="e">
        <f t="shared" si="1"/>
        <v>#DIV/0!</v>
      </c>
      <c r="Q8" s="455" t="e">
        <f t="shared" si="1"/>
        <v>#DIV/0!</v>
      </c>
      <c r="R8" s="541" t="str">
        <f>IFERROR(AVERAGE(L8:Q8),"")</f>
        <v/>
      </c>
    </row>
    <row r="9" spans="1:24" ht="17.649999999999999" thickBot="1" x14ac:dyDescent="0.5">
      <c r="A9" s="73">
        <v>4</v>
      </c>
      <c r="B9" s="211" t="s">
        <v>282</v>
      </c>
      <c r="C9" s="209" t="str">
        <f>VLOOKUP($B$2,'Sector Impact'!$K$4:$AA$16,A9+1,FALSE)</f>
        <v>Medium</v>
      </c>
      <c r="D9" s="209"/>
      <c r="E9" s="209" t="s">
        <v>280</v>
      </c>
      <c r="F9" s="221"/>
      <c r="G9" s="298"/>
      <c r="H9" s="210"/>
      <c r="I9" s="210"/>
      <c r="J9" s="212"/>
      <c r="K9" s="211" t="s">
        <v>283</v>
      </c>
      <c r="L9" s="455" t="e">
        <f>L15/L$11</f>
        <v>#DIV/0!</v>
      </c>
      <c r="M9" s="455" t="e">
        <f t="shared" si="2"/>
        <v>#DIV/0!</v>
      </c>
      <c r="N9" s="455" t="e">
        <f t="shared" si="2"/>
        <v>#DIV/0!</v>
      </c>
      <c r="O9" s="455" t="e">
        <f t="shared" si="2"/>
        <v>#DIV/0!</v>
      </c>
      <c r="P9" s="455" t="e">
        <f t="shared" si="1"/>
        <v>#DIV/0!</v>
      </c>
      <c r="Q9" s="455" t="e">
        <f t="shared" si="1"/>
        <v>#DIV/0!</v>
      </c>
      <c r="R9" s="541" t="str">
        <f t="shared" si="3"/>
        <v/>
      </c>
    </row>
    <row r="10" spans="1:24" ht="14.25" thickBot="1" x14ac:dyDescent="0.4">
      <c r="A10" s="73">
        <v>5</v>
      </c>
      <c r="B10" s="211" t="s">
        <v>284</v>
      </c>
      <c r="C10" s="209" t="str">
        <f>VLOOKUP($B$2,'Sector Impact'!$K$4:$AA$16,A10+1,FALSE)</f>
        <v>Low</v>
      </c>
      <c r="D10" s="209"/>
      <c r="E10" s="209"/>
      <c r="F10" s="221"/>
      <c r="G10" s="298"/>
      <c r="H10" s="210"/>
      <c r="I10" s="210"/>
      <c r="J10" s="212"/>
      <c r="K10" s="217" t="s">
        <v>285</v>
      </c>
      <c r="L10" s="219"/>
      <c r="M10" s="219"/>
      <c r="N10" s="219"/>
      <c r="O10" s="219"/>
      <c r="P10" s="219"/>
      <c r="Q10" s="220"/>
      <c r="S10"/>
      <c r="V10" s="77"/>
      <c r="W10" s="77"/>
      <c r="X10" s="77"/>
    </row>
    <row r="11" spans="1:24" ht="13.9" x14ac:dyDescent="0.35">
      <c r="B11" s="217" t="s">
        <v>286</v>
      </c>
      <c r="C11" s="214"/>
      <c r="D11" s="214"/>
      <c r="E11" s="223"/>
      <c r="F11" s="223"/>
      <c r="G11" s="224"/>
      <c r="H11" s="475"/>
      <c r="I11" s="475"/>
      <c r="J11" s="225"/>
      <c r="K11" s="211" t="s">
        <v>287</v>
      </c>
      <c r="L11" s="456"/>
      <c r="M11" s="456"/>
      <c r="N11" s="456"/>
      <c r="O11" s="456"/>
      <c r="P11" s="456"/>
      <c r="Q11" s="456"/>
      <c r="S11"/>
    </row>
    <row r="12" spans="1:24" x14ac:dyDescent="0.35">
      <c r="A12" s="73">
        <v>6</v>
      </c>
      <c r="B12" s="211" t="s">
        <v>288</v>
      </c>
      <c r="C12" s="209" t="str">
        <f>VLOOKUP($B$2,'Sector Impact'!$K$4:$AA$16,A12+1,FALSE)</f>
        <v>Medium</v>
      </c>
      <c r="D12" s="209"/>
      <c r="E12" s="209"/>
      <c r="F12" s="221"/>
      <c r="G12" s="303"/>
      <c r="H12" s="210"/>
      <c r="I12" s="210"/>
      <c r="J12" s="226"/>
      <c r="K12" s="211" t="s">
        <v>289</v>
      </c>
      <c r="L12" s="240"/>
      <c r="M12" s="240"/>
      <c r="N12" s="240"/>
      <c r="O12" s="240"/>
      <c r="P12" s="240"/>
      <c r="Q12" s="240"/>
      <c r="S12"/>
    </row>
    <row r="13" spans="1:24" x14ac:dyDescent="0.35">
      <c r="A13" s="73">
        <v>7</v>
      </c>
      <c r="B13" s="211" t="s">
        <v>290</v>
      </c>
      <c r="C13" s="209" t="str">
        <f>VLOOKUP($B$2,'Sector Impact'!$K$4:$AA$16,A13+1,FALSE)</f>
        <v>Medium</v>
      </c>
      <c r="E13" s="209"/>
      <c r="F13" s="227"/>
      <c r="G13" s="304"/>
      <c r="H13" s="210"/>
      <c r="I13" s="210"/>
      <c r="J13" s="228"/>
      <c r="K13" s="211" t="s">
        <v>291</v>
      </c>
      <c r="L13" s="240"/>
      <c r="M13" s="240"/>
      <c r="N13" s="240"/>
      <c r="O13" s="240"/>
      <c r="P13" s="240"/>
      <c r="Q13" s="240"/>
      <c r="S13"/>
    </row>
    <row r="14" spans="1:24" x14ac:dyDescent="0.35">
      <c r="A14" s="73">
        <v>8</v>
      </c>
      <c r="B14" s="229" t="s">
        <v>292</v>
      </c>
      <c r="C14" s="209" t="str">
        <f>VLOOKUP($B$2,'Sector Impact'!$K$4:$AA$16,A14+1,FALSE)</f>
        <v>Low</v>
      </c>
      <c r="D14" s="209"/>
      <c r="E14" s="209"/>
      <c r="F14" s="221"/>
      <c r="G14" s="493"/>
      <c r="H14" s="210"/>
      <c r="I14" s="210"/>
      <c r="J14" s="228"/>
      <c r="K14" s="211" t="s">
        <v>293</v>
      </c>
      <c r="L14" s="240"/>
      <c r="M14" s="240"/>
      <c r="N14" s="240"/>
      <c r="O14" s="240"/>
      <c r="P14" s="240"/>
      <c r="Q14" s="240"/>
      <c r="S14"/>
    </row>
    <row r="15" spans="1:24" x14ac:dyDescent="0.35">
      <c r="A15" s="73">
        <v>9</v>
      </c>
      <c r="B15" s="229" t="s">
        <v>294</v>
      </c>
      <c r="C15" s="209" t="str">
        <f>VLOOKUP($B$2,'Sector Impact'!$K$4:$AA$16,A15+1,FALSE)</f>
        <v>Low</v>
      </c>
      <c r="D15" s="209"/>
      <c r="E15" s="209"/>
      <c r="F15" s="221" t="s">
        <v>18</v>
      </c>
      <c r="G15" s="222"/>
      <c r="H15" s="476"/>
      <c r="I15" s="476"/>
      <c r="J15" s="228"/>
      <c r="K15" s="211" t="s">
        <v>295</v>
      </c>
      <c r="L15" s="240"/>
      <c r="M15" s="240"/>
      <c r="N15" s="240"/>
      <c r="O15" s="240"/>
      <c r="P15" s="240"/>
      <c r="Q15" s="240"/>
      <c r="S15"/>
    </row>
    <row r="16" spans="1:24" ht="42" customHeight="1" x14ac:dyDescent="0.35">
      <c r="A16" s="73">
        <v>10</v>
      </c>
      <c r="B16" s="211" t="s">
        <v>296</v>
      </c>
      <c r="C16" s="209" t="str">
        <f>VLOOKUP($B$2,'Sector Impact'!$K$4:$AA$16,A16+1,FALSE)</f>
        <v>Medium</v>
      </c>
      <c r="D16" s="209"/>
      <c r="E16" s="209"/>
      <c r="F16" s="221"/>
      <c r="G16" s="494"/>
      <c r="H16" s="210"/>
      <c r="I16" s="477"/>
      <c r="J16" s="228"/>
      <c r="K16" s="217" t="s">
        <v>297</v>
      </c>
      <c r="L16" s="219"/>
      <c r="M16" s="219"/>
      <c r="N16" s="219"/>
      <c r="O16" s="219"/>
      <c r="P16" s="220"/>
      <c r="Q16" s="220"/>
      <c r="S16"/>
    </row>
    <row r="17" spans="1:19" x14ac:dyDescent="0.35">
      <c r="A17" s="73">
        <v>11</v>
      </c>
      <c r="B17" s="211" t="s">
        <v>298</v>
      </c>
      <c r="C17" s="209" t="str">
        <f>VLOOKUP($B$2,'Sector Impact'!$K$4:$AA$16,A17+1,FALSE)</f>
        <v>Medium</v>
      </c>
      <c r="D17" s="230"/>
      <c r="E17" s="230"/>
      <c r="F17" s="230"/>
      <c r="G17" s="298"/>
      <c r="H17" s="210"/>
      <c r="I17" s="477"/>
      <c r="J17" s="228"/>
      <c r="K17" s="211" t="s">
        <v>299</v>
      </c>
      <c r="L17" s="239"/>
      <c r="M17" s="239"/>
      <c r="N17" s="239"/>
      <c r="O17" s="239"/>
      <c r="P17" s="239"/>
      <c r="Q17" s="239"/>
      <c r="S17"/>
    </row>
    <row r="18" spans="1:19" x14ac:dyDescent="0.35">
      <c r="A18" s="73">
        <v>12</v>
      </c>
      <c r="B18" s="211" t="s">
        <v>300</v>
      </c>
      <c r="C18" s="209" t="str">
        <f>VLOOKUP($B$2,'Sector Impact'!$K$4:$AA$16,A18+1,FALSE)</f>
        <v>Medium</v>
      </c>
      <c r="D18" s="209"/>
      <c r="E18" s="209"/>
      <c r="F18" s="221"/>
      <c r="G18" s="222"/>
      <c r="H18" s="476"/>
      <c r="I18" s="476"/>
      <c r="J18" s="231"/>
      <c r="K18" s="211" t="s">
        <v>301</v>
      </c>
      <c r="L18" s="239"/>
      <c r="M18" s="239"/>
      <c r="N18" s="239"/>
      <c r="O18" s="239"/>
      <c r="P18" s="239"/>
      <c r="Q18" s="239"/>
    </row>
    <row r="19" spans="1:19" x14ac:dyDescent="0.35">
      <c r="A19" s="73">
        <v>13</v>
      </c>
      <c r="B19" s="211" t="s">
        <v>302</v>
      </c>
      <c r="C19" s="209" t="str">
        <f>VLOOKUP($B$2,'Sector Impact'!$K$4:$AA$16,A19+1,FALSE)</f>
        <v>High</v>
      </c>
      <c r="D19" s="209"/>
      <c r="E19" s="209"/>
      <c r="F19" s="221"/>
      <c r="G19" s="302"/>
      <c r="H19" s="210"/>
      <c r="I19" s="477"/>
      <c r="J19" s="228"/>
      <c r="K19" s="211" t="s">
        <v>303</v>
      </c>
      <c r="L19" s="240"/>
      <c r="M19" s="240"/>
      <c r="N19" s="240"/>
      <c r="O19" s="240"/>
      <c r="P19" s="240"/>
      <c r="Q19" s="240"/>
    </row>
    <row r="20" spans="1:19" x14ac:dyDescent="0.35">
      <c r="A20" s="73">
        <v>14</v>
      </c>
      <c r="B20" s="211" t="s">
        <v>304</v>
      </c>
      <c r="C20" s="209" t="str">
        <f>VLOOKUP($B$2,'Sector Impact'!$K$4:$AA$16,A20+1,FALSE)</f>
        <v>Low</v>
      </c>
      <c r="D20" s="209"/>
      <c r="E20" s="209"/>
      <c r="F20" s="221"/>
      <c r="G20" s="222"/>
      <c r="H20" s="476"/>
      <c r="I20" s="476"/>
      <c r="J20" s="228"/>
      <c r="K20" s="211" t="s">
        <v>305</v>
      </c>
      <c r="L20" s="239"/>
      <c r="M20" s="239"/>
      <c r="N20" s="239"/>
      <c r="O20" s="239"/>
      <c r="P20" s="239"/>
      <c r="Q20" s="239"/>
    </row>
    <row r="21" spans="1:19" x14ac:dyDescent="0.35">
      <c r="A21" s="73">
        <v>15</v>
      </c>
      <c r="B21" s="211" t="s">
        <v>306</v>
      </c>
      <c r="C21" s="209" t="str">
        <f>VLOOKUP($B$2,'Sector Impact'!$K$4:$AA$16,A21+1,FALSE)</f>
        <v>High</v>
      </c>
      <c r="D21" s="209"/>
      <c r="E21" s="209"/>
      <c r="F21" s="221"/>
      <c r="G21" s="298"/>
      <c r="H21" s="210"/>
      <c r="I21" s="477"/>
      <c r="J21" s="228"/>
    </row>
    <row r="22" spans="1:19" ht="13.15" thickBot="1" x14ac:dyDescent="0.4">
      <c r="A22" s="73">
        <v>16</v>
      </c>
      <c r="B22" s="211" t="s">
        <v>307</v>
      </c>
      <c r="C22" s="213" t="str">
        <f>VLOOKUP($B$2,'Sector Impact'!$K$4:$AA$16,A22+1,FALSE)</f>
        <v>Low</v>
      </c>
      <c r="D22" s="209" t="s">
        <v>18</v>
      </c>
      <c r="E22" s="209"/>
      <c r="F22" s="221"/>
      <c r="G22" s="222"/>
      <c r="H22" s="476"/>
      <c r="I22" s="476"/>
      <c r="J22" s="212"/>
    </row>
    <row r="23" spans="1:19" ht="14.25" thickBot="1" x14ac:dyDescent="0.4">
      <c r="B23" s="217" t="s">
        <v>308</v>
      </c>
      <c r="C23" s="232"/>
      <c r="D23" s="214"/>
      <c r="E23" s="223"/>
      <c r="F23" s="223"/>
      <c r="G23" s="224"/>
      <c r="H23" s="475"/>
      <c r="I23" s="475"/>
      <c r="J23" s="225"/>
      <c r="K23" s="1070" t="s">
        <v>309</v>
      </c>
      <c r="L23" s="1071"/>
      <c r="M23" s="1072"/>
    </row>
    <row r="24" spans="1:19" ht="13.5" thickBot="1" x14ac:dyDescent="0.45">
      <c r="A24" s="73">
        <v>17</v>
      </c>
      <c r="B24" s="211" t="s">
        <v>310</v>
      </c>
      <c r="C24" s="233"/>
      <c r="D24" s="234"/>
      <c r="E24" s="227"/>
      <c r="F24" s="227"/>
      <c r="G24" s="302"/>
      <c r="H24" s="210"/>
      <c r="I24" s="477"/>
      <c r="J24" s="235"/>
      <c r="K24" s="261" t="s">
        <v>311</v>
      </c>
      <c r="L24" s="74" t="s">
        <v>312</v>
      </c>
      <c r="M24" s="75" t="s">
        <v>313</v>
      </c>
      <c r="O24" s="611" t="s">
        <v>197</v>
      </c>
    </row>
    <row r="25" spans="1:19" ht="15.75" customHeight="1" thickBot="1" x14ac:dyDescent="0.4">
      <c r="A25" s="73">
        <v>18</v>
      </c>
      <c r="B25" s="211" t="s">
        <v>314</v>
      </c>
      <c r="C25" s="233"/>
      <c r="D25" s="234"/>
      <c r="E25" s="227"/>
      <c r="F25" s="227"/>
      <c r="G25" s="298"/>
      <c r="H25" s="210"/>
      <c r="I25" s="477"/>
      <c r="J25" s="228"/>
      <c r="K25" s="200" t="s">
        <v>315</v>
      </c>
      <c r="L25" s="201" t="s">
        <v>316</v>
      </c>
      <c r="M25" s="1073" t="s">
        <v>317</v>
      </c>
      <c r="O25" s="612"/>
    </row>
    <row r="26" spans="1:19" ht="15.75" customHeight="1" thickBot="1" x14ac:dyDescent="0.4">
      <c r="A26" s="73">
        <v>19</v>
      </c>
      <c r="B26" s="211" t="s">
        <v>318</v>
      </c>
      <c r="C26" s="233"/>
      <c r="D26" s="234"/>
      <c r="E26" s="227"/>
      <c r="F26" s="227"/>
      <c r="G26" s="298"/>
      <c r="H26" s="210"/>
      <c r="I26" s="477"/>
      <c r="J26" s="235"/>
      <c r="K26" s="200" t="s">
        <v>280</v>
      </c>
      <c r="L26" s="201" t="s">
        <v>319</v>
      </c>
      <c r="M26" s="1074"/>
      <c r="O26" s="613"/>
    </row>
    <row r="27" spans="1:19" ht="13.15" thickBot="1" x14ac:dyDescent="0.4">
      <c r="A27" s="73">
        <v>20</v>
      </c>
      <c r="B27" s="211" t="s">
        <v>320</v>
      </c>
      <c r="C27" s="233"/>
      <c r="D27" s="234"/>
      <c r="E27" s="227"/>
      <c r="F27" s="227"/>
      <c r="G27" s="298"/>
      <c r="H27" s="210"/>
      <c r="I27" s="477"/>
      <c r="J27" s="235"/>
      <c r="K27" s="202" t="s">
        <v>321</v>
      </c>
      <c r="L27" s="203" t="s">
        <v>280</v>
      </c>
      <c r="M27" s="1074"/>
      <c r="O27" s="614"/>
    </row>
    <row r="28" spans="1:19" ht="13.15" thickBot="1" x14ac:dyDescent="0.4">
      <c r="A28" s="73">
        <v>21</v>
      </c>
      <c r="B28" s="211" t="s">
        <v>322</v>
      </c>
      <c r="C28" s="233"/>
      <c r="D28" s="234"/>
      <c r="E28" s="227"/>
      <c r="F28" s="227"/>
      <c r="G28" s="302"/>
      <c r="H28" s="210"/>
      <c r="I28" s="477"/>
      <c r="J28" s="228"/>
      <c r="K28" s="204" t="s">
        <v>323</v>
      </c>
      <c r="L28" s="205" t="s">
        <v>324</v>
      </c>
      <c r="M28" s="1075"/>
    </row>
    <row r="29" spans="1:19" ht="13.15" thickBot="1" x14ac:dyDescent="0.4">
      <c r="A29" s="73">
        <v>22</v>
      </c>
      <c r="B29" s="211" t="s">
        <v>325</v>
      </c>
      <c r="C29" s="233"/>
      <c r="D29" s="234"/>
      <c r="E29" s="227"/>
      <c r="F29" s="227"/>
      <c r="G29" s="302"/>
      <c r="H29" s="210"/>
      <c r="I29" s="477"/>
      <c r="J29" s="228"/>
    </row>
    <row r="30" spans="1:19" ht="26.25" customHeight="1" thickBot="1" x14ac:dyDescent="0.4">
      <c r="A30" s="73">
        <v>23</v>
      </c>
      <c r="B30" s="211" t="s">
        <v>326</v>
      </c>
      <c r="C30" s="233"/>
      <c r="D30" s="234"/>
      <c r="E30" s="227"/>
      <c r="F30" s="227"/>
      <c r="G30" s="302"/>
      <c r="H30" s="210"/>
      <c r="I30" s="477"/>
      <c r="J30" s="235"/>
    </row>
    <row r="31" spans="1:19" ht="20.25" customHeight="1" thickBot="1" x14ac:dyDescent="0.4">
      <c r="A31" s="73">
        <v>24</v>
      </c>
      <c r="B31" s="236" t="s">
        <v>327</v>
      </c>
      <c r="C31" s="233"/>
      <c r="D31" s="234"/>
      <c r="E31" s="227"/>
      <c r="F31" s="227"/>
      <c r="G31" s="302"/>
      <c r="H31" s="210"/>
      <c r="I31" s="477"/>
      <c r="J31" s="226"/>
      <c r="L31" s="575"/>
    </row>
    <row r="32" spans="1:19" ht="13.5" customHeight="1" thickBot="1" x14ac:dyDescent="0.4">
      <c r="A32" s="73">
        <v>25</v>
      </c>
      <c r="B32" s="211" t="s">
        <v>328</v>
      </c>
      <c r="C32" s="233"/>
      <c r="D32" s="227"/>
      <c r="E32" s="227"/>
      <c r="F32" s="227"/>
      <c r="G32" s="298"/>
      <c r="H32" s="210"/>
      <c r="I32" s="477"/>
      <c r="J32" s="228"/>
      <c r="L32" s="576"/>
    </row>
    <row r="33" spans="1:27" ht="13.5" customHeight="1" thickBot="1" x14ac:dyDescent="0.4">
      <c r="A33" s="73">
        <v>26</v>
      </c>
      <c r="B33" s="211" t="s">
        <v>329</v>
      </c>
      <c r="C33" s="233"/>
      <c r="D33" s="227"/>
      <c r="E33" s="227"/>
      <c r="F33" s="227"/>
      <c r="G33" s="302"/>
      <c r="H33" s="210"/>
      <c r="I33" s="477"/>
      <c r="J33" s="228"/>
      <c r="L33" s="299"/>
      <c r="N33" s="299"/>
    </row>
    <row r="34" spans="1:27" ht="13.5" customHeight="1" thickBot="1" x14ac:dyDescent="0.4">
      <c r="A34" s="73">
        <v>27</v>
      </c>
      <c r="B34" s="211" t="s">
        <v>330</v>
      </c>
      <c r="C34" s="233"/>
      <c r="D34" s="237"/>
      <c r="E34" s="227"/>
      <c r="F34" s="227"/>
      <c r="G34" s="302"/>
      <c r="H34" s="210"/>
      <c r="I34" s="477"/>
      <c r="J34" s="228"/>
      <c r="L34" s="300"/>
      <c r="N34" s="300"/>
    </row>
    <row r="35" spans="1:27" x14ac:dyDescent="0.35">
      <c r="B35" s="80"/>
      <c r="C35" s="80"/>
      <c r="D35" s="80"/>
      <c r="E35" s="80"/>
      <c r="F35" s="80"/>
      <c r="G35" s="80"/>
      <c r="H35" s="478"/>
      <c r="I35" s="478"/>
      <c r="J35" s="80"/>
      <c r="T35" s="81"/>
    </row>
    <row r="36" spans="1:27" ht="17.649999999999999" x14ac:dyDescent="0.5">
      <c r="B36" s="82"/>
      <c r="T36" s="81"/>
    </row>
    <row r="37" spans="1:27" x14ac:dyDescent="0.35">
      <c r="K37"/>
      <c r="T37" s="81"/>
    </row>
    <row r="38" spans="1:27" x14ac:dyDescent="0.35">
      <c r="C38"/>
      <c r="D38"/>
      <c r="E38"/>
      <c r="F38"/>
      <c r="G38"/>
      <c r="H38" s="480"/>
      <c r="I38" s="480"/>
      <c r="J38"/>
      <c r="K38"/>
      <c r="L38"/>
      <c r="M38"/>
      <c r="N38"/>
      <c r="O38"/>
      <c r="P38"/>
      <c r="Q38"/>
      <c r="R38"/>
      <c r="S38"/>
      <c r="T38"/>
      <c r="U38"/>
      <c r="V38"/>
      <c r="W38"/>
      <c r="X38"/>
      <c r="Y38"/>
      <c r="Z38"/>
      <c r="AA38"/>
    </row>
    <row r="39" spans="1:27" x14ac:dyDescent="0.35">
      <c r="C39"/>
      <c r="D39"/>
      <c r="E39"/>
      <c r="F39"/>
      <c r="G39"/>
      <c r="H39" s="480"/>
      <c r="I39" s="480"/>
      <c r="J39"/>
      <c r="M39"/>
      <c r="N39"/>
      <c r="O39"/>
      <c r="P39"/>
      <c r="Q39"/>
      <c r="R39"/>
      <c r="S39"/>
      <c r="T39"/>
      <c r="U39"/>
      <c r="V39"/>
      <c r="W39"/>
      <c r="X39"/>
      <c r="Y39"/>
      <c r="Z39"/>
      <c r="AA39"/>
    </row>
    <row r="54" spans="14:19" x14ac:dyDescent="0.35">
      <c r="N54" s="1069"/>
      <c r="O54" s="1069"/>
      <c r="P54" s="1069"/>
      <c r="Q54" s="1069"/>
      <c r="R54" s="1069"/>
      <c r="S54" s="1069"/>
    </row>
    <row r="55" spans="14:19" x14ac:dyDescent="0.35">
      <c r="O55" s="481"/>
      <c r="P55" s="481"/>
      <c r="Q55" s="481"/>
      <c r="R55" s="481"/>
      <c r="S55" s="481"/>
    </row>
    <row r="56" spans="14:19" x14ac:dyDescent="0.35">
      <c r="N56" s="482"/>
      <c r="O56" s="482"/>
      <c r="P56" s="482"/>
      <c r="Q56" s="482"/>
      <c r="R56" s="482"/>
      <c r="S56" s="482"/>
    </row>
    <row r="57" spans="14:19" x14ac:dyDescent="0.35">
      <c r="N57" s="482"/>
      <c r="O57" s="482"/>
      <c r="P57" s="482"/>
      <c r="Q57" s="482"/>
      <c r="R57" s="482"/>
      <c r="S57" s="482"/>
    </row>
    <row r="58" spans="14:19" x14ac:dyDescent="0.35">
      <c r="N58" s="482"/>
      <c r="O58" s="482"/>
      <c r="P58" s="482"/>
      <c r="Q58" s="482"/>
      <c r="R58" s="482"/>
      <c r="S58" s="482"/>
    </row>
    <row r="59" spans="14:19" x14ac:dyDescent="0.35">
      <c r="N59" s="482"/>
      <c r="O59" s="482"/>
      <c r="P59" s="482"/>
      <c r="Q59" s="482"/>
      <c r="R59" s="482"/>
      <c r="S59" s="482"/>
    </row>
    <row r="60" spans="14:19" x14ac:dyDescent="0.35">
      <c r="N60" s="482"/>
      <c r="O60" s="482"/>
      <c r="P60" s="482"/>
      <c r="Q60" s="482"/>
      <c r="R60" s="482"/>
      <c r="S60" s="482"/>
    </row>
    <row r="61" spans="14:19" x14ac:dyDescent="0.35">
      <c r="N61" s="482"/>
      <c r="O61" s="482"/>
      <c r="P61" s="482"/>
      <c r="Q61" s="482"/>
      <c r="R61" s="482"/>
      <c r="S61" s="482"/>
    </row>
    <row r="62" spans="14:19" x14ac:dyDescent="0.35">
      <c r="N62" s="482"/>
      <c r="O62" s="482"/>
      <c r="P62" s="482"/>
      <c r="Q62" s="482"/>
      <c r="R62" s="482"/>
      <c r="S62" s="482"/>
    </row>
    <row r="63" spans="14:19" x14ac:dyDescent="0.35">
      <c r="N63" s="482"/>
      <c r="O63" s="482"/>
      <c r="P63" s="482"/>
      <c r="Q63" s="482"/>
      <c r="R63" s="482"/>
      <c r="S63" s="482"/>
    </row>
    <row r="64" spans="14:19" x14ac:dyDescent="0.35">
      <c r="N64" s="482"/>
      <c r="O64" s="482"/>
      <c r="P64" s="482"/>
      <c r="Q64" s="482"/>
      <c r="R64" s="482"/>
      <c r="S64" s="482"/>
    </row>
    <row r="65" spans="14:19" x14ac:dyDescent="0.35">
      <c r="N65" s="482"/>
      <c r="O65" s="482"/>
      <c r="P65" s="482"/>
      <c r="Q65" s="482"/>
      <c r="R65" s="482"/>
      <c r="S65" s="482"/>
    </row>
    <row r="66" spans="14:19" x14ac:dyDescent="0.35">
      <c r="N66" s="1066"/>
      <c r="O66" s="1066"/>
      <c r="P66" s="1066"/>
      <c r="Q66" s="1066"/>
      <c r="R66" s="1066"/>
      <c r="S66" s="1066"/>
    </row>
    <row r="67" spans="14:19" x14ac:dyDescent="0.35">
      <c r="N67" s="482"/>
      <c r="O67" s="482"/>
      <c r="P67" s="482"/>
      <c r="Q67" s="482"/>
      <c r="R67" s="482"/>
      <c r="S67" s="482"/>
    </row>
    <row r="68" spans="14:19" x14ac:dyDescent="0.35">
      <c r="N68" s="482"/>
      <c r="O68" s="482"/>
      <c r="P68" s="482"/>
      <c r="Q68" s="482"/>
      <c r="R68" s="482"/>
      <c r="S68" s="482"/>
    </row>
    <row r="69" spans="14:19" x14ac:dyDescent="0.35">
      <c r="N69" s="482"/>
      <c r="O69" s="482"/>
      <c r="P69" s="482"/>
      <c r="Q69" s="482"/>
      <c r="R69" s="482"/>
      <c r="S69" s="482"/>
    </row>
    <row r="70" spans="14:19" x14ac:dyDescent="0.35">
      <c r="N70" s="482"/>
      <c r="O70" s="482"/>
      <c r="P70" s="482"/>
      <c r="Q70" s="482"/>
      <c r="R70" s="482"/>
      <c r="S70" s="482"/>
    </row>
    <row r="71" spans="14:19" x14ac:dyDescent="0.35">
      <c r="N71" s="482"/>
      <c r="O71" s="482"/>
      <c r="P71" s="482"/>
      <c r="Q71" s="482"/>
      <c r="R71" s="482"/>
      <c r="S71" s="482"/>
    </row>
    <row r="72" spans="14:19" x14ac:dyDescent="0.35">
      <c r="N72" s="482"/>
      <c r="O72" s="482"/>
      <c r="P72" s="482"/>
      <c r="Q72" s="482"/>
      <c r="R72" s="482"/>
      <c r="S72" s="482"/>
    </row>
    <row r="73" spans="14:19" x14ac:dyDescent="0.35">
      <c r="N73" s="482"/>
      <c r="O73" s="482"/>
      <c r="P73" s="482"/>
      <c r="Q73" s="482"/>
      <c r="R73" s="482"/>
      <c r="S73" s="482"/>
    </row>
    <row r="74" spans="14:19" x14ac:dyDescent="0.35">
      <c r="N74" s="483"/>
      <c r="O74" s="482"/>
      <c r="P74" s="482"/>
      <c r="Q74" s="482"/>
      <c r="R74" s="482"/>
      <c r="S74" s="482"/>
    </row>
    <row r="75" spans="14:19" x14ac:dyDescent="0.35">
      <c r="N75" s="483"/>
      <c r="O75" s="482"/>
      <c r="P75" s="482"/>
      <c r="Q75" s="482"/>
      <c r="R75" s="482"/>
      <c r="S75" s="482"/>
    </row>
    <row r="76" spans="14:19" x14ac:dyDescent="0.35">
      <c r="N76" s="483"/>
      <c r="O76" s="482"/>
      <c r="P76" s="482"/>
      <c r="Q76" s="482"/>
      <c r="R76" s="482"/>
      <c r="S76" s="482"/>
    </row>
    <row r="77" spans="14:19" x14ac:dyDescent="0.35">
      <c r="N77" s="482"/>
      <c r="O77" s="482"/>
      <c r="P77" s="482"/>
      <c r="Q77" s="482"/>
      <c r="R77" s="482"/>
      <c r="S77" s="482"/>
    </row>
    <row r="78" spans="14:19" x14ac:dyDescent="0.35">
      <c r="N78" s="1066"/>
      <c r="O78" s="1066"/>
      <c r="P78" s="1066"/>
      <c r="Q78" s="1066"/>
      <c r="R78" s="1066"/>
      <c r="S78" s="1066"/>
    </row>
    <row r="79" spans="14:19" x14ac:dyDescent="0.35">
      <c r="N79" s="482"/>
      <c r="O79" s="482"/>
      <c r="P79" s="482"/>
      <c r="Q79" s="482"/>
      <c r="R79" s="482"/>
      <c r="S79" s="482"/>
    </row>
    <row r="80" spans="14:19" x14ac:dyDescent="0.35">
      <c r="N80" s="482"/>
      <c r="O80" s="482"/>
      <c r="P80" s="482"/>
      <c r="Q80" s="482"/>
      <c r="R80" s="482"/>
      <c r="S80" s="482"/>
    </row>
    <row r="81" spans="14:19" x14ac:dyDescent="0.35">
      <c r="N81" s="482"/>
      <c r="O81" s="482"/>
      <c r="P81" s="482"/>
      <c r="Q81" s="482"/>
      <c r="R81" s="482"/>
      <c r="S81" s="482"/>
    </row>
    <row r="82" spans="14:19" x14ac:dyDescent="0.35">
      <c r="N82" s="482"/>
      <c r="O82" s="482"/>
      <c r="P82" s="482"/>
      <c r="Q82" s="482"/>
      <c r="R82" s="482"/>
      <c r="S82" s="482"/>
    </row>
    <row r="83" spans="14:19" x14ac:dyDescent="0.35">
      <c r="N83" s="482"/>
      <c r="O83" s="482"/>
      <c r="P83" s="482"/>
      <c r="Q83" s="482"/>
      <c r="R83" s="482"/>
      <c r="S83" s="482"/>
    </row>
    <row r="84" spans="14:19" x14ac:dyDescent="0.35">
      <c r="N84" s="482"/>
      <c r="O84" s="482"/>
      <c r="P84" s="482"/>
      <c r="Q84" s="482"/>
      <c r="R84" s="482"/>
      <c r="S84" s="482"/>
    </row>
    <row r="85" spans="14:19" x14ac:dyDescent="0.35">
      <c r="N85" s="482"/>
      <c r="O85" s="482"/>
      <c r="P85" s="482"/>
      <c r="Q85" s="482"/>
      <c r="R85" s="482"/>
      <c r="S85" s="482"/>
    </row>
    <row r="86" spans="14:19" x14ac:dyDescent="0.35">
      <c r="N86" s="483"/>
      <c r="O86" s="482"/>
      <c r="P86" s="482"/>
      <c r="Q86" s="482"/>
      <c r="R86" s="482"/>
      <c r="S86" s="482"/>
    </row>
    <row r="87" spans="14:19" x14ac:dyDescent="0.35">
      <c r="N87" s="483"/>
      <c r="O87" s="482"/>
      <c r="P87" s="482"/>
      <c r="Q87" s="482"/>
      <c r="R87" s="482"/>
      <c r="S87" s="482"/>
    </row>
    <row r="88" spans="14:19" x14ac:dyDescent="0.35">
      <c r="N88" s="483"/>
      <c r="O88" s="482"/>
      <c r="P88" s="482"/>
      <c r="Q88" s="482"/>
      <c r="R88" s="482"/>
      <c r="S88" s="482"/>
    </row>
    <row r="89" spans="14:19" x14ac:dyDescent="0.35">
      <c r="N89" s="482"/>
      <c r="O89" s="482"/>
      <c r="P89" s="482"/>
      <c r="Q89" s="482"/>
      <c r="R89" s="482"/>
      <c r="S89" s="482"/>
    </row>
    <row r="90" spans="14:19" x14ac:dyDescent="0.35">
      <c r="N90" s="1066"/>
      <c r="O90" s="1066"/>
      <c r="P90" s="1066"/>
      <c r="Q90" s="1066"/>
      <c r="R90" s="1066"/>
      <c r="S90" s="1066"/>
    </row>
    <row r="91" spans="14:19" x14ac:dyDescent="0.35">
      <c r="N91" s="482"/>
      <c r="O91" s="482"/>
      <c r="P91" s="482"/>
      <c r="Q91" s="482"/>
      <c r="R91" s="482"/>
      <c r="S91" s="482"/>
    </row>
    <row r="92" spans="14:19" x14ac:dyDescent="0.35">
      <c r="N92" s="483"/>
      <c r="O92" s="482"/>
      <c r="P92" s="482"/>
      <c r="Q92" s="482"/>
      <c r="R92" s="482"/>
      <c r="S92" s="482"/>
    </row>
    <row r="93" spans="14:19" x14ac:dyDescent="0.35">
      <c r="N93" s="483"/>
      <c r="O93" s="482"/>
      <c r="P93" s="482"/>
      <c r="Q93" s="482"/>
      <c r="R93" s="482"/>
      <c r="S93" s="482"/>
    </row>
    <row r="94" spans="14:19" x14ac:dyDescent="0.35">
      <c r="N94" s="483"/>
      <c r="O94" s="482"/>
      <c r="P94" s="482"/>
      <c r="Q94" s="482"/>
      <c r="R94" s="482"/>
      <c r="S94" s="482"/>
    </row>
    <row r="95" spans="14:19" x14ac:dyDescent="0.35">
      <c r="N95" s="483"/>
      <c r="O95" s="482"/>
      <c r="P95" s="482"/>
      <c r="Q95" s="482"/>
      <c r="R95" s="482"/>
      <c r="S95" s="482"/>
    </row>
    <row r="96" spans="14:19" x14ac:dyDescent="0.35">
      <c r="N96" s="483"/>
      <c r="O96" s="482"/>
      <c r="P96" s="482"/>
      <c r="Q96" s="482"/>
      <c r="R96" s="482"/>
      <c r="S96" s="482"/>
    </row>
    <row r="97" spans="14:19" x14ac:dyDescent="0.35">
      <c r="N97" s="483"/>
      <c r="O97" s="482"/>
      <c r="P97" s="482"/>
      <c r="Q97" s="482"/>
      <c r="R97" s="482"/>
      <c r="S97" s="482"/>
    </row>
    <row r="98" spans="14:19" x14ac:dyDescent="0.35">
      <c r="N98" s="483"/>
      <c r="O98" s="482"/>
      <c r="P98" s="482"/>
      <c r="Q98" s="482"/>
      <c r="R98" s="482"/>
      <c r="S98" s="482"/>
    </row>
    <row r="99" spans="14:19" x14ac:dyDescent="0.35">
      <c r="N99" s="483"/>
      <c r="O99" s="482"/>
      <c r="P99" s="482"/>
      <c r="Q99" s="482"/>
      <c r="R99" s="482"/>
      <c r="S99" s="482"/>
    </row>
    <row r="100" spans="14:19" x14ac:dyDescent="0.35">
      <c r="N100" s="483"/>
      <c r="O100" s="482"/>
      <c r="P100" s="482"/>
      <c r="Q100" s="482"/>
      <c r="R100" s="482"/>
      <c r="S100" s="482"/>
    </row>
  </sheetData>
  <mergeCells count="8">
    <mergeCell ref="N90:S90"/>
    <mergeCell ref="B3:J3"/>
    <mergeCell ref="K3:Q3"/>
    <mergeCell ref="N54:S54"/>
    <mergeCell ref="N66:S66"/>
    <mergeCell ref="N78:S78"/>
    <mergeCell ref="K23:M23"/>
    <mergeCell ref="M25:M28"/>
  </mergeCells>
  <conditionalFormatting sqref="C10:G10">
    <cfRule type="expression" dxfId="30" priority="19">
      <formula>$C$10="Low"</formula>
    </cfRule>
  </conditionalFormatting>
  <conditionalFormatting sqref="D12 E13:G13 J13">
    <cfRule type="expression" dxfId="29" priority="30">
      <formula>$C$13="Low"</formula>
    </cfRule>
  </conditionalFormatting>
  <conditionalFormatting sqref="D6:F6 H6:J6">
    <cfRule type="expression" dxfId="28" priority="36">
      <formula>$C$6="Low"</formula>
    </cfRule>
  </conditionalFormatting>
  <conditionalFormatting sqref="D8:F8 J8">
    <cfRule type="expression" dxfId="27" priority="34">
      <formula>$C$8="Low"</formula>
    </cfRule>
  </conditionalFormatting>
  <conditionalFormatting sqref="D7:G7 J7">
    <cfRule type="expression" dxfId="26" priority="35">
      <formula>$C$7="Low"</formula>
    </cfRule>
  </conditionalFormatting>
  <conditionalFormatting sqref="D9:G9 J9:J10">
    <cfRule type="expression" dxfId="25" priority="33">
      <formula>$C$9="Low"</formula>
    </cfRule>
  </conditionalFormatting>
  <conditionalFormatting sqref="D12:G12 J12">
    <cfRule type="expression" dxfId="24" priority="31">
      <formula>$C$12="Low"</formula>
    </cfRule>
  </conditionalFormatting>
  <conditionalFormatting sqref="D14:G14 J14">
    <cfRule type="expression" dxfId="23" priority="29">
      <formula>$C$14="Low"</formula>
    </cfRule>
  </conditionalFormatting>
  <conditionalFormatting sqref="D16:G16 I16:J16">
    <cfRule type="expression" dxfId="22" priority="27">
      <formula>$C$16="Low"</formula>
    </cfRule>
  </conditionalFormatting>
  <conditionalFormatting sqref="D17:G17 J17">
    <cfRule type="expression" dxfId="21" priority="26">
      <formula>$C$17="Low"</formula>
    </cfRule>
  </conditionalFormatting>
  <conditionalFormatting sqref="D19:G19 J20">
    <cfRule type="expression" dxfId="20" priority="24">
      <formula>$C$19="Low"</formula>
    </cfRule>
  </conditionalFormatting>
  <conditionalFormatting sqref="D21:G21 J21">
    <cfRule type="expression" dxfId="19" priority="22">
      <formula>$C$21="Low"</formula>
    </cfRule>
  </conditionalFormatting>
  <conditionalFormatting sqref="D15:J15">
    <cfRule type="expression" dxfId="18" priority="28">
      <formula>$C$15="Low"</formula>
    </cfRule>
  </conditionalFormatting>
  <conditionalFormatting sqref="D18:J18">
    <cfRule type="expression" dxfId="17" priority="25">
      <formula>$C$18="Low"</formula>
    </cfRule>
  </conditionalFormatting>
  <conditionalFormatting sqref="D20:J20">
    <cfRule type="expression" dxfId="16" priority="23">
      <formula>$C$20="Low"</formula>
    </cfRule>
  </conditionalFormatting>
  <conditionalFormatting sqref="D22:J22">
    <cfRule type="expression" dxfId="15" priority="21">
      <formula>$C$22="Low"</formula>
    </cfRule>
  </conditionalFormatting>
  <conditionalFormatting sqref="G6">
    <cfRule type="expression" dxfId="14" priority="17">
      <formula>$C$7="Low"</formula>
    </cfRule>
  </conditionalFormatting>
  <conditionalFormatting sqref="G8">
    <cfRule type="expression" dxfId="13" priority="1">
      <formula>$C$9="Low"</formula>
    </cfRule>
  </conditionalFormatting>
  <conditionalFormatting sqref="H16:H17">
    <cfRule type="expression" dxfId="12" priority="6">
      <formula>$C$6="Low"</formula>
    </cfRule>
  </conditionalFormatting>
  <conditionalFormatting sqref="H19">
    <cfRule type="expression" dxfId="11" priority="5">
      <formula>$C$6="Low"</formula>
    </cfRule>
  </conditionalFormatting>
  <conditionalFormatting sqref="H21">
    <cfRule type="expression" dxfId="10" priority="4">
      <formula>$C$6="Low"</formula>
    </cfRule>
  </conditionalFormatting>
  <conditionalFormatting sqref="H24:H34">
    <cfRule type="expression" dxfId="9" priority="3">
      <formula>$C$6="Low"</formula>
    </cfRule>
  </conditionalFormatting>
  <conditionalFormatting sqref="H7:I10">
    <cfRule type="expression" dxfId="8" priority="14">
      <formula>$C$6="Low"</formula>
    </cfRule>
  </conditionalFormatting>
  <conditionalFormatting sqref="H12:I14">
    <cfRule type="expression" dxfId="7" priority="7">
      <formula>$C$6="Low"</formula>
    </cfRule>
  </conditionalFormatting>
  <conditionalFormatting sqref="I17">
    <cfRule type="expression" dxfId="6" priority="11">
      <formula>$C$16="Low"</formula>
    </cfRule>
  </conditionalFormatting>
  <conditionalFormatting sqref="I19">
    <cfRule type="expression" dxfId="5" priority="10">
      <formula>$C$16="Low"</formula>
    </cfRule>
  </conditionalFormatting>
  <conditionalFormatting sqref="I21">
    <cfRule type="expression" dxfId="4" priority="9">
      <formula>$C$16="Low"</formula>
    </cfRule>
  </conditionalFormatting>
  <conditionalFormatting sqref="I24:I34">
    <cfRule type="expression" dxfId="3" priority="8">
      <formula>$C$16="Low"</formula>
    </cfRule>
  </conditionalFormatting>
  <conditionalFormatting sqref="J19">
    <cfRule type="expression" dxfId="2" priority="2">
      <formula>$C$17="Low"</formula>
    </cfRule>
  </conditionalFormatting>
  <dataValidations count="3">
    <dataValidation type="list" allowBlank="1" showInputMessage="1" showErrorMessage="1" sqref="D32:D34 F24:F34 F6:F10 F12:F22 C11 D6:D12 D14:D22"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topLeftCell="B17" zoomScale="87" zoomScaleNormal="85" workbookViewId="0">
      <selection activeCell="H24" sqref="H24"/>
    </sheetView>
  </sheetViews>
  <sheetFormatPr defaultColWidth="11.3984375" defaultRowHeight="12.75" outlineLevelCol="1" x14ac:dyDescent="0.35"/>
  <cols>
    <col min="1" max="1" width="24.3984375" bestFit="1" customWidth="1"/>
    <col min="2" max="2" width="11.3984375" customWidth="1" outlineLevel="1"/>
    <col min="3" max="3" width="32.1328125" customWidth="1" outlineLevel="1"/>
    <col min="4" max="4" width="20" customWidth="1" outlineLevel="1"/>
    <col min="5" max="5" width="24" customWidth="1"/>
    <col min="6" max="6" width="27.265625" customWidth="1"/>
    <col min="7" max="7" width="14.1328125" style="2" customWidth="1"/>
    <col min="8" max="8" width="12.3984375" style="2" customWidth="1"/>
    <col min="9" max="32" width="11.1328125" style="2" customWidth="1"/>
    <col min="33" max="33" width="14.3984375" customWidth="1"/>
  </cols>
  <sheetData>
    <row r="1" spans="1:40" ht="21" customHeight="1" x14ac:dyDescent="0.35">
      <c r="A1" s="1082" t="s">
        <v>331</v>
      </c>
      <c r="B1" s="1082"/>
      <c r="C1" s="1082"/>
      <c r="D1" s="1082"/>
      <c r="E1" s="1082"/>
      <c r="F1" s="1082"/>
      <c r="G1" s="1082"/>
      <c r="H1" s="1082"/>
      <c r="I1" s="1082"/>
      <c r="J1" s="1082"/>
      <c r="K1" s="1082"/>
      <c r="L1" s="1082"/>
      <c r="M1" s="1082"/>
      <c r="N1" s="1082"/>
      <c r="O1" s="1082"/>
      <c r="P1" s="1082"/>
      <c r="Q1" s="1082"/>
      <c r="R1" s="1082"/>
      <c r="S1" s="1082"/>
      <c r="T1" s="1082"/>
      <c r="U1" s="1082"/>
      <c r="V1" s="1082"/>
      <c r="W1" s="1082"/>
      <c r="X1" s="1082"/>
      <c r="Y1" s="1082"/>
      <c r="Z1" s="1082"/>
      <c r="AA1" s="1082"/>
      <c r="AB1" s="1082"/>
      <c r="AC1" s="1082"/>
      <c r="AD1" s="1082"/>
      <c r="AE1" s="1082"/>
      <c r="AF1" s="1082"/>
      <c r="AG1" s="10"/>
      <c r="AH1" s="10"/>
      <c r="AI1" s="10"/>
      <c r="AJ1" s="10"/>
      <c r="AK1" s="10"/>
      <c r="AL1" s="10"/>
      <c r="AM1" s="10"/>
      <c r="AN1" s="10"/>
    </row>
    <row r="2" spans="1:40" ht="3.75" customHeight="1" thickBot="1" x14ac:dyDescent="0.5">
      <c r="A2" s="1083"/>
      <c r="B2" s="1083"/>
      <c r="C2" s="1083"/>
      <c r="D2" s="1083"/>
      <c r="E2" s="1083"/>
      <c r="F2" s="1083"/>
      <c r="G2" s="1083"/>
      <c r="H2" s="1083"/>
      <c r="I2" s="1083"/>
      <c r="J2" s="1083"/>
      <c r="K2" s="1083"/>
      <c r="L2" s="1083"/>
      <c r="M2" s="1083"/>
      <c r="N2" s="1083"/>
      <c r="O2" s="1083"/>
      <c r="P2" s="1083"/>
      <c r="Q2" s="1083"/>
      <c r="R2" s="1083"/>
      <c r="S2" s="1083"/>
      <c r="T2" s="1083"/>
      <c r="U2" s="1083"/>
      <c r="V2" s="1083"/>
      <c r="W2" s="1083"/>
      <c r="X2" s="1083"/>
      <c r="Y2" s="1083"/>
      <c r="Z2" s="1083"/>
      <c r="AA2" s="1083"/>
      <c r="AB2" s="1083"/>
      <c r="AC2" s="1083"/>
      <c r="AD2" s="1083"/>
      <c r="AE2" s="1083"/>
      <c r="AF2" s="1083"/>
      <c r="AG2" s="484"/>
      <c r="AH2" s="10"/>
      <c r="AI2" s="10"/>
      <c r="AJ2" s="10"/>
      <c r="AK2" s="10"/>
      <c r="AL2" s="10"/>
      <c r="AM2" s="10"/>
      <c r="AN2" s="10"/>
    </row>
    <row r="3" spans="1:40" ht="18" x14ac:dyDescent="0.55000000000000004">
      <c r="A3" s="242"/>
      <c r="B3" s="242"/>
      <c r="C3" s="242"/>
      <c r="D3" s="242"/>
      <c r="E3" s="242"/>
      <c r="F3" s="242"/>
      <c r="G3" s="1089" t="s">
        <v>332</v>
      </c>
      <c r="H3" s="1090"/>
      <c r="I3" s="1090"/>
      <c r="J3" s="1090"/>
      <c r="K3" s="1091" t="s">
        <v>333</v>
      </c>
      <c r="L3" s="1092"/>
      <c r="M3" s="1092"/>
      <c r="N3" s="1092"/>
      <c r="O3" s="1092"/>
      <c r="P3" s="1092"/>
      <c r="Q3" s="1092"/>
      <c r="R3" s="1092"/>
      <c r="S3" s="1092"/>
      <c r="T3" s="1092"/>
      <c r="U3" s="1092"/>
      <c r="V3" s="1092"/>
      <c r="W3" s="1092"/>
      <c r="X3" s="1092"/>
      <c r="Y3" s="1092"/>
      <c r="Z3" s="1092"/>
      <c r="AA3" s="1092"/>
      <c r="AB3" s="1092"/>
      <c r="AC3" s="1092"/>
      <c r="AD3" s="1092"/>
      <c r="AE3" s="1092"/>
      <c r="AF3" s="1093"/>
      <c r="AG3" s="484"/>
      <c r="AH3" s="10"/>
      <c r="AI3" s="10"/>
      <c r="AJ3" s="10"/>
      <c r="AK3" s="10"/>
      <c r="AL3" s="10"/>
      <c r="AM3" s="10"/>
      <c r="AN3" s="10"/>
    </row>
    <row r="4" spans="1:40" ht="14.25" x14ac:dyDescent="0.45">
      <c r="A4" s="265" t="s">
        <v>334</v>
      </c>
      <c r="B4" s="726" t="s">
        <v>335</v>
      </c>
      <c r="C4" s="727" t="s">
        <v>336</v>
      </c>
      <c r="D4" s="272" t="s">
        <v>337</v>
      </c>
      <c r="E4" s="272" t="s">
        <v>338</v>
      </c>
      <c r="F4" s="273" t="s">
        <v>339</v>
      </c>
      <c r="G4" s="775" t="s">
        <v>340</v>
      </c>
      <c r="H4" s="272">
        <v>2025</v>
      </c>
      <c r="I4" s="272">
        <f t="shared" ref="I4:AF4" si="0">H4+1</f>
        <v>2026</v>
      </c>
      <c r="J4" s="273">
        <f t="shared" si="0"/>
        <v>2027</v>
      </c>
      <c r="K4" s="274">
        <f t="shared" si="0"/>
        <v>2028</v>
      </c>
      <c r="L4" s="274">
        <f t="shared" si="0"/>
        <v>2029</v>
      </c>
      <c r="M4" s="274">
        <f t="shared" si="0"/>
        <v>2030</v>
      </c>
      <c r="N4" s="274">
        <f t="shared" si="0"/>
        <v>2031</v>
      </c>
      <c r="O4" s="274">
        <f t="shared" si="0"/>
        <v>2032</v>
      </c>
      <c r="P4" s="274">
        <f t="shared" si="0"/>
        <v>2033</v>
      </c>
      <c r="Q4" s="274">
        <f t="shared" si="0"/>
        <v>2034</v>
      </c>
      <c r="R4" s="274">
        <f t="shared" si="0"/>
        <v>2035</v>
      </c>
      <c r="S4" s="274">
        <f t="shared" si="0"/>
        <v>2036</v>
      </c>
      <c r="T4" s="274">
        <f t="shared" si="0"/>
        <v>2037</v>
      </c>
      <c r="U4" s="274">
        <f t="shared" si="0"/>
        <v>2038</v>
      </c>
      <c r="V4" s="274">
        <f t="shared" si="0"/>
        <v>2039</v>
      </c>
      <c r="W4" s="274">
        <f t="shared" si="0"/>
        <v>2040</v>
      </c>
      <c r="X4" s="274">
        <f t="shared" si="0"/>
        <v>2041</v>
      </c>
      <c r="Y4" s="274">
        <f t="shared" si="0"/>
        <v>2042</v>
      </c>
      <c r="Z4" s="274">
        <f t="shared" si="0"/>
        <v>2043</v>
      </c>
      <c r="AA4" s="274">
        <f t="shared" si="0"/>
        <v>2044</v>
      </c>
      <c r="AB4" s="274">
        <f t="shared" si="0"/>
        <v>2045</v>
      </c>
      <c r="AC4" s="274">
        <f t="shared" si="0"/>
        <v>2046</v>
      </c>
      <c r="AD4" s="274">
        <f t="shared" si="0"/>
        <v>2047</v>
      </c>
      <c r="AE4" s="274">
        <f t="shared" si="0"/>
        <v>2048</v>
      </c>
      <c r="AF4" s="275">
        <f t="shared" si="0"/>
        <v>2049</v>
      </c>
      <c r="AG4" s="484"/>
      <c r="AH4" s="10"/>
      <c r="AI4" s="10"/>
      <c r="AJ4" s="10"/>
      <c r="AK4" s="10"/>
      <c r="AL4" s="10"/>
      <c r="AM4" s="10"/>
      <c r="AN4" s="10"/>
    </row>
    <row r="5" spans="1:40" ht="13.15" x14ac:dyDescent="0.4">
      <c r="A5" s="860" t="s">
        <v>341</v>
      </c>
      <c r="B5" s="710">
        <v>1</v>
      </c>
      <c r="C5" s="728" t="s">
        <v>342</v>
      </c>
      <c r="D5" s="716">
        <f>'Fin. Data'!D6</f>
        <v>0.32037429966430353</v>
      </c>
      <c r="E5" s="279">
        <f t="shared" ref="E5:S5" si="1">+E6/D6-1</f>
        <v>6.8566932646747514E-3</v>
      </c>
      <c r="F5" s="318">
        <f t="shared" si="1"/>
        <v>0.26119189922125452</v>
      </c>
      <c r="G5" s="333">
        <f>+G6/F6-1</f>
        <v>0.17068626966086886</v>
      </c>
      <c r="H5" s="334">
        <f>+H6/G6-1</f>
        <v>3.7869186347563977E-2</v>
      </c>
      <c r="I5" s="334">
        <f>+I6/H6-1</f>
        <v>6.1770631390884567E-2</v>
      </c>
      <c r="J5" s="335">
        <f>Assumptions!$M9</f>
        <v>0.1020981763021228</v>
      </c>
      <c r="K5" s="335">
        <f>Assumptions!$M9</f>
        <v>0.1020981763021228</v>
      </c>
      <c r="L5" s="335">
        <f>Assumptions!$M9</f>
        <v>0.1020981763021228</v>
      </c>
      <c r="M5" s="335">
        <f>Assumptions!$M9</f>
        <v>0.1020981763021228</v>
      </c>
      <c r="N5" s="334">
        <f t="shared" si="1"/>
        <v>9.000000000000008E-2</v>
      </c>
      <c r="O5" s="334">
        <f t="shared" si="1"/>
        <v>8.0000000000000071E-2</v>
      </c>
      <c r="P5" s="334">
        <f t="shared" si="1"/>
        <v>7.0000000000000062E-2</v>
      </c>
      <c r="Q5" s="334">
        <f t="shared" si="1"/>
        <v>6.0000000000000053E-2</v>
      </c>
      <c r="R5" s="334">
        <f t="shared" si="1"/>
        <v>5.0000000000000044E-2</v>
      </c>
      <c r="S5" s="334">
        <f t="shared" si="1"/>
        <v>4.4999999999999929E-2</v>
      </c>
      <c r="T5" s="334">
        <f>4.2%</f>
        <v>4.2000000000000003E-2</v>
      </c>
      <c r="U5" s="334">
        <f>3.9%</f>
        <v>3.9E-2</v>
      </c>
      <c r="V5" s="334">
        <f>3.5%</f>
        <v>3.5000000000000003E-2</v>
      </c>
      <c r="W5" s="334">
        <f>3.4%</f>
        <v>3.4000000000000002E-2</v>
      </c>
      <c r="X5" s="334">
        <f>3.3%</f>
        <v>3.3000000000000002E-2</v>
      </c>
      <c r="Y5" s="334">
        <f>3.2%</f>
        <v>3.2000000000000001E-2</v>
      </c>
      <c r="Z5" s="334">
        <f>3.1%</f>
        <v>3.1E-2</v>
      </c>
      <c r="AA5" s="334">
        <f>3%</f>
        <v>0.03</v>
      </c>
      <c r="AB5" s="334">
        <f>2.9%</f>
        <v>2.8999999999999998E-2</v>
      </c>
      <c r="AC5" s="334">
        <f>2.8%</f>
        <v>2.7999999999999997E-2</v>
      </c>
      <c r="AD5" s="334">
        <f>2.7%</f>
        <v>2.7000000000000003E-2</v>
      </c>
      <c r="AE5" s="334">
        <f>2.6%</f>
        <v>2.6000000000000002E-2</v>
      </c>
      <c r="AF5" s="335">
        <f>2.5%</f>
        <v>2.5000000000000001E-2</v>
      </c>
      <c r="AG5" s="398"/>
      <c r="AH5" s="10"/>
      <c r="AI5" s="10"/>
      <c r="AJ5" s="10"/>
      <c r="AK5" s="10"/>
      <c r="AL5" s="10"/>
      <c r="AM5" s="10"/>
      <c r="AN5" s="10"/>
    </row>
    <row r="6" spans="1:40" ht="14.25" x14ac:dyDescent="0.45">
      <c r="A6" s="860"/>
      <c r="B6" s="710">
        <v>2</v>
      </c>
      <c r="C6" s="711" t="s">
        <v>343</v>
      </c>
      <c r="D6" s="717">
        <f>Inputs!D6</f>
        <v>136404.70000000001</v>
      </c>
      <c r="E6" s="651">
        <f>Inputs!C6</f>
        <v>137339.98518776</v>
      </c>
      <c r="F6" s="319">
        <f>Inputs!B6</f>
        <v>173212.07675797</v>
      </c>
      <c r="G6" s="327">
        <v>202777</v>
      </c>
      <c r="H6" s="327">
        <v>210456</v>
      </c>
      <c r="I6" s="325">
        <v>223456</v>
      </c>
      <c r="J6" s="328">
        <f>I$6*(1+J$5)</f>
        <v>246270.45008376712</v>
      </c>
      <c r="K6" s="328">
        <f t="shared" ref="K6" si="2">J$6*(1+K$5)</f>
        <v>271414.21391442267</v>
      </c>
      <c r="L6" s="328">
        <f t="shared" ref="L6" si="3">K$6*(1+L$5)</f>
        <v>299125.11017755943</v>
      </c>
      <c r="M6" s="328">
        <f t="shared" ref="M6" si="4">L$6*(1+M$5)</f>
        <v>329665.23841285979</v>
      </c>
      <c r="N6" s="328">
        <f>M$6*(1+9%)</f>
        <v>359335.10987001722</v>
      </c>
      <c r="O6" s="328">
        <f>N$6*(1+8%)</f>
        <v>388081.91865961859</v>
      </c>
      <c r="P6" s="328">
        <f>O$6*(1+7%)</f>
        <v>415247.65296579193</v>
      </c>
      <c r="Q6" s="328">
        <f>P$6*(1+6%)</f>
        <v>440162.51214373944</v>
      </c>
      <c r="R6" s="328">
        <f>Q$6*(1+5%)</f>
        <v>462170.63775092643</v>
      </c>
      <c r="S6" s="328">
        <f>R$6*(1+4.5%)</f>
        <v>482968.31644971808</v>
      </c>
      <c r="T6" s="325">
        <f>S6*(T5+1)</f>
        <v>503252.98574060627</v>
      </c>
      <c r="U6" s="325">
        <f>T$6*(U$5+1)</f>
        <v>522879.85218448989</v>
      </c>
      <c r="V6" s="325">
        <f>U$6*(V$5+1)</f>
        <v>541180.647010947</v>
      </c>
      <c r="W6" s="325">
        <f t="shared" ref="W6:AF6" si="5">V$6*(W$5+1)</f>
        <v>559580.78900931915</v>
      </c>
      <c r="X6" s="325">
        <f t="shared" si="5"/>
        <v>578046.95504662662</v>
      </c>
      <c r="Y6" s="325">
        <f t="shared" si="5"/>
        <v>596544.45760811865</v>
      </c>
      <c r="Z6" s="325">
        <f t="shared" si="5"/>
        <v>615037.33579397027</v>
      </c>
      <c r="AA6" s="325">
        <f t="shared" si="5"/>
        <v>633488.45586778934</v>
      </c>
      <c r="AB6" s="325">
        <f t="shared" si="5"/>
        <v>651859.62108795519</v>
      </c>
      <c r="AC6" s="325">
        <f t="shared" si="5"/>
        <v>670111.69047841791</v>
      </c>
      <c r="AD6" s="325">
        <f t="shared" si="5"/>
        <v>688204.70612133516</v>
      </c>
      <c r="AE6" s="325">
        <f t="shared" si="5"/>
        <v>706098.02848048985</v>
      </c>
      <c r="AF6" s="325">
        <f t="shared" si="5"/>
        <v>723750.47919250198</v>
      </c>
      <c r="AG6" s="485"/>
      <c r="AH6" s="10"/>
      <c r="AI6" s="10"/>
      <c r="AJ6" s="10"/>
      <c r="AK6" s="10"/>
      <c r="AL6" s="10"/>
      <c r="AM6" s="10"/>
      <c r="AN6" s="10"/>
    </row>
    <row r="7" spans="1:40" ht="13.15" x14ac:dyDescent="0.4">
      <c r="A7" s="860"/>
      <c r="B7" s="710">
        <v>3</v>
      </c>
      <c r="C7" s="712" t="s">
        <v>344</v>
      </c>
      <c r="D7" s="718">
        <f>D8/D6</f>
        <v>3.527297813051896E-2</v>
      </c>
      <c r="E7" s="315">
        <f t="shared" ref="E7" si="6">E8/E6</f>
        <v>3.5008013095580978E-2</v>
      </c>
      <c r="F7" s="320">
        <f>F8/F6</f>
        <v>3.6453000958026269E-2</v>
      </c>
      <c r="G7" s="776">
        <f>2.8%</f>
        <v>2.7999999999999997E-2</v>
      </c>
      <c r="H7" s="776">
        <f>G$7-(0.2/100)</f>
        <v>2.5999999999999995E-2</v>
      </c>
      <c r="I7" s="776">
        <f>H$7+(0.2/100)</f>
        <v>2.7999999999999997E-2</v>
      </c>
      <c r="J7" s="776">
        <f>I$7+(0.2/100)</f>
        <v>0.03</v>
      </c>
      <c r="K7" s="776">
        <f>Assumptions!N10</f>
        <v>4.0566724187750418E-2</v>
      </c>
      <c r="L7" s="776">
        <f>K$7+(0.2/100)</f>
        <v>4.256672418775042E-2</v>
      </c>
      <c r="M7" s="776">
        <f t="shared" ref="M7:T7" si="7">L$7+(0.2/100)</f>
        <v>4.4566724187750421E-2</v>
      </c>
      <c r="N7" s="776">
        <f t="shared" si="7"/>
        <v>4.6566724187750423E-2</v>
      </c>
      <c r="O7" s="776">
        <f t="shared" si="7"/>
        <v>4.8566724187750425E-2</v>
      </c>
      <c r="P7" s="776">
        <f t="shared" si="7"/>
        <v>5.0566724187750427E-2</v>
      </c>
      <c r="Q7" s="776">
        <f t="shared" si="7"/>
        <v>5.2566724187750428E-2</v>
      </c>
      <c r="R7" s="776">
        <f t="shared" si="7"/>
        <v>5.456672418775043E-2</v>
      </c>
      <c r="S7" s="776">
        <f t="shared" si="7"/>
        <v>5.6566724187750432E-2</v>
      </c>
      <c r="T7" s="776">
        <f t="shared" si="7"/>
        <v>5.8566724187750434E-2</v>
      </c>
      <c r="U7" s="776">
        <f t="shared" ref="U7" si="8">T$7-(0.2/100)</f>
        <v>5.6566724187750432E-2</v>
      </c>
      <c r="V7" s="776">
        <f t="shared" ref="V7" si="9">U$7-(0.2/100)</f>
        <v>5.456672418775043E-2</v>
      </c>
      <c r="W7" s="776">
        <f t="shared" ref="W7" si="10">V$7-(0.2/100)</f>
        <v>5.2566724187750428E-2</v>
      </c>
      <c r="X7" s="776">
        <f t="shared" ref="X7" si="11">W$7-(0.2/100)</f>
        <v>5.0566724187750427E-2</v>
      </c>
      <c r="Y7" s="776">
        <f t="shared" ref="Y7" si="12">X$7-(0.2/100)</f>
        <v>4.8566724187750425E-2</v>
      </c>
      <c r="Z7" s="776">
        <f t="shared" ref="Z7" si="13">Y$7-(0.2/100)</f>
        <v>4.6566724187750423E-2</v>
      </c>
      <c r="AA7" s="776">
        <f t="shared" ref="AA7" si="14">Z$7-(0.2/100)</f>
        <v>4.4566724187750421E-2</v>
      </c>
      <c r="AB7" s="776">
        <f t="shared" ref="AB7" si="15">AA$7-(0.2/100)</f>
        <v>4.256672418775042E-2</v>
      </c>
      <c r="AC7" s="776">
        <f t="shared" ref="AC7" si="16">AB$7-(0.2/100)</f>
        <v>4.0566724187750418E-2</v>
      </c>
      <c r="AD7" s="776">
        <f t="shared" ref="AD7" si="17">AC$7-(0.2/100)</f>
        <v>3.8566724187750416E-2</v>
      </c>
      <c r="AE7" s="776">
        <f t="shared" ref="AE7" si="18">AD$7-(0.2/100)</f>
        <v>3.6566724187750414E-2</v>
      </c>
      <c r="AF7" s="776">
        <f t="shared" ref="AF7" si="19">AE$7-(0.2/100)</f>
        <v>3.4566724187750413E-2</v>
      </c>
      <c r="AG7" s="398"/>
      <c r="AH7" s="10"/>
      <c r="AI7" s="10"/>
      <c r="AJ7" s="10"/>
      <c r="AK7" s="10"/>
      <c r="AL7" s="10"/>
      <c r="AM7" s="10"/>
      <c r="AN7" s="10"/>
    </row>
    <row r="8" spans="1:40" ht="14.25" x14ac:dyDescent="0.45">
      <c r="A8" s="860"/>
      <c r="B8" s="710">
        <v>4</v>
      </c>
      <c r="C8" s="713" t="s">
        <v>48</v>
      </c>
      <c r="D8" s="719">
        <f>'Fin. Data'!D11</f>
        <v>4811.3999999999996</v>
      </c>
      <c r="E8" s="316">
        <f>'Fin. Data'!C11</f>
        <v>4808</v>
      </c>
      <c r="F8" s="321">
        <f>'Fin. Data'!B11</f>
        <v>6314.1</v>
      </c>
      <c r="G8" s="327">
        <f>G7*G6</f>
        <v>5677.7559999999994</v>
      </c>
      <c r="H8" s="325">
        <f t="shared" ref="H8:AF8" si="20">H7*H6</f>
        <v>5471.8559999999989</v>
      </c>
      <c r="I8" s="325">
        <f t="shared" si="20"/>
        <v>6256.7679999999991</v>
      </c>
      <c r="J8" s="328">
        <f t="shared" si="20"/>
        <v>7388.1135025130134</v>
      </c>
      <c r="K8" s="327">
        <f t="shared" si="20"/>
        <v>11010.385556501476</v>
      </c>
      <c r="L8" s="325">
        <f t="shared" si="20"/>
        <v>12732.776062558629</v>
      </c>
      <c r="M8" s="325">
        <f t="shared" si="20"/>
        <v>14692.099754634908</v>
      </c>
      <c r="N8" s="325">
        <f t="shared" si="20"/>
        <v>16733.058952292085</v>
      </c>
      <c r="O8" s="325">
        <f t="shared" si="20"/>
        <v>18847.867505794689</v>
      </c>
      <c r="P8" s="325">
        <f t="shared" si="20"/>
        <v>20997.713537131905</v>
      </c>
      <c r="Q8" s="325">
        <f t="shared" si="20"/>
        <v>23137.901373647299</v>
      </c>
      <c r="R8" s="325">
        <f t="shared" si="20"/>
        <v>25219.13771783152</v>
      </c>
      <c r="S8" s="325">
        <f t="shared" si="20"/>
        <v>27319.935548033372</v>
      </c>
      <c r="T8" s="325">
        <f t="shared" si="20"/>
        <v>29473.878812531988</v>
      </c>
      <c r="U8" s="325">
        <f t="shared" si="20"/>
        <v>29577.600381851757</v>
      </c>
      <c r="V8" s="325">
        <f t="shared" si="20"/>
        <v>29530.455101194668</v>
      </c>
      <c r="W8" s="325">
        <f t="shared" si="20"/>
        <v>29415.328996616645</v>
      </c>
      <c r="X8" s="325">
        <f t="shared" si="20"/>
        <v>29229.940943411737</v>
      </c>
      <c r="Y8" s="325">
        <f t="shared" si="20"/>
        <v>28972.210138384675</v>
      </c>
      <c r="Z8" s="325">
        <f t="shared" si="20"/>
        <v>28640.273981086655</v>
      </c>
      <c r="AA8" s="325">
        <f t="shared" si="20"/>
        <v>28232.505288783672</v>
      </c>
      <c r="AB8" s="325">
        <f t="shared" si="20"/>
        <v>27747.528699982486</v>
      </c>
      <c r="AC8" s="325">
        <f t="shared" si="20"/>
        <v>27184.236122625156</v>
      </c>
      <c r="AD8" s="325">
        <f t="shared" si="20"/>
        <v>26541.801085693365</v>
      </c>
      <c r="AE8" s="325">
        <f t="shared" si="20"/>
        <v>25819.691856960409</v>
      </c>
      <c r="AF8" s="328">
        <f t="shared" si="20"/>
        <v>25017.683194999408</v>
      </c>
      <c r="AG8" s="470"/>
      <c r="AH8" s="7"/>
      <c r="AI8" s="7"/>
      <c r="AJ8" s="7"/>
      <c r="AK8" s="10"/>
      <c r="AL8" s="10"/>
      <c r="AM8" s="10"/>
      <c r="AN8" s="10"/>
    </row>
    <row r="9" spans="1:40" ht="14.25" x14ac:dyDescent="0.45">
      <c r="A9" s="860"/>
      <c r="B9" s="710" t="s">
        <v>345</v>
      </c>
      <c r="C9" s="711" t="s">
        <v>346</v>
      </c>
      <c r="D9" s="777">
        <f>Inputs!D$61</f>
        <v>5509.1</v>
      </c>
      <c r="E9" s="777">
        <f>Inputs!C$61</f>
        <v>6520.1</v>
      </c>
      <c r="F9" s="777">
        <f>Inputs!B$61</f>
        <v>7673</v>
      </c>
      <c r="G9" s="464">
        <f>F9*(1+$D$53)</f>
        <v>8325.2049999999999</v>
      </c>
      <c r="H9" s="464">
        <f t="shared" ref="H9:J9" si="21">G9*(1+$D$53)</f>
        <v>9032.8474249999999</v>
      </c>
      <c r="I9" s="464">
        <f t="shared" si="21"/>
        <v>9800.6394561249999</v>
      </c>
      <c r="J9" s="464">
        <f t="shared" si="21"/>
        <v>10633.693809895625</v>
      </c>
      <c r="K9" s="464">
        <f>J9*(1+$E$53)</f>
        <v>11165.378500390407</v>
      </c>
      <c r="L9" s="464">
        <f t="shared" ref="L9:AF9" si="22">K9*(1+$E$53)</f>
        <v>11723.647425409928</v>
      </c>
      <c r="M9" s="464">
        <f t="shared" si="22"/>
        <v>12309.829796680426</v>
      </c>
      <c r="N9" s="464">
        <f t="shared" si="22"/>
        <v>12925.321286514447</v>
      </c>
      <c r="O9" s="464">
        <f t="shared" si="22"/>
        <v>13571.587350840169</v>
      </c>
      <c r="P9" s="464">
        <f t="shared" si="22"/>
        <v>14250.166718382177</v>
      </c>
      <c r="Q9" s="464">
        <f t="shared" si="22"/>
        <v>14962.675054301288</v>
      </c>
      <c r="R9" s="464">
        <f t="shared" si="22"/>
        <v>15710.808807016352</v>
      </c>
      <c r="S9" s="464">
        <f t="shared" si="22"/>
        <v>16496.349247367172</v>
      </c>
      <c r="T9" s="464">
        <f t="shared" si="22"/>
        <v>17321.166709735531</v>
      </c>
      <c r="U9" s="464">
        <f t="shared" si="22"/>
        <v>18187.225045222309</v>
      </c>
      <c r="V9" s="464">
        <f t="shared" si="22"/>
        <v>19096.586297483424</v>
      </c>
      <c r="W9" s="464">
        <f t="shared" si="22"/>
        <v>20051.415612357596</v>
      </c>
      <c r="X9" s="464">
        <f t="shared" si="22"/>
        <v>21053.986392975476</v>
      </c>
      <c r="Y9" s="464">
        <f t="shared" si="22"/>
        <v>22106.68571262425</v>
      </c>
      <c r="Z9" s="464">
        <f t="shared" si="22"/>
        <v>23212.019998255462</v>
      </c>
      <c r="AA9" s="464">
        <f t="shared" si="22"/>
        <v>24372.620998168237</v>
      </c>
      <c r="AB9" s="464">
        <f t="shared" si="22"/>
        <v>25591.252048076651</v>
      </c>
      <c r="AC9" s="464">
        <f t="shared" si="22"/>
        <v>26870.814650480483</v>
      </c>
      <c r="AD9" s="464">
        <f t="shared" si="22"/>
        <v>28214.355383004509</v>
      </c>
      <c r="AE9" s="464">
        <f t="shared" si="22"/>
        <v>29625.073152154735</v>
      </c>
      <c r="AF9" s="464">
        <f t="shared" si="22"/>
        <v>31106.326809762471</v>
      </c>
      <c r="AG9" s="471">
        <f>SUM(D9:AF9)</f>
        <v>487419.87868822413</v>
      </c>
      <c r="AH9" s="7"/>
      <c r="AI9" s="7"/>
      <c r="AJ9" s="7"/>
      <c r="AK9" s="10"/>
      <c r="AL9" s="10"/>
      <c r="AM9" s="10"/>
      <c r="AN9" s="10"/>
    </row>
    <row r="10" spans="1:40" ht="14.25" x14ac:dyDescent="0.45">
      <c r="A10" s="860"/>
      <c r="B10" s="710" t="s">
        <v>347</v>
      </c>
      <c r="C10" s="711" t="s">
        <v>348</v>
      </c>
      <c r="D10" s="720">
        <v>0</v>
      </c>
      <c r="E10" s="462">
        <v>0</v>
      </c>
      <c r="F10" s="463">
        <v>0</v>
      </c>
      <c r="G10" s="463">
        <v>0</v>
      </c>
      <c r="H10" s="463">
        <v>0</v>
      </c>
      <c r="I10" s="463">
        <v>0</v>
      </c>
      <c r="J10" s="463">
        <v>0</v>
      </c>
      <c r="K10" s="463">
        <v>0</v>
      </c>
      <c r="L10" s="463">
        <v>0</v>
      </c>
      <c r="M10" s="463">
        <v>0</v>
      </c>
      <c r="N10" s="463">
        <v>0</v>
      </c>
      <c r="O10" s="463">
        <v>0</v>
      </c>
      <c r="P10" s="463">
        <v>0</v>
      </c>
      <c r="Q10" s="463">
        <v>0</v>
      </c>
      <c r="R10" s="463">
        <v>0</v>
      </c>
      <c r="S10" s="463">
        <v>0</v>
      </c>
      <c r="T10" s="463">
        <v>0</v>
      </c>
      <c r="U10" s="463">
        <v>0</v>
      </c>
      <c r="V10" s="463">
        <v>0</v>
      </c>
      <c r="W10" s="463">
        <v>0</v>
      </c>
      <c r="X10" s="463">
        <v>0</v>
      </c>
      <c r="Y10" s="463">
        <v>0</v>
      </c>
      <c r="Z10" s="463">
        <v>0</v>
      </c>
      <c r="AA10" s="463">
        <v>0</v>
      </c>
      <c r="AB10" s="463">
        <v>0</v>
      </c>
      <c r="AC10" s="463">
        <v>0</v>
      </c>
      <c r="AD10" s="463">
        <v>0</v>
      </c>
      <c r="AE10" s="463">
        <v>0</v>
      </c>
      <c r="AF10" s="463">
        <v>0</v>
      </c>
      <c r="AG10" s="470"/>
      <c r="AH10" s="7"/>
      <c r="AI10" s="7"/>
      <c r="AJ10" s="7"/>
      <c r="AK10" s="10"/>
      <c r="AL10" s="10"/>
      <c r="AM10" s="10"/>
      <c r="AN10" s="10"/>
    </row>
    <row r="11" spans="1:40" ht="14.25" x14ac:dyDescent="0.45">
      <c r="A11" s="860"/>
      <c r="B11" s="710" t="s">
        <v>349</v>
      </c>
      <c r="C11" s="711" t="s">
        <v>350</v>
      </c>
      <c r="D11" s="720">
        <f>D20</f>
        <v>0</v>
      </c>
      <c r="E11" s="462">
        <f>E20</f>
        <v>0</v>
      </c>
      <c r="F11" s="463">
        <f>F20</f>
        <v>0</v>
      </c>
      <c r="G11" s="464">
        <f>G6*$D$55</f>
        <v>0</v>
      </c>
      <c r="H11" s="466">
        <f t="shared" ref="H11:AF11" si="23">H6*$D$55</f>
        <v>0</v>
      </c>
      <c r="I11" s="466">
        <f t="shared" si="23"/>
        <v>0</v>
      </c>
      <c r="J11" s="467">
        <f t="shared" si="23"/>
        <v>0</v>
      </c>
      <c r="K11" s="464">
        <f t="shared" si="23"/>
        <v>0</v>
      </c>
      <c r="L11" s="466">
        <f t="shared" si="23"/>
        <v>0</v>
      </c>
      <c r="M11" s="466">
        <f t="shared" si="23"/>
        <v>0</v>
      </c>
      <c r="N11" s="466">
        <f t="shared" si="23"/>
        <v>0</v>
      </c>
      <c r="O11" s="466">
        <f t="shared" si="23"/>
        <v>0</v>
      </c>
      <c r="P11" s="466">
        <f t="shared" si="23"/>
        <v>0</v>
      </c>
      <c r="Q11" s="466">
        <f t="shared" si="23"/>
        <v>0</v>
      </c>
      <c r="R11" s="466">
        <f t="shared" si="23"/>
        <v>0</v>
      </c>
      <c r="S11" s="466">
        <f t="shared" si="23"/>
        <v>0</v>
      </c>
      <c r="T11" s="466">
        <f t="shared" si="23"/>
        <v>0</v>
      </c>
      <c r="U11" s="466">
        <f t="shared" si="23"/>
        <v>0</v>
      </c>
      <c r="V11" s="466">
        <f t="shared" si="23"/>
        <v>0</v>
      </c>
      <c r="W11" s="466">
        <f t="shared" si="23"/>
        <v>0</v>
      </c>
      <c r="X11" s="466">
        <f t="shared" si="23"/>
        <v>0</v>
      </c>
      <c r="Y11" s="466">
        <f t="shared" si="23"/>
        <v>0</v>
      </c>
      <c r="Z11" s="466">
        <f t="shared" si="23"/>
        <v>0</v>
      </c>
      <c r="AA11" s="466">
        <f t="shared" si="23"/>
        <v>0</v>
      </c>
      <c r="AB11" s="466">
        <f t="shared" si="23"/>
        <v>0</v>
      </c>
      <c r="AC11" s="466">
        <f t="shared" si="23"/>
        <v>0</v>
      </c>
      <c r="AD11" s="466">
        <f t="shared" si="23"/>
        <v>0</v>
      </c>
      <c r="AE11" s="466">
        <f t="shared" si="23"/>
        <v>0</v>
      </c>
      <c r="AF11" s="467">
        <f t="shared" si="23"/>
        <v>0</v>
      </c>
      <c r="AG11" s="470"/>
      <c r="AH11" s="7"/>
      <c r="AI11" s="7"/>
      <c r="AJ11" s="7"/>
      <c r="AK11" s="10"/>
      <c r="AL11" s="10"/>
      <c r="AM11" s="10"/>
      <c r="AN11" s="10"/>
    </row>
    <row r="12" spans="1:40" ht="14.25" x14ac:dyDescent="0.4">
      <c r="A12" s="860"/>
      <c r="B12" s="710">
        <v>6</v>
      </c>
      <c r="C12" s="713" t="s">
        <v>40</v>
      </c>
      <c r="D12" s="719">
        <f>'Fin. Data'!D19</f>
        <v>10321.5</v>
      </c>
      <c r="E12" s="316">
        <f>'Fin. Data'!C19</f>
        <v>11315</v>
      </c>
      <c r="F12" s="321">
        <f>'Fin. Data'!B19</f>
        <v>13988.3</v>
      </c>
      <c r="G12" s="336">
        <f>13952.4</f>
        <v>13952.4</v>
      </c>
      <c r="H12" s="337">
        <f>H8+H9-H10</f>
        <v>14504.703425</v>
      </c>
      <c r="I12" s="337">
        <f t="shared" ref="I12:AF12" si="24">I8+I9-I10</f>
        <v>16057.407456124998</v>
      </c>
      <c r="J12" s="337">
        <f t="shared" si="24"/>
        <v>18021.807312408637</v>
      </c>
      <c r="K12" s="337">
        <f t="shared" si="24"/>
        <v>22175.764056891883</v>
      </c>
      <c r="L12" s="337">
        <f t="shared" si="24"/>
        <v>24456.423487968557</v>
      </c>
      <c r="M12" s="337">
        <f t="shared" si="24"/>
        <v>27001.929551315334</v>
      </c>
      <c r="N12" s="337">
        <f t="shared" si="24"/>
        <v>29658.380238806531</v>
      </c>
      <c r="O12" s="337">
        <f t="shared" si="24"/>
        <v>32419.45485663486</v>
      </c>
      <c r="P12" s="337">
        <f t="shared" si="24"/>
        <v>35247.880255514086</v>
      </c>
      <c r="Q12" s="337">
        <f t="shared" si="24"/>
        <v>38100.576427948588</v>
      </c>
      <c r="R12" s="337">
        <f t="shared" si="24"/>
        <v>40929.946524847874</v>
      </c>
      <c r="S12" s="337">
        <f t="shared" si="24"/>
        <v>43816.284795400541</v>
      </c>
      <c r="T12" s="337">
        <f t="shared" si="24"/>
        <v>46795.045522267523</v>
      </c>
      <c r="U12" s="337">
        <f t="shared" si="24"/>
        <v>47764.825427074065</v>
      </c>
      <c r="V12" s="337">
        <f t="shared" si="24"/>
        <v>48627.041398678091</v>
      </c>
      <c r="W12" s="337">
        <f t="shared" si="24"/>
        <v>49466.744608974244</v>
      </c>
      <c r="X12" s="337">
        <f t="shared" si="24"/>
        <v>50283.927336387213</v>
      </c>
      <c r="Y12" s="337">
        <f t="shared" si="24"/>
        <v>51078.895851008929</v>
      </c>
      <c r="Z12" s="337">
        <f t="shared" si="24"/>
        <v>51852.293979342117</v>
      </c>
      <c r="AA12" s="337">
        <f t="shared" si="24"/>
        <v>52605.126286951912</v>
      </c>
      <c r="AB12" s="337">
        <f t="shared" si="24"/>
        <v>53338.780748059136</v>
      </c>
      <c r="AC12" s="337">
        <f t="shared" si="24"/>
        <v>54055.050773105642</v>
      </c>
      <c r="AD12" s="337">
        <f t="shared" si="24"/>
        <v>54756.156468697875</v>
      </c>
      <c r="AE12" s="337">
        <f t="shared" si="24"/>
        <v>55444.765009115144</v>
      </c>
      <c r="AF12" s="337">
        <f t="shared" si="24"/>
        <v>56124.010004761876</v>
      </c>
      <c r="AG12" s="309"/>
      <c r="AH12" s="7"/>
      <c r="AI12" s="7"/>
      <c r="AJ12" s="7"/>
      <c r="AK12" s="10"/>
      <c r="AL12" s="10"/>
      <c r="AM12" s="10"/>
      <c r="AN12" s="10"/>
    </row>
    <row r="13" spans="1:40" ht="14.25" x14ac:dyDescent="0.45">
      <c r="A13" s="860"/>
      <c r="B13" s="710">
        <v>7</v>
      </c>
      <c r="C13" s="711" t="s">
        <v>351</v>
      </c>
      <c r="D13" s="721">
        <f>'Fin. Data'!D14</f>
        <v>2670.8</v>
      </c>
      <c r="E13" s="460">
        <f>'Fin. Data'!C14</f>
        <v>3998.6</v>
      </c>
      <c r="F13" s="461">
        <f>'Fin. Data'!B14</f>
        <v>1509.9</v>
      </c>
      <c r="G13" s="465">
        <f>F43*$D$58</f>
        <v>3347.85</v>
      </c>
      <c r="H13" s="465">
        <f>G13*(0.75)</f>
        <v>2510.8874999999998</v>
      </c>
      <c r="I13" s="465">
        <f>H13*(0.65)</f>
        <v>1632.076875</v>
      </c>
      <c r="J13" s="465">
        <f>I13*(0.7)</f>
        <v>1142.4538124999999</v>
      </c>
      <c r="K13" s="465">
        <f>J13*(1+0.1)</f>
        <v>1256.6991937499999</v>
      </c>
      <c r="L13" s="465">
        <f t="shared" ref="L13:R13" si="25">K13*(1+0.1)</f>
        <v>1382.369113125</v>
      </c>
      <c r="M13" s="465">
        <f t="shared" si="25"/>
        <v>1520.6060244375001</v>
      </c>
      <c r="N13" s="465">
        <f t="shared" si="25"/>
        <v>1672.6666268812503</v>
      </c>
      <c r="O13" s="465">
        <f>N13*(1+0.3)</f>
        <v>2174.4666149456257</v>
      </c>
      <c r="P13" s="465">
        <f>O13*(1+0.2)</f>
        <v>2609.3599379347506</v>
      </c>
      <c r="Q13" s="465">
        <f t="shared" si="25"/>
        <v>2870.2959317282262</v>
      </c>
      <c r="R13" s="465">
        <f t="shared" si="25"/>
        <v>3157.325524901049</v>
      </c>
      <c r="S13" s="465">
        <f t="shared" ref="S13:T13" si="26">R13*(0.7)</f>
        <v>2210.1278674307341</v>
      </c>
      <c r="T13" s="465">
        <f t="shared" si="26"/>
        <v>1547.0895072015137</v>
      </c>
      <c r="U13" s="465">
        <f>T13*(1+0.7)</f>
        <v>2630.0521622425731</v>
      </c>
      <c r="V13" s="465">
        <f>U13*(1+0.4)</f>
        <v>3682.0730271396019</v>
      </c>
      <c r="W13" s="465">
        <f>V13*(1+0.2)</f>
        <v>4418.4876325675223</v>
      </c>
      <c r="X13" s="465">
        <f>W13*(1+0.3)</f>
        <v>5744.0339223377796</v>
      </c>
      <c r="Y13" s="465">
        <f>X13*(1-0.22)</f>
        <v>4480.3464594234683</v>
      </c>
      <c r="Z13" s="465">
        <f>Y13*(1-0.12)</f>
        <v>3942.704884292652</v>
      </c>
      <c r="AA13" s="465">
        <f t="shared" ref="AA13" si="27">Z13*(1-0.12)</f>
        <v>3469.5802981775337</v>
      </c>
      <c r="AB13" s="465">
        <f>AA13*(1+0.12)</f>
        <v>3885.9299339588379</v>
      </c>
      <c r="AC13" s="465">
        <f>AB13*(1+0.12)</f>
        <v>4352.2415260338985</v>
      </c>
      <c r="AD13" s="465">
        <f t="shared" ref="AD13:AF13" si="28">AC13*(1+0.12)</f>
        <v>4874.5105091579671</v>
      </c>
      <c r="AE13" s="465">
        <f t="shared" si="28"/>
        <v>5459.4517702569237</v>
      </c>
      <c r="AF13" s="465">
        <f t="shared" si="28"/>
        <v>6114.5859826877549</v>
      </c>
      <c r="AG13" s="470"/>
      <c r="AH13" s="7"/>
      <c r="AI13" s="7"/>
      <c r="AJ13" s="7"/>
      <c r="AK13" s="10"/>
      <c r="AL13" s="10"/>
      <c r="AM13" s="10"/>
      <c r="AN13" s="10"/>
    </row>
    <row r="14" spans="1:40" ht="14.25" x14ac:dyDescent="0.45">
      <c r="A14" s="860"/>
      <c r="B14" s="710">
        <v>8</v>
      </c>
      <c r="C14" s="711" t="s">
        <v>352</v>
      </c>
      <c r="D14" s="722">
        <f>'Fin. Data'!D15</f>
        <v>-1</v>
      </c>
      <c r="E14" s="317">
        <f>'Fin. Data'!C15</f>
        <v>13.1</v>
      </c>
      <c r="F14" s="323">
        <f>'Fin. Data'!B15</f>
        <v>-1.2</v>
      </c>
      <c r="G14" s="327">
        <f>AVERAGE(D14:F14)*(1+G5)</f>
        <v>4.25349344643449</v>
      </c>
      <c r="H14" s="325">
        <f t="shared" ref="H14:AF14" si="29">AVERAGE(E14:G14)*(1+H5)</f>
        <v>5.5884043666405567</v>
      </c>
      <c r="I14" s="325">
        <f t="shared" si="29"/>
        <v>3.0585710991347326</v>
      </c>
      <c r="J14" s="328">
        <f t="shared" si="29"/>
        <v>4.7391944205295422</v>
      </c>
      <c r="K14" s="327">
        <f t="shared" si="29"/>
        <v>4.9176244731223155</v>
      </c>
      <c r="L14" s="325">
        <f t="shared" si="29"/>
        <v>4.6712027073401208</v>
      </c>
      <c r="M14" s="325">
        <f t="shared" si="29"/>
        <v>5.263628825490227</v>
      </c>
      <c r="N14" s="325">
        <f t="shared" si="29"/>
        <v>5.3963923488294689</v>
      </c>
      <c r="O14" s="325">
        <f t="shared" si="29"/>
        <v>5.519240597397534</v>
      </c>
      <c r="P14" s="325">
        <f t="shared" si="29"/>
        <v>5.7706033652458126</v>
      </c>
      <c r="Q14" s="325">
        <f t="shared" si="29"/>
        <v>5.8958034967203945</v>
      </c>
      <c r="R14" s="325">
        <f t="shared" si="29"/>
        <v>6.0149766107773086</v>
      </c>
      <c r="S14" s="325">
        <f t="shared" si="29"/>
        <v>6.1590152430056575</v>
      </c>
      <c r="T14" s="325">
        <f t="shared" si="29"/>
        <v>6.2762422517415013</v>
      </c>
      <c r="U14" s="325">
        <f t="shared" si="29"/>
        <v>6.3899310785466392</v>
      </c>
      <c r="V14" s="325">
        <f t="shared" si="29"/>
        <v>6.4946900577863591</v>
      </c>
      <c r="W14" s="325">
        <f t="shared" si="29"/>
        <v>6.6041109144230106</v>
      </c>
      <c r="X14" s="325">
        <f t="shared" si="29"/>
        <v>6.7106200694769855</v>
      </c>
      <c r="Y14" s="325">
        <f t="shared" si="29"/>
        <v>6.8144408383401061</v>
      </c>
      <c r="Z14" s="325">
        <f t="shared" si="29"/>
        <v>6.9177253829098486</v>
      </c>
      <c r="AA14" s="325">
        <f t="shared" si="29"/>
        <v>7.0186899598162507</v>
      </c>
      <c r="AB14" s="325">
        <f t="shared" si="29"/>
        <v>7.1175436701057082</v>
      </c>
      <c r="AC14" s="325">
        <f t="shared" si="29"/>
        <v>7.2144899550636996</v>
      </c>
      <c r="AD14" s="325">
        <f t="shared" si="29"/>
        <v>7.3090643739267565</v>
      </c>
      <c r="AE14" s="325">
        <f t="shared" si="29"/>
        <v>7.4012555156908881</v>
      </c>
      <c r="AF14" s="328">
        <f t="shared" si="29"/>
        <v>7.4909766969327922</v>
      </c>
      <c r="AG14" s="470"/>
      <c r="AH14" s="7"/>
      <c r="AI14" s="7"/>
      <c r="AJ14" s="7"/>
      <c r="AK14" s="10"/>
      <c r="AL14" s="10"/>
      <c r="AM14" s="10"/>
      <c r="AN14" s="10"/>
    </row>
    <row r="15" spans="1:40" ht="14.25" x14ac:dyDescent="0.45">
      <c r="A15" s="860"/>
      <c r="B15" s="710">
        <v>9</v>
      </c>
      <c r="C15" s="713" t="s">
        <v>353</v>
      </c>
      <c r="D15" s="723">
        <f t="shared" ref="D15:AF15" si="30">D8+D13+D14</f>
        <v>7481.2</v>
      </c>
      <c r="E15" s="287">
        <f t="shared" si="30"/>
        <v>8819.7000000000007</v>
      </c>
      <c r="F15" s="322">
        <f t="shared" si="30"/>
        <v>7822.8</v>
      </c>
      <c r="G15" s="336">
        <f t="shared" si="30"/>
        <v>9029.8594934464345</v>
      </c>
      <c r="H15" s="337">
        <f t="shared" si="30"/>
        <v>7988.3319043666388</v>
      </c>
      <c r="I15" s="337">
        <f t="shared" si="30"/>
        <v>7891.9034460991334</v>
      </c>
      <c r="J15" s="338">
        <f t="shared" si="30"/>
        <v>8535.3065094335434</v>
      </c>
      <c r="K15" s="336">
        <f t="shared" si="30"/>
        <v>12272.0023747246</v>
      </c>
      <c r="L15" s="337">
        <f t="shared" si="30"/>
        <v>14119.816378390969</v>
      </c>
      <c r="M15" s="337">
        <f t="shared" si="30"/>
        <v>16217.969407897899</v>
      </c>
      <c r="N15" s="337">
        <f t="shared" si="30"/>
        <v>18411.121971522167</v>
      </c>
      <c r="O15" s="337">
        <f t="shared" si="30"/>
        <v>21027.853361337711</v>
      </c>
      <c r="P15" s="337">
        <f t="shared" si="30"/>
        <v>23612.844078431903</v>
      </c>
      <c r="Q15" s="337">
        <f t="shared" si="30"/>
        <v>26014.093108872246</v>
      </c>
      <c r="R15" s="337">
        <f t="shared" si="30"/>
        <v>28382.478219343349</v>
      </c>
      <c r="S15" s="337">
        <f t="shared" si="30"/>
        <v>29536.222430707116</v>
      </c>
      <c r="T15" s="337">
        <f t="shared" si="30"/>
        <v>31027.244561985244</v>
      </c>
      <c r="U15" s="337">
        <f t="shared" si="30"/>
        <v>32214.042475172875</v>
      </c>
      <c r="V15" s="337">
        <f t="shared" si="30"/>
        <v>33219.022818392055</v>
      </c>
      <c r="W15" s="337">
        <f t="shared" si="30"/>
        <v>33840.420740098591</v>
      </c>
      <c r="X15" s="337">
        <f t="shared" si="30"/>
        <v>34980.685485818991</v>
      </c>
      <c r="Y15" s="337">
        <f t="shared" si="30"/>
        <v>33459.371038646481</v>
      </c>
      <c r="Z15" s="337">
        <f t="shared" si="30"/>
        <v>32589.896590762219</v>
      </c>
      <c r="AA15" s="337">
        <f t="shared" si="30"/>
        <v>31709.104276921022</v>
      </c>
      <c r="AB15" s="337">
        <f t="shared" si="30"/>
        <v>31640.576177611427</v>
      </c>
      <c r="AC15" s="337">
        <f t="shared" si="30"/>
        <v>31543.692138614118</v>
      </c>
      <c r="AD15" s="337">
        <f t="shared" si="30"/>
        <v>31423.62065922526</v>
      </c>
      <c r="AE15" s="337">
        <f t="shared" si="30"/>
        <v>31286.544882733026</v>
      </c>
      <c r="AF15" s="338">
        <f t="shared" si="30"/>
        <v>31139.760154384097</v>
      </c>
      <c r="AG15" s="470"/>
      <c r="AH15" s="7"/>
      <c r="AI15" s="7"/>
      <c r="AJ15" s="7"/>
      <c r="AK15" s="10"/>
      <c r="AL15" s="10"/>
      <c r="AM15" s="10"/>
      <c r="AN15" s="10"/>
    </row>
    <row r="16" spans="1:40" ht="14.25" x14ac:dyDescent="0.45">
      <c r="A16" s="860"/>
      <c r="B16" s="710">
        <v>10</v>
      </c>
      <c r="C16" s="711" t="s">
        <v>354</v>
      </c>
      <c r="D16" s="724">
        <f>'Fin. Data'!D21</f>
        <v>-757.1</v>
      </c>
      <c r="E16" s="458">
        <f>'Fin. Data'!C21</f>
        <v>-553.70000000000005</v>
      </c>
      <c r="F16" s="459">
        <f>'Fin. Data'!B21</f>
        <v>-801.2</v>
      </c>
      <c r="G16" s="448">
        <f>-$D$56*G15</f>
        <v>-695.29918099537542</v>
      </c>
      <c r="H16" s="413">
        <f>-$D$56*H15</f>
        <v>-615.10155663623118</v>
      </c>
      <c r="I16" s="413">
        <f t="shared" ref="I16:J16" si="31">-$D$56*I15</f>
        <v>-607.67656534963328</v>
      </c>
      <c r="J16" s="413">
        <f t="shared" si="31"/>
        <v>-657.21860122638282</v>
      </c>
      <c r="K16" s="412">
        <f>-$E$56*K15</f>
        <v>-1227.20023747246</v>
      </c>
      <c r="L16" s="413">
        <f>-$E$56*L15</f>
        <v>-1411.9816378390969</v>
      </c>
      <c r="M16" s="413">
        <f t="shared" ref="M16:AE16" si="32">-$E$56*M15</f>
        <v>-1621.7969407897899</v>
      </c>
      <c r="N16" s="413">
        <f t="shared" si="32"/>
        <v>-1841.1121971522168</v>
      </c>
      <c r="O16" s="413">
        <f t="shared" si="32"/>
        <v>-2102.7853361337711</v>
      </c>
      <c r="P16" s="413">
        <f t="shared" si="32"/>
        <v>-2361.2844078431904</v>
      </c>
      <c r="Q16" s="413">
        <f t="shared" si="32"/>
        <v>-2601.4093108872248</v>
      </c>
      <c r="R16" s="413">
        <f t="shared" si="32"/>
        <v>-2838.2478219343352</v>
      </c>
      <c r="S16" s="413">
        <f t="shared" si="32"/>
        <v>-2953.6222430707116</v>
      </c>
      <c r="T16" s="413">
        <f t="shared" si="32"/>
        <v>-3102.7244561985244</v>
      </c>
      <c r="U16" s="413">
        <f t="shared" si="32"/>
        <v>-3221.4042475172878</v>
      </c>
      <c r="V16" s="413">
        <f t="shared" si="32"/>
        <v>-3321.9022818392059</v>
      </c>
      <c r="W16" s="413">
        <f t="shared" si="32"/>
        <v>-3384.0420740098593</v>
      </c>
      <c r="X16" s="413">
        <f t="shared" si="32"/>
        <v>-3498.0685485818994</v>
      </c>
      <c r="Y16" s="413">
        <f t="shared" si="32"/>
        <v>-3345.9371038646482</v>
      </c>
      <c r="Z16" s="413">
        <f t="shared" si="32"/>
        <v>-3258.9896590762219</v>
      </c>
      <c r="AA16" s="413">
        <f t="shared" si="32"/>
        <v>-3170.9104276921025</v>
      </c>
      <c r="AB16" s="413">
        <f t="shared" si="32"/>
        <v>-3164.0576177611429</v>
      </c>
      <c r="AC16" s="413">
        <f t="shared" si="32"/>
        <v>-3154.3692138614119</v>
      </c>
      <c r="AD16" s="413">
        <f t="shared" si="32"/>
        <v>-3142.3620659225262</v>
      </c>
      <c r="AE16" s="413">
        <f t="shared" si="32"/>
        <v>-3128.6544882733028</v>
      </c>
      <c r="AF16" s="414">
        <f>-$E$56*AF15</f>
        <v>-3113.9760154384098</v>
      </c>
      <c r="AG16" s="470"/>
      <c r="AH16" s="7"/>
      <c r="AI16" s="7"/>
      <c r="AJ16" s="7"/>
      <c r="AK16" s="10"/>
      <c r="AL16" s="10"/>
      <c r="AM16" s="10"/>
      <c r="AN16" s="10"/>
    </row>
    <row r="17" spans="1:40" ht="14.25" x14ac:dyDescent="0.45">
      <c r="A17" s="860"/>
      <c r="B17" s="714">
        <v>11</v>
      </c>
      <c r="C17" s="715" t="s">
        <v>355</v>
      </c>
      <c r="D17" s="725">
        <f>'Fin. Data'!D23</f>
        <v>6726.1</v>
      </c>
      <c r="E17" s="650">
        <f>'Fin. Data'!C23</f>
        <v>8266</v>
      </c>
      <c r="F17" s="324">
        <f>'Fin. Data'!B23</f>
        <v>7021.6</v>
      </c>
      <c r="G17" s="330">
        <f t="shared" ref="G17:AF17" si="33">G16+G15</f>
        <v>8334.5603124510599</v>
      </c>
      <c r="H17" s="331">
        <f t="shared" si="33"/>
        <v>7373.2303477304076</v>
      </c>
      <c r="I17" s="331">
        <f t="shared" si="33"/>
        <v>7284.2268807495002</v>
      </c>
      <c r="J17" s="332">
        <f t="shared" si="33"/>
        <v>7878.0879082071606</v>
      </c>
      <c r="K17" s="330">
        <f t="shared" si="33"/>
        <v>11044.80213725214</v>
      </c>
      <c r="L17" s="331">
        <f t="shared" si="33"/>
        <v>12707.834740551873</v>
      </c>
      <c r="M17" s="331">
        <f t="shared" si="33"/>
        <v>14596.17246710811</v>
      </c>
      <c r="N17" s="331">
        <f t="shared" si="33"/>
        <v>16570.009774369952</v>
      </c>
      <c r="O17" s="331">
        <f t="shared" si="33"/>
        <v>18925.068025203938</v>
      </c>
      <c r="P17" s="331">
        <f t="shared" si="33"/>
        <v>21251.559670588711</v>
      </c>
      <c r="Q17" s="331">
        <f t="shared" si="33"/>
        <v>23412.683797985021</v>
      </c>
      <c r="R17" s="331">
        <f t="shared" si="33"/>
        <v>25544.230397409014</v>
      </c>
      <c r="S17" s="331">
        <f t="shared" si="33"/>
        <v>26582.600187636403</v>
      </c>
      <c r="T17" s="331">
        <f t="shared" si="33"/>
        <v>27924.52010578672</v>
      </c>
      <c r="U17" s="331">
        <f>U16+U15</f>
        <v>28992.638227655589</v>
      </c>
      <c r="V17" s="331">
        <f t="shared" si="33"/>
        <v>29897.120536552851</v>
      </c>
      <c r="W17" s="331">
        <f t="shared" si="33"/>
        <v>30456.378666088731</v>
      </c>
      <c r="X17" s="331">
        <f t="shared" si="33"/>
        <v>31482.616937237093</v>
      </c>
      <c r="Y17" s="331">
        <f t="shared" si="33"/>
        <v>30113.433934781831</v>
      </c>
      <c r="Z17" s="331">
        <f t="shared" si="33"/>
        <v>29330.906931685997</v>
      </c>
      <c r="AA17" s="331">
        <f t="shared" si="33"/>
        <v>28538.193849228919</v>
      </c>
      <c r="AB17" s="331">
        <f t="shared" si="33"/>
        <v>28476.518559850283</v>
      </c>
      <c r="AC17" s="331">
        <f t="shared" si="33"/>
        <v>28389.322924752705</v>
      </c>
      <c r="AD17" s="331">
        <f t="shared" si="33"/>
        <v>28281.258593302733</v>
      </c>
      <c r="AE17" s="331">
        <f t="shared" si="33"/>
        <v>28157.890394459722</v>
      </c>
      <c r="AF17" s="332">
        <f t="shared" si="33"/>
        <v>28025.784138945688</v>
      </c>
      <c r="AG17" s="470"/>
      <c r="AH17" s="7"/>
      <c r="AI17" s="7"/>
      <c r="AJ17" s="7"/>
      <c r="AK17" s="10"/>
      <c r="AL17" s="10"/>
      <c r="AM17" s="10"/>
      <c r="AN17" s="10"/>
    </row>
    <row r="18" spans="1:40" ht="14.25" x14ac:dyDescent="0.45">
      <c r="A18" s="254"/>
      <c r="B18" s="266"/>
      <c r="C18" s="267" t="s">
        <v>356</v>
      </c>
      <c r="D18" s="271" t="s">
        <v>356</v>
      </c>
      <c r="E18" s="271" t="s">
        <v>356</v>
      </c>
      <c r="F18" s="271" t="s">
        <v>356</v>
      </c>
      <c r="G18" s="268" t="s">
        <v>356</v>
      </c>
      <c r="H18" s="268" t="s">
        <v>356</v>
      </c>
      <c r="I18" s="268" t="s">
        <v>356</v>
      </c>
      <c r="J18" s="268" t="s">
        <v>356</v>
      </c>
      <c r="K18" s="268" t="s">
        <v>356</v>
      </c>
      <c r="L18" s="268" t="s">
        <v>356</v>
      </c>
      <c r="M18" s="268" t="s">
        <v>356</v>
      </c>
      <c r="N18" s="268" t="s">
        <v>356</v>
      </c>
      <c r="O18" s="268" t="s">
        <v>356</v>
      </c>
      <c r="P18" s="268" t="s">
        <v>356</v>
      </c>
      <c r="Q18" s="268" t="s">
        <v>356</v>
      </c>
      <c r="R18" s="268" t="s">
        <v>356</v>
      </c>
      <c r="S18" s="268" t="s">
        <v>356</v>
      </c>
      <c r="T18" s="268" t="s">
        <v>356</v>
      </c>
      <c r="U18" s="268" t="s">
        <v>356</v>
      </c>
      <c r="V18" s="268" t="s">
        <v>356</v>
      </c>
      <c r="W18" s="268" t="s">
        <v>356</v>
      </c>
      <c r="X18" s="268" t="s">
        <v>356</v>
      </c>
      <c r="Y18" s="268" t="s">
        <v>356</v>
      </c>
      <c r="Z18" s="268" t="s">
        <v>356</v>
      </c>
      <c r="AA18" s="268" t="s">
        <v>356</v>
      </c>
      <c r="AB18" s="268" t="s">
        <v>356</v>
      </c>
      <c r="AC18" s="268" t="s">
        <v>356</v>
      </c>
      <c r="AD18" s="268" t="s">
        <v>356</v>
      </c>
      <c r="AE18" s="268" t="s">
        <v>356</v>
      </c>
      <c r="AF18" s="276" t="s">
        <v>356</v>
      </c>
      <c r="AG18" s="470"/>
      <c r="AH18" s="7"/>
      <c r="AI18" s="7"/>
      <c r="AJ18" s="7"/>
      <c r="AK18" s="10"/>
      <c r="AL18" s="10"/>
      <c r="AM18" s="10"/>
      <c r="AN18" s="10"/>
    </row>
    <row r="19" spans="1:40" ht="14.25" x14ac:dyDescent="0.45">
      <c r="A19" s="1087" t="s">
        <v>357</v>
      </c>
      <c r="B19" s="244">
        <v>12</v>
      </c>
      <c r="C19" s="426" t="s">
        <v>358</v>
      </c>
      <c r="D19" s="411"/>
      <c r="E19" s="280"/>
      <c r="F19" s="703"/>
      <c r="G19" s="685">
        <f>G17</f>
        <v>8334.5603124510599</v>
      </c>
      <c r="H19" s="685">
        <f t="shared" ref="H19:AF19" si="34">H17</f>
        <v>7373.2303477304076</v>
      </c>
      <c r="I19" s="685">
        <f t="shared" si="34"/>
        <v>7284.2268807495002</v>
      </c>
      <c r="J19" s="685">
        <f t="shared" si="34"/>
        <v>7878.0879082071606</v>
      </c>
      <c r="K19" s="685">
        <f t="shared" si="34"/>
        <v>11044.80213725214</v>
      </c>
      <c r="L19" s="685">
        <f t="shared" si="34"/>
        <v>12707.834740551873</v>
      </c>
      <c r="M19" s="685">
        <f t="shared" si="34"/>
        <v>14596.17246710811</v>
      </c>
      <c r="N19" s="685">
        <f t="shared" si="34"/>
        <v>16570.009774369952</v>
      </c>
      <c r="O19" s="685">
        <f t="shared" si="34"/>
        <v>18925.068025203938</v>
      </c>
      <c r="P19" s="685">
        <f t="shared" si="34"/>
        <v>21251.559670588711</v>
      </c>
      <c r="Q19" s="685">
        <f t="shared" si="34"/>
        <v>23412.683797985021</v>
      </c>
      <c r="R19" s="685">
        <f t="shared" si="34"/>
        <v>25544.230397409014</v>
      </c>
      <c r="S19" s="685">
        <f t="shared" si="34"/>
        <v>26582.600187636403</v>
      </c>
      <c r="T19" s="685">
        <f t="shared" si="34"/>
        <v>27924.52010578672</v>
      </c>
      <c r="U19" s="685">
        <f t="shared" si="34"/>
        <v>28992.638227655589</v>
      </c>
      <c r="V19" s="685">
        <f t="shared" si="34"/>
        <v>29897.120536552851</v>
      </c>
      <c r="W19" s="685">
        <f t="shared" si="34"/>
        <v>30456.378666088731</v>
      </c>
      <c r="X19" s="685">
        <f t="shared" si="34"/>
        <v>31482.616937237093</v>
      </c>
      <c r="Y19" s="685">
        <f t="shared" si="34"/>
        <v>30113.433934781831</v>
      </c>
      <c r="Z19" s="685">
        <f t="shared" si="34"/>
        <v>29330.906931685997</v>
      </c>
      <c r="AA19" s="685">
        <f t="shared" si="34"/>
        <v>28538.193849228919</v>
      </c>
      <c r="AB19" s="685">
        <f t="shared" si="34"/>
        <v>28476.518559850283</v>
      </c>
      <c r="AC19" s="685">
        <f t="shared" si="34"/>
        <v>28389.322924752705</v>
      </c>
      <c r="AD19" s="685">
        <f t="shared" si="34"/>
        <v>28281.258593302733</v>
      </c>
      <c r="AE19" s="685">
        <f t="shared" si="34"/>
        <v>28157.890394459722</v>
      </c>
      <c r="AF19" s="685">
        <f t="shared" si="34"/>
        <v>28025.784138945688</v>
      </c>
      <c r="AG19" s="470"/>
      <c r="AH19" s="7"/>
      <c r="AI19" s="7"/>
      <c r="AJ19" s="7"/>
      <c r="AK19" s="10"/>
      <c r="AL19" s="10"/>
      <c r="AM19" s="10"/>
      <c r="AN19" s="10"/>
    </row>
    <row r="20" spans="1:40" ht="14.25" x14ac:dyDescent="0.45">
      <c r="A20" s="1088"/>
      <c r="B20" s="244">
        <v>13</v>
      </c>
      <c r="C20" s="264" t="s">
        <v>359</v>
      </c>
      <c r="D20" s="281"/>
      <c r="E20" s="282"/>
      <c r="F20" s="704"/>
      <c r="G20" s="686">
        <f>G11</f>
        <v>0</v>
      </c>
      <c r="H20" s="468">
        <f t="shared" ref="H20:AF20" si="35">H11</f>
        <v>0</v>
      </c>
      <c r="I20" s="468">
        <f t="shared" si="35"/>
        <v>0</v>
      </c>
      <c r="J20" s="469">
        <f t="shared" si="35"/>
        <v>0</v>
      </c>
      <c r="K20" s="454">
        <f t="shared" si="35"/>
        <v>0</v>
      </c>
      <c r="L20" s="468">
        <f t="shared" si="35"/>
        <v>0</v>
      </c>
      <c r="M20" s="468">
        <f t="shared" si="35"/>
        <v>0</v>
      </c>
      <c r="N20" s="468">
        <f t="shared" si="35"/>
        <v>0</v>
      </c>
      <c r="O20" s="468">
        <f t="shared" si="35"/>
        <v>0</v>
      </c>
      <c r="P20" s="468">
        <f t="shared" si="35"/>
        <v>0</v>
      </c>
      <c r="Q20" s="468">
        <f t="shared" si="35"/>
        <v>0</v>
      </c>
      <c r="R20" s="468">
        <f t="shared" si="35"/>
        <v>0</v>
      </c>
      <c r="S20" s="468">
        <f t="shared" si="35"/>
        <v>0</v>
      </c>
      <c r="T20" s="468">
        <f t="shared" si="35"/>
        <v>0</v>
      </c>
      <c r="U20" s="468">
        <f t="shared" si="35"/>
        <v>0</v>
      </c>
      <c r="V20" s="468">
        <f t="shared" si="35"/>
        <v>0</v>
      </c>
      <c r="W20" s="468">
        <f t="shared" si="35"/>
        <v>0</v>
      </c>
      <c r="X20" s="468">
        <f t="shared" si="35"/>
        <v>0</v>
      </c>
      <c r="Y20" s="468">
        <f t="shared" si="35"/>
        <v>0</v>
      </c>
      <c r="Z20" s="468">
        <f t="shared" si="35"/>
        <v>0</v>
      </c>
      <c r="AA20" s="468">
        <f t="shared" si="35"/>
        <v>0</v>
      </c>
      <c r="AB20" s="468">
        <f t="shared" si="35"/>
        <v>0</v>
      </c>
      <c r="AC20" s="468">
        <f t="shared" si="35"/>
        <v>0</v>
      </c>
      <c r="AD20" s="468">
        <f t="shared" si="35"/>
        <v>0</v>
      </c>
      <c r="AE20" s="468">
        <f t="shared" si="35"/>
        <v>0</v>
      </c>
      <c r="AF20" s="687">
        <f t="shared" si="35"/>
        <v>0</v>
      </c>
      <c r="AG20" s="470"/>
      <c r="AH20" s="7"/>
      <c r="AI20" s="7"/>
      <c r="AJ20" s="7"/>
      <c r="AK20" s="10"/>
      <c r="AL20" s="10"/>
      <c r="AM20" s="10"/>
      <c r="AN20" s="10"/>
    </row>
    <row r="21" spans="1:40" ht="14.25" x14ac:dyDescent="0.45">
      <c r="A21" s="1088"/>
      <c r="B21" s="244">
        <v>14</v>
      </c>
      <c r="C21" s="264" t="s">
        <v>360</v>
      </c>
      <c r="D21" s="286">
        <f>Inputs!D62</f>
        <v>24153.599999999999</v>
      </c>
      <c r="E21" s="285">
        <f>Inputs!C62</f>
        <v>-1909.1</v>
      </c>
      <c r="F21" s="705">
        <f>Inputs!B62</f>
        <v>3520.6</v>
      </c>
      <c r="G21" s="688">
        <f t="shared" ref="G21:J21" si="36">$D$60*(G6-F6)</f>
        <v>0</v>
      </c>
      <c r="H21" s="442">
        <f t="shared" si="36"/>
        <v>0</v>
      </c>
      <c r="I21" s="442">
        <f t="shared" si="36"/>
        <v>0</v>
      </c>
      <c r="J21" s="443">
        <f t="shared" si="36"/>
        <v>0</v>
      </c>
      <c r="K21" s="329">
        <f t="shared" ref="K21:AF21" si="37">$E$60*(K6-J6)</f>
        <v>0</v>
      </c>
      <c r="L21" s="326">
        <f t="shared" si="37"/>
        <v>0</v>
      </c>
      <c r="M21" s="326">
        <f t="shared" si="37"/>
        <v>0</v>
      </c>
      <c r="N21" s="326">
        <f t="shared" si="37"/>
        <v>0</v>
      </c>
      <c r="O21" s="326">
        <f t="shared" si="37"/>
        <v>0</v>
      </c>
      <c r="P21" s="326">
        <f t="shared" si="37"/>
        <v>0</v>
      </c>
      <c r="Q21" s="326">
        <f t="shared" si="37"/>
        <v>0</v>
      </c>
      <c r="R21" s="326">
        <f t="shared" si="37"/>
        <v>0</v>
      </c>
      <c r="S21" s="326">
        <f t="shared" si="37"/>
        <v>0</v>
      </c>
      <c r="T21" s="326">
        <f t="shared" si="37"/>
        <v>0</v>
      </c>
      <c r="U21" s="326">
        <f t="shared" si="37"/>
        <v>0</v>
      </c>
      <c r="V21" s="326">
        <f t="shared" si="37"/>
        <v>0</v>
      </c>
      <c r="W21" s="326">
        <f t="shared" si="37"/>
        <v>0</v>
      </c>
      <c r="X21" s="326">
        <f t="shared" si="37"/>
        <v>0</v>
      </c>
      <c r="Y21" s="326">
        <f t="shared" si="37"/>
        <v>0</v>
      </c>
      <c r="Z21" s="326">
        <f t="shared" si="37"/>
        <v>0</v>
      </c>
      <c r="AA21" s="326">
        <f t="shared" si="37"/>
        <v>0</v>
      </c>
      <c r="AB21" s="326">
        <f t="shared" si="37"/>
        <v>0</v>
      </c>
      <c r="AC21" s="326">
        <f t="shared" si="37"/>
        <v>0</v>
      </c>
      <c r="AD21" s="326">
        <f t="shared" si="37"/>
        <v>0</v>
      </c>
      <c r="AE21" s="326">
        <f t="shared" si="37"/>
        <v>0</v>
      </c>
      <c r="AF21" s="689">
        <f t="shared" si="37"/>
        <v>0</v>
      </c>
      <c r="AG21" s="470"/>
      <c r="AH21" s="7"/>
      <c r="AI21" s="7"/>
      <c r="AJ21" s="7"/>
      <c r="AK21" s="10"/>
      <c r="AL21" s="10"/>
      <c r="AM21" s="10"/>
      <c r="AN21" s="10"/>
    </row>
    <row r="22" spans="1:40" ht="14.25" x14ac:dyDescent="0.45">
      <c r="A22" s="1088"/>
      <c r="B22" s="244">
        <v>15</v>
      </c>
      <c r="C22" s="269" t="s">
        <v>361</v>
      </c>
      <c r="D22" s="283">
        <f t="shared" ref="D22:AF22" si="38">D19+D20+D21</f>
        <v>24153.599999999999</v>
      </c>
      <c r="E22" s="284">
        <f t="shared" si="38"/>
        <v>-1909.1</v>
      </c>
      <c r="F22" s="706">
        <f t="shared" si="38"/>
        <v>3520.6</v>
      </c>
      <c r="G22" s="690">
        <f>G19+G20+G21</f>
        <v>8334.5603124510599</v>
      </c>
      <c r="H22" s="440">
        <f t="shared" si="38"/>
        <v>7373.2303477304076</v>
      </c>
      <c r="I22" s="440">
        <f t="shared" si="38"/>
        <v>7284.2268807495002</v>
      </c>
      <c r="J22" s="441">
        <f t="shared" si="38"/>
        <v>7878.0879082071606</v>
      </c>
      <c r="K22" s="439">
        <f t="shared" si="38"/>
        <v>11044.80213725214</v>
      </c>
      <c r="L22" s="440">
        <f t="shared" si="38"/>
        <v>12707.834740551873</v>
      </c>
      <c r="M22" s="440">
        <f t="shared" si="38"/>
        <v>14596.17246710811</v>
      </c>
      <c r="N22" s="440">
        <f t="shared" si="38"/>
        <v>16570.009774369952</v>
      </c>
      <c r="O22" s="440">
        <f t="shared" si="38"/>
        <v>18925.068025203938</v>
      </c>
      <c r="P22" s="440">
        <f t="shared" si="38"/>
        <v>21251.559670588711</v>
      </c>
      <c r="Q22" s="440">
        <f t="shared" si="38"/>
        <v>23412.683797985021</v>
      </c>
      <c r="R22" s="440">
        <f t="shared" si="38"/>
        <v>25544.230397409014</v>
      </c>
      <c r="S22" s="440">
        <f t="shared" si="38"/>
        <v>26582.600187636403</v>
      </c>
      <c r="T22" s="440">
        <f t="shared" si="38"/>
        <v>27924.52010578672</v>
      </c>
      <c r="U22" s="440">
        <f t="shared" si="38"/>
        <v>28992.638227655589</v>
      </c>
      <c r="V22" s="440">
        <f t="shared" si="38"/>
        <v>29897.120536552851</v>
      </c>
      <c r="W22" s="440">
        <f t="shared" si="38"/>
        <v>30456.378666088731</v>
      </c>
      <c r="X22" s="440">
        <f t="shared" si="38"/>
        <v>31482.616937237093</v>
      </c>
      <c r="Y22" s="440">
        <f t="shared" si="38"/>
        <v>30113.433934781831</v>
      </c>
      <c r="Z22" s="440">
        <f t="shared" si="38"/>
        <v>29330.906931685997</v>
      </c>
      <c r="AA22" s="440">
        <f t="shared" si="38"/>
        <v>28538.193849228919</v>
      </c>
      <c r="AB22" s="440">
        <f t="shared" si="38"/>
        <v>28476.518559850283</v>
      </c>
      <c r="AC22" s="440">
        <f t="shared" si="38"/>
        <v>28389.322924752705</v>
      </c>
      <c r="AD22" s="440">
        <f t="shared" si="38"/>
        <v>28281.258593302733</v>
      </c>
      <c r="AE22" s="440">
        <f t="shared" si="38"/>
        <v>28157.890394459722</v>
      </c>
      <c r="AF22" s="691">
        <f t="shared" si="38"/>
        <v>28025.784138945688</v>
      </c>
      <c r="AG22" s="470"/>
      <c r="AH22" s="7"/>
      <c r="AI22" s="7"/>
      <c r="AJ22" s="7"/>
      <c r="AK22" s="10"/>
      <c r="AL22" s="10"/>
      <c r="AM22" s="10"/>
      <c r="AN22" s="10"/>
    </row>
    <row r="23" spans="1:40" ht="14.25" x14ac:dyDescent="0.45">
      <c r="A23" s="1088"/>
      <c r="B23" s="244">
        <v>16</v>
      </c>
      <c r="C23" s="264" t="s">
        <v>362</v>
      </c>
      <c r="D23" s="306">
        <f>'Fin. Data'!D32</f>
        <v>-12473</v>
      </c>
      <c r="E23" s="305">
        <f>'Fin. Data'!C32</f>
        <v>-15859.3</v>
      </c>
      <c r="F23" s="707">
        <f>'Fin. Data'!B32</f>
        <v>-16229.1</v>
      </c>
      <c r="G23" s="692">
        <f>G6*$D$62</f>
        <v>-18999.184538953206</v>
      </c>
      <c r="H23" s="326">
        <f t="shared" ref="H23:J23" si="39">H6*$D$62</f>
        <v>-19718.668198710584</v>
      </c>
      <c r="I23" s="326">
        <f t="shared" si="39"/>
        <v>-20936.702783532292</v>
      </c>
      <c r="J23" s="425">
        <f t="shared" si="39"/>
        <v>-23074.301955510517</v>
      </c>
      <c r="K23" s="329">
        <f t="shared" ref="K23:AF23" si="40">K6*$E$62</f>
        <v>-23042.796419284114</v>
      </c>
      <c r="L23" s="326">
        <f t="shared" si="40"/>
        <v>-25395.423910594105</v>
      </c>
      <c r="M23" s="326">
        <f t="shared" si="40"/>
        <v>-27988.250378285087</v>
      </c>
      <c r="N23" s="326">
        <f t="shared" si="40"/>
        <v>-30507.192912330749</v>
      </c>
      <c r="O23" s="326">
        <f t="shared" si="40"/>
        <v>-32947.768345317207</v>
      </c>
      <c r="P23" s="326">
        <f t="shared" si="40"/>
        <v>-35254.112129489418</v>
      </c>
      <c r="Q23" s="326">
        <f t="shared" si="40"/>
        <v>-37369.358857258776</v>
      </c>
      <c r="R23" s="326">
        <f t="shared" si="40"/>
        <v>-39237.826800121722</v>
      </c>
      <c r="S23" s="326">
        <f t="shared" si="40"/>
        <v>-41003.529006127195</v>
      </c>
      <c r="T23" s="326">
        <f t="shared" si="40"/>
        <v>-42725.677224384541</v>
      </c>
      <c r="U23" s="326">
        <f t="shared" si="40"/>
        <v>-44391.978636135536</v>
      </c>
      <c r="V23" s="326">
        <f t="shared" si="40"/>
        <v>-45945.697888400275</v>
      </c>
      <c r="W23" s="326">
        <f t="shared" si="40"/>
        <v>-47507.851616605876</v>
      </c>
      <c r="X23" s="326">
        <f t="shared" si="40"/>
        <v>-49075.610719953867</v>
      </c>
      <c r="Y23" s="326">
        <f t="shared" si="40"/>
        <v>-50646.03026299239</v>
      </c>
      <c r="Z23" s="326">
        <f t="shared" si="40"/>
        <v>-52216.057201145151</v>
      </c>
      <c r="AA23" s="326">
        <f t="shared" si="40"/>
        <v>-53782.538917179503</v>
      </c>
      <c r="AB23" s="326">
        <f t="shared" si="40"/>
        <v>-55342.232545777704</v>
      </c>
      <c r="AC23" s="326">
        <f t="shared" si="40"/>
        <v>-56891.815057059473</v>
      </c>
      <c r="AD23" s="326">
        <f t="shared" si="40"/>
        <v>-58427.894063600077</v>
      </c>
      <c r="AE23" s="326">
        <f t="shared" si="40"/>
        <v>-59947.019309253679</v>
      </c>
      <c r="AF23" s="689">
        <f t="shared" si="40"/>
        <v>-61445.694791985014</v>
      </c>
      <c r="AG23" s="471">
        <f>SUM(D23:AF23)</f>
        <v>-1098382.614469988</v>
      </c>
      <c r="AH23" s="7"/>
      <c r="AI23" s="7"/>
      <c r="AJ23" s="7"/>
      <c r="AK23" s="10"/>
      <c r="AL23" s="10"/>
      <c r="AM23" s="10"/>
      <c r="AN23" s="10"/>
    </row>
    <row r="24" spans="1:40" ht="14.25" x14ac:dyDescent="0.45">
      <c r="A24" s="1088"/>
      <c r="B24" s="244">
        <v>17</v>
      </c>
      <c r="C24" s="264" t="s">
        <v>363</v>
      </c>
      <c r="D24" s="286">
        <f>Inputs!D66</f>
        <v>0</v>
      </c>
      <c r="E24" s="285">
        <f>'Fin. Data'!C33</f>
        <v>0</v>
      </c>
      <c r="F24" s="705">
        <f>'Fin. Data'!B33</f>
        <v>0</v>
      </c>
      <c r="G24" s="692">
        <f>G6*$D$63</f>
        <v>0</v>
      </c>
      <c r="H24" s="326">
        <f t="shared" ref="H24:J24" si="41">H6*$D$63</f>
        <v>0</v>
      </c>
      <c r="I24" s="326">
        <f t="shared" si="41"/>
        <v>0</v>
      </c>
      <c r="J24" s="425">
        <f t="shared" si="41"/>
        <v>0</v>
      </c>
      <c r="K24" s="329">
        <f t="shared" ref="K24:AB24" si="42">K6*$E$63</f>
        <v>-223.39355880644868</v>
      </c>
      <c r="L24" s="326">
        <f t="shared" si="42"/>
        <v>-246.2016337582281</v>
      </c>
      <c r="M24" s="326"/>
      <c r="N24" s="326"/>
      <c r="O24" s="326"/>
      <c r="P24" s="326"/>
      <c r="Q24" s="326"/>
      <c r="R24" s="326"/>
      <c r="S24" s="326">
        <f t="shared" si="42"/>
        <v>-397.51790978964772</v>
      </c>
      <c r="T24" s="326">
        <f t="shared" si="42"/>
        <v>-414.21366200081292</v>
      </c>
      <c r="U24" s="326"/>
      <c r="V24" s="326"/>
      <c r="W24" s="326"/>
      <c r="X24" s="326"/>
      <c r="Y24" s="326"/>
      <c r="Z24" s="326"/>
      <c r="AA24" s="326"/>
      <c r="AB24" s="326">
        <f t="shared" si="42"/>
        <v>-536.5276876876319</v>
      </c>
      <c r="AC24" s="326"/>
      <c r="AD24" s="326"/>
      <c r="AE24" s="326"/>
      <c r="AF24" s="689"/>
      <c r="AG24" s="470"/>
      <c r="AH24" s="472">
        <f>AG9-AG23</f>
        <v>1585802.4931582122</v>
      </c>
      <c r="AI24" s="7"/>
      <c r="AJ24" s="7"/>
      <c r="AK24" s="10"/>
      <c r="AL24" s="10"/>
      <c r="AM24" s="10"/>
      <c r="AN24" s="10"/>
    </row>
    <row r="25" spans="1:40" ht="14.25" x14ac:dyDescent="0.4">
      <c r="A25" s="1088"/>
      <c r="B25" s="244">
        <v>18</v>
      </c>
      <c r="C25" s="264" t="s">
        <v>364</v>
      </c>
      <c r="D25" s="286">
        <f>Inputs!D67</f>
        <v>746.39999999999964</v>
      </c>
      <c r="E25" s="285">
        <f>Inputs!C67</f>
        <v>4875.3999999999996</v>
      </c>
      <c r="F25" s="705">
        <f>Inputs!B67</f>
        <v>4609.7000000000007</v>
      </c>
      <c r="G25" s="692">
        <f>(1+G5)*AVERAGE(D25:F25)</f>
        <v>3992.6255226783933</v>
      </c>
      <c r="H25" s="326">
        <f t="shared" ref="H25:AF25" si="43">(1+H5)*AVERAGE(E25:G25)</f>
        <v>4662.7053406793402</v>
      </c>
      <c r="I25" s="326">
        <f t="shared" si="43"/>
        <v>4694.8067317356381</v>
      </c>
      <c r="J25" s="425">
        <f t="shared" si="43"/>
        <v>4904.3874323116033</v>
      </c>
      <c r="K25" s="329">
        <f t="shared" si="43"/>
        <v>5239.3378115877713</v>
      </c>
      <c r="L25" s="326">
        <f t="shared" si="43"/>
        <v>5451.173009782694</v>
      </c>
      <c r="M25" s="326">
        <f t="shared" si="43"/>
        <v>5729.0363083333896</v>
      </c>
      <c r="N25" s="326">
        <f t="shared" si="43"/>
        <v>5965.7687904590684</v>
      </c>
      <c r="O25" s="326">
        <f t="shared" si="43"/>
        <v>6172.552119087055</v>
      </c>
      <c r="P25" s="326">
        <f t="shared" si="43"/>
        <v>6372.6907410436943</v>
      </c>
      <c r="Q25" s="326">
        <f t="shared" si="43"/>
        <v>6540.5574498750702</v>
      </c>
      <c r="R25" s="326">
        <f t="shared" si="43"/>
        <v>6680.0301085020365</v>
      </c>
      <c r="S25" s="326">
        <f t="shared" si="43"/>
        <v>6824.9919409649128</v>
      </c>
      <c r="T25" s="326">
        <f t="shared" si="43"/>
        <v>6962.4979461047951</v>
      </c>
      <c r="U25" s="326">
        <f t="shared" si="43"/>
        <v>7088.5844251330127</v>
      </c>
      <c r="V25" s="326">
        <f t="shared" si="43"/>
        <v>7202.2456377099379</v>
      </c>
      <c r="W25" s="326">
        <f t="shared" si="43"/>
        <v>7325.3137204173227</v>
      </c>
      <c r="X25" s="326">
        <f t="shared" si="43"/>
        <v>7443.1588427026199</v>
      </c>
      <c r="Y25" s="326">
        <f t="shared" si="43"/>
        <v>7557.9270610854792</v>
      </c>
      <c r="Z25" s="326">
        <f t="shared" si="43"/>
        <v>7672.839337518596</v>
      </c>
      <c r="AA25" s="326">
        <f t="shared" si="43"/>
        <v>7784.7143328486318</v>
      </c>
      <c r="AB25" s="326">
        <f t="shared" si="43"/>
        <v>7894.3098908882776</v>
      </c>
      <c r="AC25" s="326">
        <f t="shared" si="43"/>
        <v>8001.9052469902199</v>
      </c>
      <c r="AD25" s="326">
        <f t="shared" si="43"/>
        <v>8106.7715221455865</v>
      </c>
      <c r="AE25" s="326">
        <f t="shared" si="43"/>
        <v>8209.0214377282373</v>
      </c>
      <c r="AF25" s="689">
        <f t="shared" si="43"/>
        <v>8308.5468873452137</v>
      </c>
      <c r="AG25" s="309"/>
      <c r="AH25" s="7"/>
      <c r="AI25" s="7"/>
      <c r="AJ25" s="7"/>
      <c r="AK25" s="10"/>
      <c r="AL25" s="10"/>
      <c r="AM25" s="10"/>
      <c r="AN25" s="10"/>
    </row>
    <row r="26" spans="1:40" ht="14.25" x14ac:dyDescent="0.45">
      <c r="A26" s="1088"/>
      <c r="B26" s="244">
        <v>19</v>
      </c>
      <c r="C26" s="269" t="s">
        <v>365</v>
      </c>
      <c r="D26" s="283">
        <f t="shared" ref="D26:AF26" si="44">D23+D24+D25</f>
        <v>-11726.6</v>
      </c>
      <c r="E26" s="284">
        <f t="shared" si="44"/>
        <v>-10983.9</v>
      </c>
      <c r="F26" s="706">
        <f t="shared" si="44"/>
        <v>-11619.4</v>
      </c>
      <c r="G26" s="693">
        <f>G23+G24+G25</f>
        <v>-15006.559016274812</v>
      </c>
      <c r="H26" s="339">
        <f t="shared" si="44"/>
        <v>-15055.962858031244</v>
      </c>
      <c r="I26" s="339">
        <f t="shared" si="44"/>
        <v>-16241.896051796653</v>
      </c>
      <c r="J26" s="424">
        <f t="shared" si="44"/>
        <v>-18169.914523198913</v>
      </c>
      <c r="K26" s="340">
        <f t="shared" si="44"/>
        <v>-18026.852166502791</v>
      </c>
      <c r="L26" s="339">
        <f t="shared" si="44"/>
        <v>-20190.452534569638</v>
      </c>
      <c r="M26" s="339">
        <f t="shared" si="44"/>
        <v>-22259.214069951697</v>
      </c>
      <c r="N26" s="339">
        <f t="shared" si="44"/>
        <v>-24541.424121871682</v>
      </c>
      <c r="O26" s="339">
        <f t="shared" si="44"/>
        <v>-26775.21622623015</v>
      </c>
      <c r="P26" s="339">
        <f t="shared" si="44"/>
        <v>-28881.421388445724</v>
      </c>
      <c r="Q26" s="339">
        <f t="shared" si="44"/>
        <v>-30828.801407383704</v>
      </c>
      <c r="R26" s="339">
        <f t="shared" si="44"/>
        <v>-32557.796691619686</v>
      </c>
      <c r="S26" s="339">
        <f t="shared" si="44"/>
        <v>-34576.054974951927</v>
      </c>
      <c r="T26" s="339">
        <f t="shared" si="44"/>
        <v>-36177.392940280552</v>
      </c>
      <c r="U26" s="339">
        <f t="shared" si="44"/>
        <v>-37303.394211002524</v>
      </c>
      <c r="V26" s="339">
        <f t="shared" si="44"/>
        <v>-38743.452250690338</v>
      </c>
      <c r="W26" s="339">
        <f t="shared" si="44"/>
        <v>-40182.537896188551</v>
      </c>
      <c r="X26" s="339">
        <f t="shared" si="44"/>
        <v>-41632.451877251246</v>
      </c>
      <c r="Y26" s="339">
        <f t="shared" si="44"/>
        <v>-43088.10320190691</v>
      </c>
      <c r="Z26" s="339">
        <f t="shared" si="44"/>
        <v>-44543.217863626553</v>
      </c>
      <c r="AA26" s="339">
        <f t="shared" si="44"/>
        <v>-45997.824584330869</v>
      </c>
      <c r="AB26" s="339">
        <f t="shared" si="44"/>
        <v>-47984.45034257706</v>
      </c>
      <c r="AC26" s="339">
        <f t="shared" si="44"/>
        <v>-48889.90981006925</v>
      </c>
      <c r="AD26" s="339">
        <f t="shared" si="44"/>
        <v>-50321.12254145449</v>
      </c>
      <c r="AE26" s="339">
        <f t="shared" si="44"/>
        <v>-51737.99787152544</v>
      </c>
      <c r="AF26" s="694">
        <f t="shared" si="44"/>
        <v>-53137.147904639802</v>
      </c>
      <c r="AG26" s="470"/>
      <c r="AH26" s="7"/>
      <c r="AI26" s="7"/>
      <c r="AJ26" s="7"/>
      <c r="AK26" s="10"/>
      <c r="AL26" s="10"/>
      <c r="AM26" s="10"/>
      <c r="AN26" s="10"/>
    </row>
    <row r="27" spans="1:40" ht="14.25" x14ac:dyDescent="0.45">
      <c r="A27" s="1088"/>
      <c r="B27" s="244">
        <v>20</v>
      </c>
      <c r="C27" s="264" t="s">
        <v>366</v>
      </c>
      <c r="D27" s="286">
        <f>Inputs!D71+Inputs!D72</f>
        <v>0</v>
      </c>
      <c r="E27" s="285">
        <f>Inputs!C71+Inputs!C72</f>
        <v>0</v>
      </c>
      <c r="F27" s="707">
        <f>Inputs!B71+Inputs!B72</f>
        <v>0</v>
      </c>
      <c r="G27" s="695">
        <f>G6*$D$66</f>
        <v>0</v>
      </c>
      <c r="H27" s="288">
        <f t="shared" ref="H27:J27" si="45">H6*$D$66</f>
        <v>0</v>
      </c>
      <c r="I27" s="288">
        <f t="shared" si="45"/>
        <v>0</v>
      </c>
      <c r="J27" s="670">
        <f t="shared" si="45"/>
        <v>0</v>
      </c>
      <c r="K27" s="669">
        <f>$E$66*K6</f>
        <v>0</v>
      </c>
      <c r="L27" s="288">
        <f>$E$66*L6</f>
        <v>0</v>
      </c>
      <c r="M27" s="288">
        <f t="shared" ref="M27:AE27" si="46">$E$66*M6</f>
        <v>0</v>
      </c>
      <c r="N27" s="288">
        <f t="shared" si="46"/>
        <v>0</v>
      </c>
      <c r="O27" s="288">
        <f t="shared" si="46"/>
        <v>0</v>
      </c>
      <c r="P27" s="288">
        <f t="shared" si="46"/>
        <v>0</v>
      </c>
      <c r="Q27" s="288">
        <f t="shared" si="46"/>
        <v>0</v>
      </c>
      <c r="R27" s="288">
        <f t="shared" si="46"/>
        <v>0</v>
      </c>
      <c r="S27" s="288">
        <f t="shared" si="46"/>
        <v>0</v>
      </c>
      <c r="T27" s="288">
        <f t="shared" si="46"/>
        <v>0</v>
      </c>
      <c r="U27" s="288">
        <f t="shared" si="46"/>
        <v>0</v>
      </c>
      <c r="V27" s="288">
        <f t="shared" si="46"/>
        <v>0</v>
      </c>
      <c r="W27" s="288">
        <f t="shared" si="46"/>
        <v>0</v>
      </c>
      <c r="X27" s="288">
        <f t="shared" si="46"/>
        <v>0</v>
      </c>
      <c r="Y27" s="288">
        <f t="shared" si="46"/>
        <v>0</v>
      </c>
      <c r="Z27" s="288">
        <f t="shared" si="46"/>
        <v>0</v>
      </c>
      <c r="AA27" s="288">
        <f t="shared" si="46"/>
        <v>0</v>
      </c>
      <c r="AB27" s="288">
        <f t="shared" si="46"/>
        <v>0</v>
      </c>
      <c r="AC27" s="288">
        <f t="shared" si="46"/>
        <v>0</v>
      </c>
      <c r="AD27" s="288">
        <f t="shared" si="46"/>
        <v>0</v>
      </c>
      <c r="AE27" s="288">
        <f t="shared" si="46"/>
        <v>0</v>
      </c>
      <c r="AF27" s="696">
        <f>$E$66*AF6</f>
        <v>0</v>
      </c>
      <c r="AG27" s="470"/>
      <c r="AH27" s="7"/>
      <c r="AI27" s="7"/>
      <c r="AJ27" s="7"/>
      <c r="AK27" s="10"/>
      <c r="AL27" s="10"/>
      <c r="AM27" s="10"/>
      <c r="AN27" s="10"/>
    </row>
    <row r="28" spans="1:40" ht="14.25" x14ac:dyDescent="0.45">
      <c r="A28" s="1088"/>
      <c r="B28" s="244">
        <v>21</v>
      </c>
      <c r="C28" s="264" t="s">
        <v>367</v>
      </c>
      <c r="D28" s="306">
        <f>+SUM(Inputs!D69:D70)</f>
        <v>-92.2</v>
      </c>
      <c r="E28" s="285">
        <f>+SUM(Inputs!C69:C70)</f>
        <v>8925.2000000000007</v>
      </c>
      <c r="F28" s="705">
        <f>+SUM(Inputs!B69:B70)</f>
        <v>526.20000000000005</v>
      </c>
      <c r="G28" s="692">
        <f>G44-F44</f>
        <v>8076.1393396233689</v>
      </c>
      <c r="H28" s="326">
        <f t="shared" ref="H28:AF28" si="47">H44-G44</f>
        <v>2612.6876268558553</v>
      </c>
      <c r="I28" s="326">
        <f t="shared" si="47"/>
        <v>6251.0730335207772</v>
      </c>
      <c r="J28" s="425">
        <f t="shared" si="47"/>
        <v>2988</v>
      </c>
      <c r="K28" s="329">
        <f t="shared" si="47"/>
        <v>3787.2317916620814</v>
      </c>
      <c r="L28" s="326">
        <f t="shared" si="47"/>
        <v>8396.366626768111</v>
      </c>
      <c r="M28" s="326">
        <f t="shared" si="47"/>
        <v>9371.4133146266395</v>
      </c>
      <c r="N28" s="326">
        <f t="shared" si="47"/>
        <v>9779.8617339269113</v>
      </c>
      <c r="O28" s="326">
        <f t="shared" si="47"/>
        <v>10165.040189365711</v>
      </c>
      <c r="P28" s="326">
        <f t="shared" si="47"/>
        <v>10412.995601996314</v>
      </c>
      <c r="Q28" s="326">
        <f t="shared" si="47"/>
        <v>10502.349720506303</v>
      </c>
      <c r="R28" s="326">
        <f t="shared" si="47"/>
        <v>10416.473557021061</v>
      </c>
      <c r="S28" s="326">
        <f t="shared" si="47"/>
        <v>10626.204859088059</v>
      </c>
      <c r="T28" s="326">
        <f t="shared" si="47"/>
        <v>10966.462951632449</v>
      </c>
      <c r="U28" s="326">
        <f t="shared" si="47"/>
        <v>3570.2952913859626</v>
      </c>
      <c r="V28" s="326">
        <f t="shared" si="47"/>
        <v>3174.2930620837142</v>
      </c>
      <c r="W28" s="326">
        <f t="shared" si="47"/>
        <v>3091.4111573389091</v>
      </c>
      <c r="X28" s="326">
        <f t="shared" si="47"/>
        <v>3008.5008252119587</v>
      </c>
      <c r="Y28" s="326">
        <f t="shared" si="47"/>
        <v>2926.7180423997343</v>
      </c>
      <c r="Z28" s="326">
        <f t="shared" si="47"/>
        <v>2847.3055404313782</v>
      </c>
      <c r="AA28" s="326">
        <f t="shared" si="47"/>
        <v>2771.5913989769178</v>
      </c>
      <c r="AB28" s="326">
        <f t="shared" si="47"/>
        <v>2700.9871569961542</v>
      </c>
      <c r="AC28" s="326">
        <f t="shared" si="47"/>
        <v>2636.9854490793659</v>
      </c>
      <c r="AD28" s="326">
        <f t="shared" si="47"/>
        <v>2581.1571794078045</v>
      </c>
      <c r="AE28" s="326">
        <f t="shared" si="47"/>
        <v>2535.1482509326597</v>
      </c>
      <c r="AF28" s="689">
        <f t="shared" si="47"/>
        <v>2500.6758725720865</v>
      </c>
      <c r="AG28" s="470"/>
      <c r="AH28" s="7"/>
      <c r="AI28" s="7"/>
      <c r="AJ28" s="7"/>
      <c r="AK28" s="10"/>
      <c r="AL28" s="10"/>
      <c r="AM28" s="10"/>
      <c r="AN28" s="10"/>
    </row>
    <row r="29" spans="1:40" ht="14.25" x14ac:dyDescent="0.45">
      <c r="A29" s="1088"/>
      <c r="B29" s="244">
        <v>22</v>
      </c>
      <c r="C29" s="264" t="s">
        <v>368</v>
      </c>
      <c r="D29" s="306">
        <f>'Fin. Data'!D28</f>
        <v>-807.3</v>
      </c>
      <c r="E29" s="285">
        <f>'Fin. Data'!C28</f>
        <v>-357.3</v>
      </c>
      <c r="F29" s="707">
        <f>'Fin. Data'!B28</f>
        <v>-681.6</v>
      </c>
      <c r="G29" s="692">
        <f>-G17*$D$65</f>
        <v>-723.22349736940146</v>
      </c>
      <c r="H29" s="326">
        <f>-H17*$D$65</f>
        <v>-639.8050093931821</v>
      </c>
      <c r="I29" s="326">
        <f>-I17*$D$65</f>
        <v>-632.08181869627492</v>
      </c>
      <c r="J29" s="425">
        <f>-J17*$D$65</f>
        <v>-683.61354120210297</v>
      </c>
      <c r="K29" s="329">
        <f t="shared" ref="K29:AF29" si="48">-K17*$E$65</f>
        <v>-561.36333127727494</v>
      </c>
      <c r="L29" s="326">
        <f t="shared" si="48"/>
        <v>-645.88865917448629</v>
      </c>
      <c r="M29" s="326">
        <f t="shared" si="48"/>
        <v>-741.86534971028391</v>
      </c>
      <c r="N29" s="326">
        <f t="shared" si="48"/>
        <v>-842.18764362143088</v>
      </c>
      <c r="O29" s="326">
        <f t="shared" si="48"/>
        <v>-961.8858807298335</v>
      </c>
      <c r="P29" s="326">
        <f t="shared" si="48"/>
        <v>-1080.1321909862224</v>
      </c>
      <c r="Q29" s="326">
        <f t="shared" si="48"/>
        <v>-1189.9735285115967</v>
      </c>
      <c r="R29" s="326">
        <f t="shared" si="48"/>
        <v>-1298.3115580168585</v>
      </c>
      <c r="S29" s="326">
        <f t="shared" si="48"/>
        <v>-1351.0877614559138</v>
      </c>
      <c r="T29" s="326">
        <f t="shared" si="48"/>
        <v>-1419.2922096840471</v>
      </c>
      <c r="U29" s="326">
        <f t="shared" si="48"/>
        <v>-1473.5804024138729</v>
      </c>
      <c r="V29" s="326">
        <f t="shared" si="48"/>
        <v>-1519.5516380860267</v>
      </c>
      <c r="W29" s="326">
        <f t="shared" si="48"/>
        <v>-1547.9765028087068</v>
      </c>
      <c r="X29" s="326">
        <f t="shared" si="48"/>
        <v>-1600.1361094197678</v>
      </c>
      <c r="Y29" s="326">
        <f t="shared" si="48"/>
        <v>-1530.5459871310102</v>
      </c>
      <c r="Z29" s="326">
        <f t="shared" si="48"/>
        <v>-1490.7732542369838</v>
      </c>
      <c r="AA29" s="326">
        <f t="shared" si="48"/>
        <v>-1450.4828034724312</v>
      </c>
      <c r="AB29" s="326">
        <f t="shared" si="48"/>
        <v>-1447.3480939979802</v>
      </c>
      <c r="AC29" s="326">
        <f t="shared" si="48"/>
        <v>-1442.9162869286513</v>
      </c>
      <c r="AD29" s="326">
        <f t="shared" si="48"/>
        <v>-1437.4238070868983</v>
      </c>
      <c r="AE29" s="326">
        <f t="shared" si="48"/>
        <v>-1431.1534925791709</v>
      </c>
      <c r="AF29" s="689">
        <f t="shared" si="48"/>
        <v>-1424.4390574307315</v>
      </c>
      <c r="AG29" s="470"/>
      <c r="AH29" s="7"/>
      <c r="AI29" s="7"/>
      <c r="AJ29" s="7"/>
      <c r="AK29" s="10"/>
      <c r="AL29" s="10"/>
      <c r="AM29" s="10"/>
      <c r="AN29" s="10"/>
    </row>
    <row r="30" spans="1:40" s="7" customFormat="1" ht="14.25" x14ac:dyDescent="0.45">
      <c r="A30" s="1088"/>
      <c r="B30" s="244">
        <v>23</v>
      </c>
      <c r="C30" s="264" t="s">
        <v>369</v>
      </c>
      <c r="D30" s="286">
        <f>'Fin. Data'!D27</f>
        <v>-5338.1</v>
      </c>
      <c r="E30" s="285">
        <f>'Fin. Data'!C27</f>
        <v>-641.6</v>
      </c>
      <c r="F30" s="705">
        <f>'Fin. Data'!B27</f>
        <v>-641.6</v>
      </c>
      <c r="G30" s="692">
        <f>-$D$64*G6</f>
        <v>-947.29676155225695</v>
      </c>
      <c r="H30" s="692">
        <f t="shared" ref="H30:J30" si="49">-$D$64*H6</f>
        <v>-983.17011914192335</v>
      </c>
      <c r="I30" s="692">
        <f t="shared" si="49"/>
        <v>-1043.9011581659713</v>
      </c>
      <c r="J30" s="692">
        <f t="shared" si="49"/>
        <v>-1150.4815626543905</v>
      </c>
      <c r="K30" s="329">
        <f>-$E$64*K6</f>
        <v>1005.3534540251444</v>
      </c>
      <c r="L30" s="329">
        <f t="shared" ref="L30:AF30" si="50">-$E$64*L6</f>
        <v>1107.9982082201516</v>
      </c>
      <c r="M30" s="329">
        <f t="shared" si="50"/>
        <v>1221.1228046254489</v>
      </c>
      <c r="N30" s="329">
        <f t="shared" si="50"/>
        <v>1331.0238570417393</v>
      </c>
      <c r="O30" s="329">
        <f t="shared" si="50"/>
        <v>1437.5057656050785</v>
      </c>
      <c r="P30" s="329">
        <f t="shared" si="50"/>
        <v>1538.1311691974342</v>
      </c>
      <c r="Q30" s="329">
        <f t="shared" si="50"/>
        <v>1630.4190393492802</v>
      </c>
      <c r="R30" s="329">
        <f t="shared" si="50"/>
        <v>1711.9399913167442</v>
      </c>
      <c r="S30" s="329">
        <f t="shared" si="50"/>
        <v>1788.9772909259975</v>
      </c>
      <c r="T30" s="329">
        <f t="shared" si="50"/>
        <v>1864.1143371448895</v>
      </c>
      <c r="U30" s="329">
        <f t="shared" si="50"/>
        <v>1936.8147962935402</v>
      </c>
      <c r="V30" s="329">
        <f t="shared" si="50"/>
        <v>2004.603314163814</v>
      </c>
      <c r="W30" s="329">
        <f t="shared" si="50"/>
        <v>2072.7598268453835</v>
      </c>
      <c r="X30" s="329">
        <f t="shared" si="50"/>
        <v>2141.1609011312808</v>
      </c>
      <c r="Y30" s="329">
        <f t="shared" si="50"/>
        <v>2209.6780499674819</v>
      </c>
      <c r="Z30" s="329">
        <f t="shared" si="50"/>
        <v>2278.1780695164734</v>
      </c>
      <c r="AA30" s="329">
        <f t="shared" si="50"/>
        <v>2346.5234116019674</v>
      </c>
      <c r="AB30" s="329">
        <f t="shared" si="50"/>
        <v>2414.5725905384247</v>
      </c>
      <c r="AC30" s="329">
        <f t="shared" si="50"/>
        <v>2482.1806230735001</v>
      </c>
      <c r="AD30" s="329">
        <f t="shared" si="50"/>
        <v>2549.1994998964847</v>
      </c>
      <c r="AE30" s="329">
        <f t="shared" si="50"/>
        <v>2615.4786868937931</v>
      </c>
      <c r="AF30" s="329">
        <f t="shared" si="50"/>
        <v>2680.8656540661377</v>
      </c>
      <c r="AG30" s="470"/>
      <c r="AK30" s="10"/>
      <c r="AL30" s="10"/>
      <c r="AM30" s="10"/>
      <c r="AN30" s="10"/>
    </row>
    <row r="31" spans="1:40" s="3" customFormat="1" ht="14.25" x14ac:dyDescent="0.45">
      <c r="A31" s="1088"/>
      <c r="B31" s="244">
        <v>24</v>
      </c>
      <c r="C31" s="264" t="s">
        <v>370</v>
      </c>
      <c r="D31" s="362">
        <f>Inputs!D75</f>
        <v>-2854.5999999999995</v>
      </c>
      <c r="E31" s="361">
        <f>Inputs!C75</f>
        <v>-10475.000000000002</v>
      </c>
      <c r="F31" s="708">
        <f>Inputs!B75</f>
        <v>4746</v>
      </c>
      <c r="G31" s="692">
        <f>(1+G5)*AVERAGE(D31:F31)</f>
        <v>-3349.5675547536789</v>
      </c>
      <c r="H31" s="326">
        <f t="shared" ref="H31:AF31" si="51">(1+H5)*AVERAGE(E31:G31)</f>
        <v>-3140.7885070845323</v>
      </c>
      <c r="I31" s="326">
        <f>(1+I5)*AVERAGE(G31:H31)</f>
        <v>-3445.634726864806</v>
      </c>
      <c r="J31" s="425">
        <f t="shared" si="51"/>
        <v>-3650.1457759947616</v>
      </c>
      <c r="K31" s="452">
        <f t="shared" si="51"/>
        <v>-3760.5680124834057</v>
      </c>
      <c r="L31" s="453">
        <f t="shared" si="51"/>
        <v>-3988.2539666865828</v>
      </c>
      <c r="M31" s="453">
        <f t="shared" si="51"/>
        <v>-4187.5938582312583</v>
      </c>
      <c r="N31" s="453">
        <f t="shared" si="51"/>
        <v>-4336.8977542557868</v>
      </c>
      <c r="O31" s="453">
        <f t="shared" si="51"/>
        <v>-4504.5884085025073</v>
      </c>
      <c r="P31" s="453">
        <f t="shared" si="51"/>
        <v>-4647.038540819608</v>
      </c>
      <c r="Q31" s="453">
        <f t="shared" si="51"/>
        <v>-4765.9453952641925</v>
      </c>
      <c r="R31" s="453">
        <f t="shared" si="51"/>
        <v>-4871.1503206052084</v>
      </c>
      <c r="S31" s="453">
        <f t="shared" si="51"/>
        <v>-4975.6400994133373</v>
      </c>
      <c r="T31" s="453">
        <f t="shared" si="51"/>
        <v>-5075.4902398415379</v>
      </c>
      <c r="U31" s="453">
        <f t="shared" si="51"/>
        <v>-5168.0832018648753</v>
      </c>
      <c r="V31" s="453">
        <f t="shared" si="51"/>
        <v>-5250.6286716863142</v>
      </c>
      <c r="W31" s="453">
        <f t="shared" si="51"/>
        <v>-5340.3349950826932</v>
      </c>
      <c r="X31" s="453">
        <f t="shared" si="51"/>
        <v>-5426.3651384329332</v>
      </c>
      <c r="Y31" s="453">
        <f t="shared" si="51"/>
        <v>-5509.961108989467</v>
      </c>
      <c r="Z31" s="453">
        <f t="shared" si="51"/>
        <v>-5593.74591367425</v>
      </c>
      <c r="AA31" s="453">
        <f t="shared" si="51"/>
        <v>-5675.3247753098494</v>
      </c>
      <c r="AB31" s="453">
        <f t="shared" si="51"/>
        <v>-5755.2079067049335</v>
      </c>
      <c r="AC31" s="453">
        <f t="shared" si="51"/>
        <v>-5833.6527987894415</v>
      </c>
      <c r="AD31" s="453">
        <f t="shared" si="51"/>
        <v>-5910.1061629286451</v>
      </c>
      <c r="AE31" s="453">
        <f t="shared" si="51"/>
        <v>-5984.6466690006728</v>
      </c>
      <c r="AF31" s="697">
        <f t="shared" si="51"/>
        <v>-6057.2052571622417</v>
      </c>
      <c r="AG31" s="470"/>
      <c r="AH31" s="488"/>
      <c r="AI31" s="488"/>
      <c r="AJ31" s="488"/>
      <c r="AK31" s="486"/>
      <c r="AL31" s="486"/>
      <c r="AM31" s="486"/>
      <c r="AN31" s="486"/>
    </row>
    <row r="32" spans="1:40" s="7" customFormat="1" ht="16.5" customHeight="1" x14ac:dyDescent="0.45">
      <c r="A32" s="1088"/>
      <c r="B32" s="245">
        <v>25</v>
      </c>
      <c r="C32" s="270" t="s">
        <v>371</v>
      </c>
      <c r="D32" s="419">
        <f t="shared" ref="D32:AF32" si="52">D27+D28+D29+D30+D31</f>
        <v>-9092.2000000000007</v>
      </c>
      <c r="E32" s="420">
        <f t="shared" si="52"/>
        <v>-2548.7000000000007</v>
      </c>
      <c r="F32" s="421">
        <f t="shared" si="52"/>
        <v>3949</v>
      </c>
      <c r="G32" s="698">
        <f>G27+G28+G29+G30+G31</f>
        <v>3056.0515259480321</v>
      </c>
      <c r="H32" s="699">
        <f t="shared" si="52"/>
        <v>-2151.0760087637823</v>
      </c>
      <c r="I32" s="699">
        <f t="shared" si="52"/>
        <v>1129.4553297937246</v>
      </c>
      <c r="J32" s="700">
        <f t="shared" si="52"/>
        <v>-2496.2408798512552</v>
      </c>
      <c r="K32" s="701">
        <f t="shared" si="52"/>
        <v>470.65390192654513</v>
      </c>
      <c r="L32" s="699">
        <f t="shared" si="52"/>
        <v>4870.2222091271924</v>
      </c>
      <c r="M32" s="699">
        <f t="shared" si="52"/>
        <v>5663.0769113105462</v>
      </c>
      <c r="N32" s="699">
        <f t="shared" si="52"/>
        <v>5931.8001930914315</v>
      </c>
      <c r="O32" s="699">
        <f t="shared" si="52"/>
        <v>6136.0716657384501</v>
      </c>
      <c r="P32" s="699">
        <f t="shared" si="52"/>
        <v>6223.9560393879192</v>
      </c>
      <c r="Q32" s="699">
        <f t="shared" si="52"/>
        <v>6176.8498360797948</v>
      </c>
      <c r="R32" s="699">
        <f t="shared" si="52"/>
        <v>5958.9516697157387</v>
      </c>
      <c r="S32" s="699">
        <f t="shared" si="52"/>
        <v>6088.4542891448045</v>
      </c>
      <c r="T32" s="699">
        <f>T27+T28+T29+T30+T31</f>
        <v>6335.7948392517537</v>
      </c>
      <c r="U32" s="699">
        <f t="shared" si="52"/>
        <v>-1134.5535165992451</v>
      </c>
      <c r="V32" s="699">
        <f t="shared" si="52"/>
        <v>-1591.2839335248127</v>
      </c>
      <c r="W32" s="699">
        <f t="shared" si="52"/>
        <v>-1724.1405137071074</v>
      </c>
      <c r="X32" s="699">
        <f t="shared" si="52"/>
        <v>-1876.8395215094615</v>
      </c>
      <c r="Y32" s="699">
        <f t="shared" si="52"/>
        <v>-1904.1110037532608</v>
      </c>
      <c r="Z32" s="699">
        <f t="shared" si="52"/>
        <v>-1959.0355579633824</v>
      </c>
      <c r="AA32" s="699">
        <f t="shared" si="52"/>
        <v>-2007.6927682033956</v>
      </c>
      <c r="AB32" s="699">
        <f t="shared" si="52"/>
        <v>-2086.996253168335</v>
      </c>
      <c r="AC32" s="699">
        <f t="shared" si="52"/>
        <v>-2157.4030135652265</v>
      </c>
      <c r="AD32" s="699">
        <f t="shared" si="52"/>
        <v>-2217.1732907112541</v>
      </c>
      <c r="AE32" s="699">
        <f t="shared" si="52"/>
        <v>-2265.1732237533906</v>
      </c>
      <c r="AF32" s="702">
        <f t="shared" si="52"/>
        <v>-2300.1027879547491</v>
      </c>
      <c r="AG32" s="470"/>
      <c r="AK32" s="10"/>
      <c r="AL32" s="10"/>
      <c r="AM32" s="10"/>
      <c r="AN32" s="10"/>
    </row>
    <row r="33" spans="1:40" x14ac:dyDescent="0.35">
      <c r="A33" s="1076"/>
      <c r="B33" s="1077"/>
      <c r="C33" s="1077"/>
      <c r="D33" s="1077"/>
      <c r="E33" s="1077"/>
      <c r="F33" s="1077"/>
      <c r="G33" s="1078"/>
      <c r="H33" s="1078"/>
      <c r="I33" s="1078"/>
      <c r="J33" s="1078"/>
      <c r="K33" s="1078"/>
      <c r="L33" s="1078"/>
      <c r="M33" s="1078"/>
      <c r="N33" s="1078"/>
      <c r="O33" s="1078"/>
      <c r="P33" s="1078"/>
      <c r="Q33" s="1078"/>
      <c r="R33" s="1078"/>
      <c r="S33" s="1078"/>
      <c r="T33" s="1078"/>
      <c r="U33" s="1078"/>
      <c r="V33" s="1078"/>
      <c r="W33" s="1078"/>
      <c r="X33" s="1078"/>
      <c r="Y33" s="1078"/>
      <c r="Z33" s="1078"/>
      <c r="AA33" s="1078"/>
      <c r="AB33" s="1078"/>
      <c r="AC33" s="1078"/>
      <c r="AD33" s="1078"/>
      <c r="AE33" s="1078"/>
      <c r="AF33" s="1079"/>
      <c r="AG33" s="7"/>
      <c r="AH33" s="7"/>
      <c r="AI33" s="7"/>
      <c r="AJ33" s="7"/>
      <c r="AK33" s="10"/>
      <c r="AL33" s="10"/>
      <c r="AM33" s="10"/>
      <c r="AN33" s="10"/>
    </row>
    <row r="34" spans="1:40" ht="14.25" x14ac:dyDescent="0.45">
      <c r="A34" s="1100" t="s">
        <v>372</v>
      </c>
      <c r="B34" s="244">
        <v>26</v>
      </c>
      <c r="C34" s="248" t="s">
        <v>373</v>
      </c>
      <c r="D34" s="415">
        <f>D22+D26+D27+D28+D31</f>
        <v>9480.1999999999971</v>
      </c>
      <c r="E34" s="416">
        <f t="shared" ref="E34:AF34" si="53">E22+E26+E27+E28+E31</f>
        <v>-14442.800000000001</v>
      </c>
      <c r="F34" s="445">
        <f t="shared" si="53"/>
        <v>-2826.5999999999995</v>
      </c>
      <c r="G34" s="560">
        <f t="shared" si="53"/>
        <v>-1945.4269189540623</v>
      </c>
      <c r="H34" s="417">
        <f>H22+H26+H27+H28+H31</f>
        <v>-8210.8333905295131</v>
      </c>
      <c r="I34" s="417">
        <f t="shared" si="53"/>
        <v>-6152.230864391182</v>
      </c>
      <c r="J34" s="418">
        <f t="shared" si="53"/>
        <v>-10953.972390986513</v>
      </c>
      <c r="K34" s="444">
        <f t="shared" si="53"/>
        <v>-6955.3862500719752</v>
      </c>
      <c r="L34" s="417">
        <f t="shared" si="53"/>
        <v>-3074.5051339362376</v>
      </c>
      <c r="M34" s="417">
        <f t="shared" si="53"/>
        <v>-2479.2221464482054</v>
      </c>
      <c r="N34" s="417">
        <f t="shared" si="53"/>
        <v>-2528.4503678306055</v>
      </c>
      <c r="O34" s="417">
        <f t="shared" si="53"/>
        <v>-2189.696420163008</v>
      </c>
      <c r="P34" s="417">
        <f t="shared" si="53"/>
        <v>-1863.9046566803072</v>
      </c>
      <c r="Q34" s="417">
        <f t="shared" si="53"/>
        <v>-1679.7132841565726</v>
      </c>
      <c r="R34" s="417">
        <f t="shared" si="53"/>
        <v>-1468.2430577948189</v>
      </c>
      <c r="S34" s="417">
        <f t="shared" si="53"/>
        <v>-2342.8900276408031</v>
      </c>
      <c r="T34" s="417">
        <f t="shared" si="53"/>
        <v>-2361.9001227029203</v>
      </c>
      <c r="U34" s="417">
        <f t="shared" si="53"/>
        <v>-9908.5438938258485</v>
      </c>
      <c r="V34" s="417">
        <f t="shared" si="53"/>
        <v>-10922.667323740086</v>
      </c>
      <c r="W34" s="417">
        <f t="shared" si="53"/>
        <v>-11975.083067843603</v>
      </c>
      <c r="X34" s="417">
        <f t="shared" si="53"/>
        <v>-12567.699253235127</v>
      </c>
      <c r="Y34" s="417">
        <f t="shared" si="53"/>
        <v>-15557.912333714812</v>
      </c>
      <c r="Z34" s="417">
        <f t="shared" si="53"/>
        <v>-17958.751305183428</v>
      </c>
      <c r="AA34" s="417">
        <f t="shared" si="53"/>
        <v>-20363.364111434879</v>
      </c>
      <c r="AB34" s="417">
        <f t="shared" si="53"/>
        <v>-22562.152532435557</v>
      </c>
      <c r="AC34" s="417">
        <f t="shared" si="53"/>
        <v>-23697.254235026619</v>
      </c>
      <c r="AD34" s="417">
        <f t="shared" si="53"/>
        <v>-25368.812931672597</v>
      </c>
      <c r="AE34" s="417">
        <f t="shared" si="53"/>
        <v>-27029.605895133733</v>
      </c>
      <c r="AF34" s="418">
        <f t="shared" si="53"/>
        <v>-28667.893150284268</v>
      </c>
      <c r="AG34" s="470"/>
      <c r="AH34" s="7"/>
      <c r="AI34" s="7"/>
      <c r="AJ34" s="7"/>
      <c r="AK34" s="10"/>
      <c r="AL34" s="10"/>
      <c r="AM34" s="10"/>
      <c r="AN34" s="10"/>
    </row>
    <row r="35" spans="1:40" s="3" customFormat="1" ht="14.25" x14ac:dyDescent="0.45">
      <c r="A35" s="1100"/>
      <c r="B35" s="244">
        <v>27</v>
      </c>
      <c r="C35" s="248" t="s">
        <v>374</v>
      </c>
      <c r="D35" s="344">
        <f>-1*(D29+D30)</f>
        <v>6145.4000000000005</v>
      </c>
      <c r="E35" s="341">
        <f t="shared" ref="E35:AF35" si="54">-1*(E29+E30)</f>
        <v>998.90000000000009</v>
      </c>
      <c r="F35" s="345">
        <f t="shared" si="54"/>
        <v>1323.2</v>
      </c>
      <c r="G35" s="353">
        <f t="shared" si="54"/>
        <v>1670.5202589216583</v>
      </c>
      <c r="H35" s="307">
        <f t="shared" si="54"/>
        <v>1622.9751285351053</v>
      </c>
      <c r="I35" s="307">
        <f t="shared" si="54"/>
        <v>1675.9829768622462</v>
      </c>
      <c r="J35" s="354">
        <f t="shared" si="54"/>
        <v>1834.0951038564936</v>
      </c>
      <c r="K35" s="307">
        <f t="shared" si="54"/>
        <v>-443.99012274786946</v>
      </c>
      <c r="L35" s="307">
        <f t="shared" si="54"/>
        <v>-462.10954904566529</v>
      </c>
      <c r="M35" s="307">
        <f t="shared" si="54"/>
        <v>-479.257454915165</v>
      </c>
      <c r="N35" s="307">
        <f t="shared" si="54"/>
        <v>-488.83621342030847</v>
      </c>
      <c r="O35" s="307">
        <f t="shared" si="54"/>
        <v>-475.61988487524502</v>
      </c>
      <c r="P35" s="307">
        <f t="shared" si="54"/>
        <v>-457.99897821121181</v>
      </c>
      <c r="Q35" s="307">
        <f t="shared" si="54"/>
        <v>-440.44551083768351</v>
      </c>
      <c r="R35" s="307">
        <f t="shared" si="54"/>
        <v>-413.62843329988573</v>
      </c>
      <c r="S35" s="307">
        <f t="shared" si="54"/>
        <v>-437.88952947008374</v>
      </c>
      <c r="T35" s="307">
        <f t="shared" si="54"/>
        <v>-444.82212746084247</v>
      </c>
      <c r="U35" s="307">
        <f t="shared" si="54"/>
        <v>-463.23439387966732</v>
      </c>
      <c r="V35" s="307">
        <f t="shared" si="54"/>
        <v>-485.05167607778731</v>
      </c>
      <c r="W35" s="307">
        <f t="shared" si="54"/>
        <v>-524.78332403667673</v>
      </c>
      <c r="X35" s="307">
        <f t="shared" si="54"/>
        <v>-541.02479171151299</v>
      </c>
      <c r="Y35" s="307">
        <f t="shared" si="54"/>
        <v>-679.13206283647173</v>
      </c>
      <c r="Z35" s="307">
        <f t="shared" si="54"/>
        <v>-787.40481527948964</v>
      </c>
      <c r="AA35" s="307">
        <f t="shared" si="54"/>
        <v>-896.04060812953617</v>
      </c>
      <c r="AB35" s="307">
        <f t="shared" si="54"/>
        <v>-967.22449654044453</v>
      </c>
      <c r="AC35" s="307">
        <f t="shared" si="54"/>
        <v>-1039.2643361448488</v>
      </c>
      <c r="AD35" s="307">
        <f t="shared" si="54"/>
        <v>-1111.7756928095864</v>
      </c>
      <c r="AE35" s="307">
        <f t="shared" si="54"/>
        <v>-1184.3251943146222</v>
      </c>
      <c r="AF35" s="354">
        <f t="shared" si="54"/>
        <v>-1256.4265966354062</v>
      </c>
      <c r="AG35" s="470"/>
      <c r="AH35" s="488"/>
      <c r="AI35" s="488"/>
      <c r="AJ35" s="488"/>
      <c r="AK35" s="486"/>
      <c r="AL35" s="486"/>
      <c r="AM35" s="486"/>
      <c r="AN35" s="486"/>
    </row>
    <row r="36" spans="1:40" s="7" customFormat="1" ht="14.65" thickBot="1" x14ac:dyDescent="0.5">
      <c r="A36" s="1100"/>
      <c r="B36" s="245">
        <v>28</v>
      </c>
      <c r="C36" s="243" t="s">
        <v>375</v>
      </c>
      <c r="D36" s="401">
        <f>D34-D35</f>
        <v>3334.7999999999965</v>
      </c>
      <c r="E36" s="402">
        <f>E34-E35</f>
        <v>-15441.7</v>
      </c>
      <c r="F36" s="346">
        <f>F34-F35</f>
        <v>-4149.7999999999993</v>
      </c>
      <c r="G36" s="355">
        <f>G34-G35</f>
        <v>-3615.9471778757206</v>
      </c>
      <c r="H36" s="356">
        <f t="shared" ref="H36:AF36" si="55">H34-H35</f>
        <v>-9833.8085190646179</v>
      </c>
      <c r="I36" s="356">
        <f t="shared" si="55"/>
        <v>-7828.2138412534277</v>
      </c>
      <c r="J36" s="357">
        <f t="shared" si="55"/>
        <v>-12788.067494843006</v>
      </c>
      <c r="K36" s="356">
        <f t="shared" si="55"/>
        <v>-6511.3961273241057</v>
      </c>
      <c r="L36" s="356">
        <f t="shared" si="55"/>
        <v>-2612.3955848905725</v>
      </c>
      <c r="M36" s="356">
        <f t="shared" si="55"/>
        <v>-1999.9646915330404</v>
      </c>
      <c r="N36" s="356">
        <f t="shared" si="55"/>
        <v>-2039.614154410297</v>
      </c>
      <c r="O36" s="356">
        <f t="shared" si="55"/>
        <v>-1714.0765352877629</v>
      </c>
      <c r="P36" s="356">
        <f t="shared" si="55"/>
        <v>-1405.9056784690954</v>
      </c>
      <c r="Q36" s="356">
        <f t="shared" si="55"/>
        <v>-1239.2677733188891</v>
      </c>
      <c r="R36" s="356">
        <f t="shared" si="55"/>
        <v>-1054.6146244949332</v>
      </c>
      <c r="S36" s="356">
        <f t="shared" si="55"/>
        <v>-1905.0004981707193</v>
      </c>
      <c r="T36" s="356">
        <f t="shared" si="55"/>
        <v>-1917.0779952420778</v>
      </c>
      <c r="U36" s="356">
        <f t="shared" si="55"/>
        <v>-9445.3094999461809</v>
      </c>
      <c r="V36" s="356">
        <f t="shared" si="55"/>
        <v>-10437.6156476623</v>
      </c>
      <c r="W36" s="356">
        <f t="shared" si="55"/>
        <v>-11450.299743806927</v>
      </c>
      <c r="X36" s="356">
        <f t="shared" si="55"/>
        <v>-12026.674461523613</v>
      </c>
      <c r="Y36" s="356">
        <f t="shared" si="55"/>
        <v>-14878.78027087834</v>
      </c>
      <c r="Z36" s="356">
        <f t="shared" si="55"/>
        <v>-17171.346489903939</v>
      </c>
      <c r="AA36" s="356">
        <f t="shared" si="55"/>
        <v>-19467.323503305342</v>
      </c>
      <c r="AB36" s="356">
        <f t="shared" si="55"/>
        <v>-21594.928035895111</v>
      </c>
      <c r="AC36" s="356">
        <f t="shared" si="55"/>
        <v>-22657.989898881769</v>
      </c>
      <c r="AD36" s="356">
        <f t="shared" si="55"/>
        <v>-24257.037238863009</v>
      </c>
      <c r="AE36" s="356">
        <f t="shared" si="55"/>
        <v>-25845.280700819112</v>
      </c>
      <c r="AF36" s="357">
        <f t="shared" si="55"/>
        <v>-27411.466553648861</v>
      </c>
      <c r="AG36" s="470"/>
      <c r="AK36" s="10"/>
      <c r="AL36" s="10"/>
      <c r="AM36" s="10"/>
      <c r="AN36" s="10"/>
    </row>
    <row r="37" spans="1:40" ht="14.65" thickBot="1" x14ac:dyDescent="0.5">
      <c r="A37" s="253"/>
      <c r="B37" s="251"/>
      <c r="C37" s="252"/>
      <c r="D37" s="422"/>
      <c r="E37" s="422"/>
      <c r="F37" s="422"/>
      <c r="G37" s="422"/>
      <c r="H37" s="422"/>
      <c r="I37" s="422"/>
      <c r="J37" s="422"/>
      <c r="K37" s="422"/>
      <c r="L37" s="422"/>
      <c r="M37" s="422"/>
      <c r="N37" s="422"/>
      <c r="O37" s="422"/>
      <c r="P37" s="422"/>
      <c r="Q37" s="422"/>
      <c r="R37" s="422"/>
      <c r="S37" s="422"/>
      <c r="T37" s="422"/>
      <c r="U37" s="422"/>
      <c r="V37" s="422"/>
      <c r="W37" s="422"/>
      <c r="X37" s="422"/>
      <c r="Y37" s="422"/>
      <c r="Z37" s="422"/>
      <c r="AA37" s="422"/>
      <c r="AB37" s="422"/>
      <c r="AC37" s="422"/>
      <c r="AD37" s="422"/>
      <c r="AE37" s="422"/>
      <c r="AF37" s="423"/>
      <c r="AG37" s="470"/>
      <c r="AH37" s="7"/>
      <c r="AI37" s="7"/>
      <c r="AJ37" s="7"/>
      <c r="AK37" s="10"/>
      <c r="AL37" s="10"/>
      <c r="AM37" s="10"/>
      <c r="AN37" s="10"/>
    </row>
    <row r="38" spans="1:40" ht="14.25" x14ac:dyDescent="0.45">
      <c r="A38" s="1101" t="s">
        <v>376</v>
      </c>
      <c r="B38" s="246">
        <v>29</v>
      </c>
      <c r="C38" s="248" t="s">
        <v>377</v>
      </c>
      <c r="E38" s="343"/>
      <c r="F38" s="342"/>
      <c r="G38" s="348" t="e">
        <f>+#REF!+(-G10)</f>
        <v>#REF!</v>
      </c>
      <c r="H38" s="349" t="e">
        <f t="shared" ref="H38:AF38" si="56">+G38+(-H10)</f>
        <v>#REF!</v>
      </c>
      <c r="I38" s="349" t="e">
        <f t="shared" si="56"/>
        <v>#REF!</v>
      </c>
      <c r="J38" s="350" t="e">
        <f t="shared" si="56"/>
        <v>#REF!</v>
      </c>
      <c r="K38" s="446" t="e">
        <f t="shared" si="56"/>
        <v>#REF!</v>
      </c>
      <c r="L38" s="349" t="e">
        <f t="shared" si="56"/>
        <v>#REF!</v>
      </c>
      <c r="M38" s="349" t="e">
        <f t="shared" si="56"/>
        <v>#REF!</v>
      </c>
      <c r="N38" s="349" t="e">
        <f t="shared" si="56"/>
        <v>#REF!</v>
      </c>
      <c r="O38" s="349" t="e">
        <f t="shared" si="56"/>
        <v>#REF!</v>
      </c>
      <c r="P38" s="349" t="e">
        <f t="shared" si="56"/>
        <v>#REF!</v>
      </c>
      <c r="Q38" s="349" t="e">
        <f t="shared" si="56"/>
        <v>#REF!</v>
      </c>
      <c r="R38" s="349" t="e">
        <f t="shared" si="56"/>
        <v>#REF!</v>
      </c>
      <c r="S38" s="349" t="e">
        <f t="shared" si="56"/>
        <v>#REF!</v>
      </c>
      <c r="T38" s="349" t="e">
        <f t="shared" si="56"/>
        <v>#REF!</v>
      </c>
      <c r="U38" s="349" t="e">
        <f t="shared" si="56"/>
        <v>#REF!</v>
      </c>
      <c r="V38" s="349" t="e">
        <f t="shared" si="56"/>
        <v>#REF!</v>
      </c>
      <c r="W38" s="349" t="e">
        <f t="shared" si="56"/>
        <v>#REF!</v>
      </c>
      <c r="X38" s="349" t="e">
        <f t="shared" si="56"/>
        <v>#REF!</v>
      </c>
      <c r="Y38" s="349" t="e">
        <f t="shared" si="56"/>
        <v>#REF!</v>
      </c>
      <c r="Z38" s="349" t="e">
        <f t="shared" si="56"/>
        <v>#REF!</v>
      </c>
      <c r="AA38" s="349" t="e">
        <f t="shared" si="56"/>
        <v>#REF!</v>
      </c>
      <c r="AB38" s="349" t="e">
        <f t="shared" si="56"/>
        <v>#REF!</v>
      </c>
      <c r="AC38" s="349" t="e">
        <f t="shared" si="56"/>
        <v>#REF!</v>
      </c>
      <c r="AD38" s="349" t="e">
        <f t="shared" si="56"/>
        <v>#REF!</v>
      </c>
      <c r="AE38" s="349" t="e">
        <f t="shared" si="56"/>
        <v>#REF!</v>
      </c>
      <c r="AF38" s="350" t="e">
        <f t="shared" si="56"/>
        <v>#REF!</v>
      </c>
      <c r="AG38" s="471" t="e">
        <f>SUM(G38:AF38)</f>
        <v>#REF!</v>
      </c>
      <c r="AH38" s="7"/>
      <c r="AI38" s="7"/>
      <c r="AJ38" s="7"/>
      <c r="AK38" s="10"/>
      <c r="AL38" s="10"/>
      <c r="AM38" s="10"/>
      <c r="AN38" s="10"/>
    </row>
    <row r="39" spans="1:40" ht="14.25" x14ac:dyDescent="0.45">
      <c r="A39" s="1100"/>
      <c r="B39" s="246">
        <v>30</v>
      </c>
      <c r="C39" s="248" t="s">
        <v>378</v>
      </c>
      <c r="D39" s="344">
        <v>0</v>
      </c>
      <c r="E39" s="341">
        <v>0</v>
      </c>
      <c r="F39" s="345">
        <v>0</v>
      </c>
      <c r="G39" s="351">
        <f>F39-G10</f>
        <v>0</v>
      </c>
      <c r="H39" s="347">
        <f t="shared" ref="H39:AF39" si="57">G39-H10</f>
        <v>0</v>
      </c>
      <c r="I39" s="347">
        <f t="shared" si="57"/>
        <v>0</v>
      </c>
      <c r="J39" s="352">
        <f t="shared" si="57"/>
        <v>0</v>
      </c>
      <c r="K39" s="447">
        <f t="shared" si="57"/>
        <v>0</v>
      </c>
      <c r="L39" s="347">
        <f t="shared" si="57"/>
        <v>0</v>
      </c>
      <c r="M39" s="347">
        <f t="shared" si="57"/>
        <v>0</v>
      </c>
      <c r="N39" s="347">
        <f t="shared" si="57"/>
        <v>0</v>
      </c>
      <c r="O39" s="347">
        <f t="shared" si="57"/>
        <v>0</v>
      </c>
      <c r="P39" s="347">
        <f t="shared" si="57"/>
        <v>0</v>
      </c>
      <c r="Q39" s="347">
        <f t="shared" si="57"/>
        <v>0</v>
      </c>
      <c r="R39" s="347">
        <f t="shared" si="57"/>
        <v>0</v>
      </c>
      <c r="S39" s="347">
        <f t="shared" si="57"/>
        <v>0</v>
      </c>
      <c r="T39" s="347">
        <f t="shared" si="57"/>
        <v>0</v>
      </c>
      <c r="U39" s="347">
        <f t="shared" si="57"/>
        <v>0</v>
      </c>
      <c r="V39" s="347">
        <f t="shared" si="57"/>
        <v>0</v>
      </c>
      <c r="W39" s="347">
        <f t="shared" si="57"/>
        <v>0</v>
      </c>
      <c r="X39" s="347">
        <f t="shared" si="57"/>
        <v>0</v>
      </c>
      <c r="Y39" s="347">
        <f t="shared" si="57"/>
        <v>0</v>
      </c>
      <c r="Z39" s="347">
        <f t="shared" si="57"/>
        <v>0</v>
      </c>
      <c r="AA39" s="347">
        <f t="shared" si="57"/>
        <v>0</v>
      </c>
      <c r="AB39" s="347">
        <f t="shared" si="57"/>
        <v>0</v>
      </c>
      <c r="AC39" s="347">
        <f t="shared" si="57"/>
        <v>0</v>
      </c>
      <c r="AD39" s="347">
        <f t="shared" si="57"/>
        <v>0</v>
      </c>
      <c r="AE39" s="347">
        <f t="shared" si="57"/>
        <v>0</v>
      </c>
      <c r="AF39" s="352">
        <f t="shared" si="57"/>
        <v>0</v>
      </c>
      <c r="AG39" s="471">
        <f>SUM(G39:AF39)</f>
        <v>0</v>
      </c>
      <c r="AH39" s="7"/>
      <c r="AI39" s="7"/>
      <c r="AJ39" s="7"/>
      <c r="AK39" s="10"/>
      <c r="AL39" s="10"/>
      <c r="AM39" s="10"/>
      <c r="AN39" s="10"/>
    </row>
    <row r="40" spans="1:40" ht="14.25" x14ac:dyDescent="0.45">
      <c r="A40" s="1100"/>
      <c r="B40" s="246">
        <v>31</v>
      </c>
      <c r="C40" s="248" t="s">
        <v>379</v>
      </c>
      <c r="D40" s="341">
        <f>Inputs!D33</f>
        <v>35218.699999999997</v>
      </c>
      <c r="E40" s="341">
        <f>Inputs!C33</f>
        <v>39338.800000000003</v>
      </c>
      <c r="F40" s="345">
        <f>Inputs!B33</f>
        <v>40435.199999999997</v>
      </c>
      <c r="G40" s="351">
        <f>F40+(-G23)</f>
        <v>59434.384538953207</v>
      </c>
      <c r="H40" s="347">
        <f t="shared" ref="H40:AF40" si="58">G40+(-H23)</f>
        <v>79153.052737663791</v>
      </c>
      <c r="I40" s="347">
        <f t="shared" si="58"/>
        <v>100089.75552119609</v>
      </c>
      <c r="J40" s="352">
        <f t="shared" si="58"/>
        <v>123164.0574767066</v>
      </c>
      <c r="K40" s="447">
        <f t="shared" si="58"/>
        <v>146206.8538959907</v>
      </c>
      <c r="L40" s="347">
        <f t="shared" si="58"/>
        <v>171602.27780658481</v>
      </c>
      <c r="M40" s="347">
        <f t="shared" si="58"/>
        <v>199590.52818486991</v>
      </c>
      <c r="N40" s="347">
        <f t="shared" si="58"/>
        <v>230097.72109720064</v>
      </c>
      <c r="O40" s="347">
        <f t="shared" si="58"/>
        <v>263045.48944251786</v>
      </c>
      <c r="P40" s="347">
        <f t="shared" si="58"/>
        <v>298299.60157200729</v>
      </c>
      <c r="Q40" s="347">
        <f t="shared" si="58"/>
        <v>335668.9604292661</v>
      </c>
      <c r="R40" s="347">
        <f t="shared" si="58"/>
        <v>374906.78722938779</v>
      </c>
      <c r="S40" s="347">
        <f t="shared" si="58"/>
        <v>415910.316235515</v>
      </c>
      <c r="T40" s="347">
        <f t="shared" si="58"/>
        <v>458635.99345989956</v>
      </c>
      <c r="U40" s="347">
        <f t="shared" si="58"/>
        <v>503027.97209603508</v>
      </c>
      <c r="V40" s="347">
        <f t="shared" si="58"/>
        <v>548973.66998443531</v>
      </c>
      <c r="W40" s="347">
        <f t="shared" si="58"/>
        <v>596481.5216010412</v>
      </c>
      <c r="X40" s="347">
        <f t="shared" si="58"/>
        <v>645557.13232099509</v>
      </c>
      <c r="Y40" s="347">
        <f t="shared" si="58"/>
        <v>696203.16258398746</v>
      </c>
      <c r="Z40" s="347">
        <f t="shared" si="58"/>
        <v>748419.21978513256</v>
      </c>
      <c r="AA40" s="347">
        <f t="shared" si="58"/>
        <v>802201.75870231201</v>
      </c>
      <c r="AB40" s="347">
        <f t="shared" si="58"/>
        <v>857543.9912480897</v>
      </c>
      <c r="AC40" s="347">
        <f t="shared" si="58"/>
        <v>914435.80630514922</v>
      </c>
      <c r="AD40" s="347">
        <f t="shared" si="58"/>
        <v>972863.70036874933</v>
      </c>
      <c r="AE40" s="347">
        <f t="shared" si="58"/>
        <v>1032810.719678003</v>
      </c>
      <c r="AF40" s="352">
        <f t="shared" si="58"/>
        <v>1094256.4144699881</v>
      </c>
      <c r="AG40" s="471">
        <f>SUM(G40:AF40)</f>
        <v>12668580.848771676</v>
      </c>
      <c r="AH40" s="7"/>
      <c r="AI40" s="7"/>
      <c r="AJ40" s="7"/>
      <c r="AK40" s="10"/>
      <c r="AL40" s="10"/>
      <c r="AM40" s="10"/>
      <c r="AN40" s="10"/>
    </row>
    <row r="41" spans="1:40" ht="14.65" thickBot="1" x14ac:dyDescent="0.5">
      <c r="A41" s="1100"/>
      <c r="B41" s="247">
        <v>32</v>
      </c>
      <c r="C41" s="243" t="s">
        <v>380</v>
      </c>
      <c r="D41" s="561"/>
      <c r="E41" s="562"/>
      <c r="F41" s="563">
        <v>-30000</v>
      </c>
      <c r="G41" s="564">
        <f>F41-G9</f>
        <v>-38325.205000000002</v>
      </c>
      <c r="H41" s="565">
        <f t="shared" ref="H41:AF41" si="59">G41-H9</f>
        <v>-47358.052425000002</v>
      </c>
      <c r="I41" s="565">
        <f t="shared" si="59"/>
        <v>-57158.691881125</v>
      </c>
      <c r="J41" s="566">
        <f t="shared" si="59"/>
        <v>-67792.385691020623</v>
      </c>
      <c r="K41" s="567">
        <f t="shared" si="59"/>
        <v>-78957.764191411028</v>
      </c>
      <c r="L41" s="565">
        <f t="shared" si="59"/>
        <v>-90681.411616820958</v>
      </c>
      <c r="M41" s="565">
        <f t="shared" si="59"/>
        <v>-102991.24141350138</v>
      </c>
      <c r="N41" s="565">
        <f t="shared" si="59"/>
        <v>-115916.56270001583</v>
      </c>
      <c r="O41" s="565">
        <f t="shared" si="59"/>
        <v>-129488.150050856</v>
      </c>
      <c r="P41" s="565">
        <f t="shared" si="59"/>
        <v>-143738.31676923818</v>
      </c>
      <c r="Q41" s="565">
        <f t="shared" si="59"/>
        <v>-158700.99182353946</v>
      </c>
      <c r="R41" s="565">
        <f t="shared" si="59"/>
        <v>-174411.80063055581</v>
      </c>
      <c r="S41" s="565">
        <f t="shared" si="59"/>
        <v>-190908.14987792299</v>
      </c>
      <c r="T41" s="565">
        <f t="shared" si="59"/>
        <v>-208229.31658765851</v>
      </c>
      <c r="U41" s="565">
        <f t="shared" si="59"/>
        <v>-226416.54163288081</v>
      </c>
      <c r="V41" s="565">
        <f t="shared" si="59"/>
        <v>-245513.12793036422</v>
      </c>
      <c r="W41" s="565">
        <f t="shared" si="59"/>
        <v>-265564.54354272183</v>
      </c>
      <c r="X41" s="565">
        <f t="shared" si="59"/>
        <v>-286618.52993569733</v>
      </c>
      <c r="Y41" s="565">
        <f t="shared" si="59"/>
        <v>-308725.21564832155</v>
      </c>
      <c r="Z41" s="565">
        <f t="shared" si="59"/>
        <v>-331937.23564657703</v>
      </c>
      <c r="AA41" s="565">
        <f t="shared" si="59"/>
        <v>-356309.85664474528</v>
      </c>
      <c r="AB41" s="565">
        <f t="shared" si="59"/>
        <v>-381901.10869282193</v>
      </c>
      <c r="AC41" s="565">
        <f t="shared" si="59"/>
        <v>-408771.92334330239</v>
      </c>
      <c r="AD41" s="565">
        <f t="shared" si="59"/>
        <v>-436986.27872630692</v>
      </c>
      <c r="AE41" s="565">
        <f t="shared" si="59"/>
        <v>-466611.35187846166</v>
      </c>
      <c r="AF41" s="566">
        <f t="shared" si="59"/>
        <v>-497717.67868822411</v>
      </c>
      <c r="AG41" s="471">
        <f>SUM(G41:AF41)</f>
        <v>-5817731.4329690915</v>
      </c>
      <c r="AH41" s="7"/>
      <c r="AI41" s="7"/>
      <c r="AJ41" s="7"/>
      <c r="AK41" s="10"/>
      <c r="AL41" s="10"/>
      <c r="AM41" s="10"/>
      <c r="AN41" s="10"/>
    </row>
    <row r="42" spans="1:40" s="7" customFormat="1" ht="14.65" thickBot="1" x14ac:dyDescent="0.5">
      <c r="A42" s="1094"/>
      <c r="B42" s="1095"/>
      <c r="C42" s="1095"/>
      <c r="D42" s="1095"/>
      <c r="E42" s="1095"/>
      <c r="F42" s="1095"/>
      <c r="G42" s="1095"/>
      <c r="H42" s="1095"/>
      <c r="I42" s="1095"/>
      <c r="J42" s="1095"/>
      <c r="K42" s="1095"/>
      <c r="L42" s="1095"/>
      <c r="M42" s="1095"/>
      <c r="N42" s="1095"/>
      <c r="O42" s="1095"/>
      <c r="P42" s="1095"/>
      <c r="Q42" s="1095"/>
      <c r="R42" s="1095"/>
      <c r="S42" s="1095"/>
      <c r="T42" s="1095"/>
      <c r="U42" s="1095"/>
      <c r="V42" s="1095"/>
      <c r="W42" s="1095"/>
      <c r="X42" s="1095"/>
      <c r="Y42" s="1095"/>
      <c r="Z42" s="1095"/>
      <c r="AA42" s="1095"/>
      <c r="AB42" s="1095"/>
      <c r="AC42" s="1095"/>
      <c r="AD42" s="1095"/>
      <c r="AE42" s="1095"/>
      <c r="AF42" s="1096"/>
      <c r="AG42" s="470"/>
      <c r="AK42" s="10"/>
      <c r="AL42" s="10"/>
      <c r="AM42" s="10"/>
      <c r="AN42" s="10"/>
    </row>
    <row r="43" spans="1:40" ht="15" customHeight="1" x14ac:dyDescent="0.45">
      <c r="A43" s="1088" t="s">
        <v>381</v>
      </c>
      <c r="B43" s="244">
        <v>33</v>
      </c>
      <c r="C43" s="248" t="s">
        <v>382</v>
      </c>
      <c r="D43" s="554">
        <f>'Fin. Data'!D39</f>
        <v>41910.5</v>
      </c>
      <c r="E43" s="314">
        <f>E36+D43</f>
        <v>26468.799999999999</v>
      </c>
      <c r="F43" s="568">
        <f>F36+E43</f>
        <v>22319</v>
      </c>
      <c r="G43" s="569">
        <f>G36+F43</f>
        <v>18703.052822124278</v>
      </c>
      <c r="H43" s="570">
        <f t="shared" ref="H43:AF43" si="60">H36+G43</f>
        <v>8869.2443030596605</v>
      </c>
      <c r="I43" s="570">
        <f t="shared" si="60"/>
        <v>1041.0304618062328</v>
      </c>
      <c r="J43" s="571">
        <f t="shared" si="60"/>
        <v>-11747.037033036773</v>
      </c>
      <c r="K43" s="663">
        <f t="shared" si="60"/>
        <v>-18258.433160360881</v>
      </c>
      <c r="L43" s="664">
        <f t="shared" si="60"/>
        <v>-20870.828745251452</v>
      </c>
      <c r="M43" s="664">
        <f>M36+L43</f>
        <v>-22870.793436784494</v>
      </c>
      <c r="N43" s="664">
        <f t="shared" si="60"/>
        <v>-24910.407591194791</v>
      </c>
      <c r="O43" s="664">
        <f t="shared" si="60"/>
        <v>-26624.484126482555</v>
      </c>
      <c r="P43" s="664">
        <f t="shared" si="60"/>
        <v>-28030.38980495165</v>
      </c>
      <c r="Q43" s="664">
        <f t="shared" si="60"/>
        <v>-29269.65757827054</v>
      </c>
      <c r="R43" s="664">
        <f t="shared" si="60"/>
        <v>-30324.272202765475</v>
      </c>
      <c r="S43" s="664">
        <f t="shared" si="60"/>
        <v>-32229.272700936195</v>
      </c>
      <c r="T43" s="664">
        <f t="shared" si="60"/>
        <v>-34146.35069617827</v>
      </c>
      <c r="U43" s="664">
        <f t="shared" si="60"/>
        <v>-43591.660196124452</v>
      </c>
      <c r="V43" s="664">
        <f t="shared" si="60"/>
        <v>-54029.275843786752</v>
      </c>
      <c r="W43" s="664">
        <f t="shared" si="60"/>
        <v>-65479.575587593681</v>
      </c>
      <c r="X43" s="664">
        <f t="shared" si="60"/>
        <v>-77506.250049117298</v>
      </c>
      <c r="Y43" s="664">
        <f t="shared" si="60"/>
        <v>-92385.03031999564</v>
      </c>
      <c r="Z43" s="664">
        <f t="shared" si="60"/>
        <v>-109556.37680989958</v>
      </c>
      <c r="AA43" s="664">
        <f t="shared" si="60"/>
        <v>-129023.70031320493</v>
      </c>
      <c r="AB43" s="664">
        <f t="shared" si="60"/>
        <v>-150618.62834910004</v>
      </c>
      <c r="AC43" s="664">
        <f t="shared" si="60"/>
        <v>-173276.61824798179</v>
      </c>
      <c r="AD43" s="664">
        <f t="shared" si="60"/>
        <v>-197533.6554868448</v>
      </c>
      <c r="AE43" s="664">
        <f t="shared" si="60"/>
        <v>-223378.9361876639</v>
      </c>
      <c r="AF43" s="665">
        <f t="shared" si="60"/>
        <v>-250790.40274131275</v>
      </c>
      <c r="AG43" s="470"/>
      <c r="AH43" s="7"/>
      <c r="AI43" s="7"/>
      <c r="AJ43" s="7"/>
      <c r="AK43" s="10"/>
      <c r="AL43" s="10"/>
      <c r="AM43" s="10"/>
      <c r="AN43" s="10"/>
    </row>
    <row r="44" spans="1:40" ht="14.25" x14ac:dyDescent="0.45">
      <c r="A44" s="1088"/>
      <c r="B44" s="244">
        <v>34</v>
      </c>
      <c r="C44" s="248" t="s">
        <v>256</v>
      </c>
      <c r="D44" s="554">
        <f>'Fin. Data'!D58</f>
        <v>48289.9</v>
      </c>
      <c r="E44" s="313">
        <f>'Fin. Data'!C58</f>
        <v>60783.9</v>
      </c>
      <c r="F44" s="555">
        <f>'Fin. Data'!B58</f>
        <v>57926.1</v>
      </c>
      <c r="G44" s="662">
        <f>G12*$D$67</f>
        <v>66002.239339623367</v>
      </c>
      <c r="H44" s="662">
        <f t="shared" ref="H44" si="61">H12*$D$67</f>
        <v>68614.926966479223</v>
      </c>
      <c r="I44" s="662">
        <v>74866</v>
      </c>
      <c r="J44" s="662">
        <v>77854</v>
      </c>
      <c r="K44" s="662">
        <f>K12*$E$67</f>
        <v>81641.231791662081</v>
      </c>
      <c r="L44" s="662">
        <f t="shared" ref="L44:AF44" si="62">L12*$E$67</f>
        <v>90037.598418430192</v>
      </c>
      <c r="M44" s="662">
        <f t="shared" si="62"/>
        <v>99409.011733056832</v>
      </c>
      <c r="N44" s="662">
        <f t="shared" si="62"/>
        <v>109188.87346698374</v>
      </c>
      <c r="O44" s="662">
        <f t="shared" si="62"/>
        <v>119353.91365634945</v>
      </c>
      <c r="P44" s="662">
        <f t="shared" si="62"/>
        <v>129766.90925834577</v>
      </c>
      <c r="Q44" s="662">
        <f t="shared" si="62"/>
        <v>140269.25897885207</v>
      </c>
      <c r="R44" s="662">
        <f t="shared" si="62"/>
        <v>150685.73253587313</v>
      </c>
      <c r="S44" s="662">
        <f t="shared" si="62"/>
        <v>161311.93739496119</v>
      </c>
      <c r="T44" s="662">
        <f t="shared" si="62"/>
        <v>172278.40034659364</v>
      </c>
      <c r="U44" s="662">
        <f t="shared" si="62"/>
        <v>175848.6956379796</v>
      </c>
      <c r="V44" s="662">
        <f t="shared" si="62"/>
        <v>179022.98870006332</v>
      </c>
      <c r="W44" s="662">
        <f t="shared" si="62"/>
        <v>182114.39985740223</v>
      </c>
      <c r="X44" s="662">
        <f t="shared" si="62"/>
        <v>185122.90068261418</v>
      </c>
      <c r="Y44" s="662">
        <f t="shared" si="62"/>
        <v>188049.61872501392</v>
      </c>
      <c r="Z44" s="662">
        <f t="shared" si="62"/>
        <v>190896.9242654453</v>
      </c>
      <c r="AA44" s="662">
        <f t="shared" si="62"/>
        <v>193668.51566442222</v>
      </c>
      <c r="AB44" s="662">
        <f t="shared" si="62"/>
        <v>196369.50282141837</v>
      </c>
      <c r="AC44" s="662">
        <f t="shared" si="62"/>
        <v>199006.48827049774</v>
      </c>
      <c r="AD44" s="662">
        <f t="shared" si="62"/>
        <v>201587.64544990554</v>
      </c>
      <c r="AE44" s="662">
        <f t="shared" si="62"/>
        <v>204122.7937008382</v>
      </c>
      <c r="AF44" s="662">
        <f t="shared" si="62"/>
        <v>206623.46957341029</v>
      </c>
      <c r="AG44" s="485"/>
      <c r="AH44" s="10"/>
      <c r="AI44" s="10"/>
      <c r="AJ44" s="10"/>
      <c r="AK44" s="10"/>
      <c r="AL44" s="10"/>
      <c r="AM44" s="10"/>
      <c r="AN44" s="10"/>
    </row>
    <row r="45" spans="1:40" ht="14.25" x14ac:dyDescent="0.45">
      <c r="A45" s="1088"/>
      <c r="B45" s="244">
        <v>35</v>
      </c>
      <c r="C45" s="248" t="s">
        <v>383</v>
      </c>
      <c r="D45" s="556"/>
      <c r="E45" s="410"/>
      <c r="F45" s="557">
        <f>1/((1+$F$50)^G50)</f>
        <v>1</v>
      </c>
      <c r="G45" s="358">
        <f t="shared" ref="G45:AF45" si="63">1/((1+$F$50)^G49)</f>
        <v>0.92592592592592582</v>
      </c>
      <c r="H45" s="308">
        <f t="shared" si="63"/>
        <v>0.85733882030178321</v>
      </c>
      <c r="I45" s="308">
        <f t="shared" si="63"/>
        <v>0.79383224102016958</v>
      </c>
      <c r="J45" s="359">
        <f t="shared" si="63"/>
        <v>0.73502985279645328</v>
      </c>
      <c r="K45" s="358">
        <f t="shared" si="63"/>
        <v>0.68058319703375303</v>
      </c>
      <c r="L45" s="308">
        <f t="shared" si="63"/>
        <v>0.63016962688310452</v>
      </c>
      <c r="M45" s="308">
        <f t="shared" si="63"/>
        <v>0.58349039526213387</v>
      </c>
      <c r="N45" s="308">
        <f t="shared" si="63"/>
        <v>0.54026888450197574</v>
      </c>
      <c r="O45" s="308">
        <f t="shared" si="63"/>
        <v>0.50024896713145905</v>
      </c>
      <c r="P45" s="308">
        <f t="shared" si="63"/>
        <v>0.46319348808468425</v>
      </c>
      <c r="Q45" s="308">
        <f t="shared" si="63"/>
        <v>0.42888285933767062</v>
      </c>
      <c r="R45" s="308">
        <f t="shared" si="63"/>
        <v>0.39711375864599124</v>
      </c>
      <c r="S45" s="308">
        <f t="shared" si="63"/>
        <v>0.36769792467221413</v>
      </c>
      <c r="T45" s="308">
        <f t="shared" si="63"/>
        <v>0.34046104136316119</v>
      </c>
      <c r="U45" s="308">
        <f t="shared" si="63"/>
        <v>0.31524170496588994</v>
      </c>
      <c r="V45" s="308">
        <f t="shared" si="63"/>
        <v>0.29189046756100923</v>
      </c>
      <c r="W45" s="308">
        <f t="shared" si="63"/>
        <v>0.27026895144537894</v>
      </c>
      <c r="X45" s="308">
        <f t="shared" si="63"/>
        <v>0.25024902911609154</v>
      </c>
      <c r="Y45" s="308">
        <f t="shared" si="63"/>
        <v>0.23171206399638106</v>
      </c>
      <c r="Z45" s="308">
        <f t="shared" si="63"/>
        <v>0.21454820740405653</v>
      </c>
      <c r="AA45" s="308">
        <f t="shared" si="63"/>
        <v>0.19865574759634863</v>
      </c>
      <c r="AB45" s="308">
        <f t="shared" si="63"/>
        <v>0.18394050703365611</v>
      </c>
      <c r="AC45" s="308">
        <f t="shared" si="63"/>
        <v>0.17031528429042234</v>
      </c>
      <c r="AD45" s="308">
        <f t="shared" si="63"/>
        <v>0.1576993373059466</v>
      </c>
      <c r="AE45" s="308">
        <f t="shared" si="63"/>
        <v>0.1460179049129135</v>
      </c>
      <c r="AF45" s="660">
        <f t="shared" si="63"/>
        <v>0.13520176380825324</v>
      </c>
      <c r="AG45" s="485"/>
      <c r="AH45" s="10"/>
      <c r="AI45" s="10"/>
      <c r="AJ45" s="10"/>
      <c r="AK45" s="10"/>
      <c r="AL45" s="10"/>
      <c r="AM45" s="10"/>
      <c r="AN45" s="10"/>
    </row>
    <row r="46" spans="1:40" ht="14.25" x14ac:dyDescent="0.45">
      <c r="A46" s="1088"/>
      <c r="B46" s="244">
        <v>36</v>
      </c>
      <c r="C46" s="248" t="s">
        <v>384</v>
      </c>
      <c r="D46" s="558"/>
      <c r="E46" s="559" t="s">
        <v>385</v>
      </c>
      <c r="F46" s="359">
        <f>1/((1+$F$50+0.001)^G50)</f>
        <v>1</v>
      </c>
      <c r="G46" s="358">
        <f>1/((1+$F$50+0.001)^G49)</f>
        <v>0.92506938020351526</v>
      </c>
      <c r="H46" s="308">
        <f t="shared" ref="H46:AF46" si="64">1/((1+$F$50+0.001)^H49)</f>
        <v>0.85575335819011589</v>
      </c>
      <c r="I46" s="308">
        <f t="shared" si="64"/>
        <v>0.79163122866800739</v>
      </c>
      <c r="J46" s="359">
        <f t="shared" si="64"/>
        <v>0.73231381005366081</v>
      </c>
      <c r="K46" s="358">
        <f t="shared" si="64"/>
        <v>0.67744108238081491</v>
      </c>
      <c r="L46" s="308">
        <f t="shared" si="64"/>
        <v>0.62668000220241893</v>
      </c>
      <c r="M46" s="308">
        <f t="shared" si="64"/>
        <v>0.57972248122332926</v>
      </c>
      <c r="N46" s="308">
        <f t="shared" si="64"/>
        <v>0.53628351639530925</v>
      </c>
      <c r="O46" s="308">
        <f t="shared" si="64"/>
        <v>0.49609946012517048</v>
      </c>
      <c r="P46" s="308">
        <f t="shared" si="64"/>
        <v>0.45892642009728996</v>
      </c>
      <c r="Q46" s="308">
        <f t="shared" si="64"/>
        <v>0.42453877899841808</v>
      </c>
      <c r="R46" s="308">
        <f t="shared" si="64"/>
        <v>0.39272782516042376</v>
      </c>
      <c r="S46" s="308">
        <f t="shared" si="64"/>
        <v>0.36330048580982777</v>
      </c>
      <c r="T46" s="308">
        <f t="shared" si="64"/>
        <v>0.33607815523573337</v>
      </c>
      <c r="U46" s="308">
        <f t="shared" si="64"/>
        <v>0.31089561076386063</v>
      </c>
      <c r="V46" s="308">
        <f t="shared" si="64"/>
        <v>0.28760000995731788</v>
      </c>
      <c r="W46" s="308">
        <f t="shared" si="64"/>
        <v>0.26604996295774092</v>
      </c>
      <c r="X46" s="308">
        <f t="shared" si="64"/>
        <v>0.24611467433648557</v>
      </c>
      <c r="Y46" s="308">
        <f t="shared" si="64"/>
        <v>0.22767314924744272</v>
      </c>
      <c r="Z46" s="308">
        <f t="shared" si="64"/>
        <v>0.21061345906331425</v>
      </c>
      <c r="AA46" s="308">
        <f t="shared" si="64"/>
        <v>0.19483206203821857</v>
      </c>
      <c r="AB46" s="308">
        <f t="shared" si="64"/>
        <v>0.18023317487346768</v>
      </c>
      <c r="AC46" s="308">
        <f t="shared" si="64"/>
        <v>0.16672819137231054</v>
      </c>
      <c r="AD46" s="308">
        <f t="shared" si="64"/>
        <v>0.15423514465523638</v>
      </c>
      <c r="AE46" s="308">
        <f t="shared" si="64"/>
        <v>0.14267820967181905</v>
      </c>
      <c r="AF46" s="359">
        <f t="shared" si="64"/>
        <v>0.13198724298965686</v>
      </c>
      <c r="AG46" s="485"/>
      <c r="AH46" s="10"/>
      <c r="AI46" s="10"/>
      <c r="AJ46" s="10"/>
      <c r="AK46" s="10"/>
      <c r="AL46" s="10"/>
      <c r="AM46" s="10"/>
      <c r="AN46" s="10"/>
    </row>
    <row r="47" spans="1:40" ht="14.65" thickBot="1" x14ac:dyDescent="0.5">
      <c r="A47" s="1088"/>
      <c r="B47" s="245">
        <v>37</v>
      </c>
      <c r="C47" s="243" t="s">
        <v>386</v>
      </c>
      <c r="D47" s="558"/>
      <c r="E47" s="559" t="s">
        <v>387</v>
      </c>
      <c r="F47" s="572">
        <f>1/((1+$F$50+0.005)^G50)</f>
        <v>1</v>
      </c>
      <c r="G47" s="573">
        <f t="shared" ref="G47:AF47" si="65">1/((1+$F$50+0.005)^G49)</f>
        <v>0.92165898617511521</v>
      </c>
      <c r="H47" s="574">
        <f t="shared" si="65"/>
        <v>0.84945528679734128</v>
      </c>
      <c r="I47" s="574">
        <f t="shared" si="65"/>
        <v>0.78290809843072917</v>
      </c>
      <c r="J47" s="572">
        <f t="shared" si="65"/>
        <v>0.72157428426795334</v>
      </c>
      <c r="K47" s="666">
        <f t="shared" si="65"/>
        <v>0.66504542328843619</v>
      </c>
      <c r="L47" s="667">
        <f t="shared" si="65"/>
        <v>0.6129450905884205</v>
      </c>
      <c r="M47" s="667">
        <f t="shared" si="65"/>
        <v>0.56492635077273778</v>
      </c>
      <c r="N47" s="667">
        <f t="shared" si="65"/>
        <v>0.52066944771680901</v>
      </c>
      <c r="O47" s="667">
        <f t="shared" si="65"/>
        <v>0.4798796753150314</v>
      </c>
      <c r="P47" s="667">
        <f t="shared" si="65"/>
        <v>0.44228541503689528</v>
      </c>
      <c r="Q47" s="667">
        <f t="shared" si="65"/>
        <v>0.40763632722294496</v>
      </c>
      <c r="R47" s="667">
        <f t="shared" si="65"/>
        <v>0.37570168407644705</v>
      </c>
      <c r="S47" s="667">
        <f t="shared" si="65"/>
        <v>0.3462688332501816</v>
      </c>
      <c r="T47" s="667">
        <f t="shared" si="65"/>
        <v>0.31914178179740244</v>
      </c>
      <c r="U47" s="667">
        <f t="shared" si="65"/>
        <v>0.2941398910575137</v>
      </c>
      <c r="V47" s="667">
        <f t="shared" si="65"/>
        <v>0.27109667378572694</v>
      </c>
      <c r="W47" s="667">
        <f t="shared" si="65"/>
        <v>0.24985868551679907</v>
      </c>
      <c r="X47" s="667">
        <f t="shared" si="65"/>
        <v>0.23028450278045995</v>
      </c>
      <c r="Y47" s="667">
        <f t="shared" si="65"/>
        <v>0.21224378136447922</v>
      </c>
      <c r="Z47" s="667">
        <f t="shared" si="65"/>
        <v>0.19561638835435877</v>
      </c>
      <c r="AA47" s="667">
        <f t="shared" si="65"/>
        <v>0.18029160216991591</v>
      </c>
      <c r="AB47" s="667">
        <f t="shared" si="65"/>
        <v>0.16616737527181191</v>
      </c>
      <c r="AC47" s="667">
        <f t="shared" si="65"/>
        <v>0.15314965462839805</v>
      </c>
      <c r="AD47" s="667">
        <f t="shared" si="65"/>
        <v>0.14115175541787842</v>
      </c>
      <c r="AE47" s="667">
        <f t="shared" si="65"/>
        <v>0.13009378379527964</v>
      </c>
      <c r="AF47" s="668">
        <f t="shared" si="65"/>
        <v>0.11990210488044206</v>
      </c>
      <c r="AG47" s="485"/>
      <c r="AH47" s="10"/>
      <c r="AI47" s="10"/>
      <c r="AJ47" s="10"/>
      <c r="AK47" s="10"/>
      <c r="AL47" s="10"/>
      <c r="AM47" s="10"/>
      <c r="AN47" s="10"/>
    </row>
    <row r="48" spans="1:40" ht="14.65" thickBot="1" x14ac:dyDescent="0.5">
      <c r="A48" s="1097" t="s">
        <v>356</v>
      </c>
      <c r="B48" s="1098"/>
      <c r="C48" s="1098"/>
      <c r="D48" s="1098"/>
      <c r="E48" s="1098"/>
      <c r="F48" s="1098"/>
      <c r="G48" s="1098"/>
      <c r="H48" s="1098"/>
      <c r="I48" s="1098"/>
      <c r="J48" s="1098"/>
      <c r="K48" s="1098"/>
      <c r="L48" s="1098"/>
      <c r="M48" s="1098"/>
      <c r="N48" s="1098"/>
      <c r="O48" s="1098"/>
      <c r="P48" s="1098"/>
      <c r="Q48" s="1098"/>
      <c r="R48" s="1098"/>
      <c r="S48" s="1098"/>
      <c r="T48" s="1098"/>
      <c r="U48" s="1098"/>
      <c r="V48" s="1098"/>
      <c r="W48" s="1098"/>
      <c r="X48" s="1098"/>
      <c r="Y48" s="1098"/>
      <c r="Z48" s="1098"/>
      <c r="AA48" s="1098"/>
      <c r="AB48" s="1098"/>
      <c r="AC48" s="1098"/>
      <c r="AD48" s="1098"/>
      <c r="AE48" s="1098"/>
      <c r="AF48" s="1099"/>
      <c r="AG48" s="485"/>
      <c r="AH48" s="10"/>
      <c r="AI48" s="10"/>
      <c r="AJ48" s="487"/>
      <c r="AK48" s="10"/>
      <c r="AL48" s="10"/>
      <c r="AM48" s="10"/>
      <c r="AN48" s="10"/>
    </row>
    <row r="49" spans="1:40" ht="14.25" x14ac:dyDescent="0.45">
      <c r="A49" s="1102" t="s">
        <v>388</v>
      </c>
      <c r="C49" s="259" t="s">
        <v>389</v>
      </c>
      <c r="D49" s="249" t="s">
        <v>390</v>
      </c>
      <c r="E49" s="250" t="s">
        <v>391</v>
      </c>
      <c r="F49" s="260" t="s">
        <v>392</v>
      </c>
      <c r="G49" s="309">
        <v>1</v>
      </c>
      <c r="H49" s="310">
        <v>2</v>
      </c>
      <c r="I49" s="310">
        <v>3</v>
      </c>
      <c r="J49" s="309">
        <v>4</v>
      </c>
      <c r="K49" s="310">
        <v>5</v>
      </c>
      <c r="L49" s="310">
        <v>6</v>
      </c>
      <c r="M49" s="309">
        <v>7</v>
      </c>
      <c r="N49" s="310">
        <v>8</v>
      </c>
      <c r="O49" s="310">
        <v>9</v>
      </c>
      <c r="P49" s="309">
        <v>10</v>
      </c>
      <c r="Q49" s="310">
        <v>11</v>
      </c>
      <c r="R49" s="310">
        <v>12</v>
      </c>
      <c r="S49" s="309">
        <v>13</v>
      </c>
      <c r="T49" s="310">
        <v>14</v>
      </c>
      <c r="U49" s="310">
        <v>15</v>
      </c>
      <c r="V49" s="309">
        <v>16</v>
      </c>
      <c r="W49" s="310">
        <v>17</v>
      </c>
      <c r="X49" s="310">
        <v>18</v>
      </c>
      <c r="Y49" s="309">
        <v>19</v>
      </c>
      <c r="Z49" s="310">
        <v>20</v>
      </c>
      <c r="AA49" s="310">
        <v>21</v>
      </c>
      <c r="AB49" s="309">
        <v>22</v>
      </c>
      <c r="AC49" s="310">
        <v>23</v>
      </c>
      <c r="AD49" s="310">
        <v>24</v>
      </c>
      <c r="AE49" s="309">
        <v>25</v>
      </c>
      <c r="AF49" s="310">
        <v>26</v>
      </c>
      <c r="AG49" s="485"/>
      <c r="AH49" s="10"/>
      <c r="AI49" s="10"/>
      <c r="AJ49" s="10"/>
      <c r="AK49" s="10"/>
      <c r="AL49" s="10"/>
      <c r="AM49" s="10"/>
      <c r="AN49" s="10"/>
    </row>
    <row r="50" spans="1:40" ht="14.65" thickBot="1" x14ac:dyDescent="0.5">
      <c r="A50" s="1103"/>
      <c r="C50" s="255">
        <v>0.04</v>
      </c>
      <c r="D50" s="256">
        <v>0.04</v>
      </c>
      <c r="E50" s="257"/>
      <c r="F50" s="258">
        <f>E50+D50+C50</f>
        <v>0.08</v>
      </c>
      <c r="G50" s="309">
        <v>0</v>
      </c>
      <c r="S50" s="242"/>
      <c r="T50" s="242"/>
      <c r="U50" s="242"/>
      <c r="V50" s="242"/>
      <c r="W50" s="242"/>
      <c r="X50" s="242"/>
      <c r="Y50" s="242"/>
      <c r="Z50" s="242"/>
      <c r="AA50" s="242"/>
      <c r="AB50" s="242"/>
      <c r="AC50" s="242"/>
      <c r="AD50" s="242"/>
      <c r="AE50" s="242"/>
      <c r="AF50" s="242"/>
      <c r="AG50" s="484"/>
      <c r="AH50" s="10"/>
      <c r="AI50" s="10"/>
      <c r="AJ50" s="10"/>
      <c r="AK50" s="10"/>
      <c r="AL50" s="10"/>
      <c r="AM50" s="10"/>
      <c r="AN50" s="10"/>
    </row>
    <row r="51" spans="1:40" ht="14.25" x14ac:dyDescent="0.45">
      <c r="A51" s="242"/>
      <c r="C51" s="242"/>
      <c r="D51" s="242"/>
      <c r="G51"/>
      <c r="H51" s="799">
        <f>F30/F17</f>
        <v>-9.1375185142987356E-2</v>
      </c>
      <c r="I51" s="242"/>
      <c r="J51" s="242"/>
      <c r="K51" s="242"/>
      <c r="S51" s="242"/>
      <c r="T51" s="242"/>
      <c r="U51" s="242"/>
      <c r="V51" s="242"/>
      <c r="W51" s="242"/>
      <c r="X51" s="242"/>
      <c r="Y51" s="242"/>
      <c r="Z51" s="242"/>
      <c r="AA51" s="242"/>
      <c r="AB51" s="242"/>
      <c r="AC51" s="242"/>
      <c r="AD51" s="242"/>
      <c r="AE51" s="242"/>
      <c r="AF51" s="242"/>
      <c r="AG51" s="484"/>
      <c r="AH51" s="10"/>
      <c r="AI51" s="10"/>
      <c r="AJ51" s="10"/>
      <c r="AK51" s="10"/>
      <c r="AL51" s="10"/>
      <c r="AM51" s="10"/>
      <c r="AN51" s="10"/>
    </row>
    <row r="52" spans="1:40" ht="15" customHeight="1" x14ac:dyDescent="0.45">
      <c r="A52" s="1104" t="s">
        <v>393</v>
      </c>
      <c r="C52" s="430" t="s">
        <v>356</v>
      </c>
      <c r="D52" s="431" t="s">
        <v>332</v>
      </c>
      <c r="E52" s="432" t="s">
        <v>333</v>
      </c>
      <c r="F52" s="431" t="s">
        <v>394</v>
      </c>
      <c r="G52" s="242"/>
      <c r="I52" s="451"/>
      <c r="J52" s="451"/>
      <c r="K52" s="242"/>
      <c r="S52" s="242"/>
      <c r="T52" s="242"/>
      <c r="U52" s="242"/>
      <c r="V52" s="242"/>
      <c r="W52" s="242"/>
      <c r="X52" s="242"/>
      <c r="Y52" s="242"/>
      <c r="Z52" s="242"/>
      <c r="AA52" s="242"/>
      <c r="AB52" s="242"/>
      <c r="AC52" s="242"/>
      <c r="AD52" s="242"/>
      <c r="AE52" s="242"/>
      <c r="AF52" s="242"/>
      <c r="AG52" s="484"/>
      <c r="AH52" s="10"/>
      <c r="AI52" s="10"/>
      <c r="AJ52" s="10"/>
      <c r="AK52" s="10"/>
      <c r="AL52" s="10"/>
      <c r="AM52" s="10"/>
      <c r="AN52" s="10"/>
    </row>
    <row r="53" spans="1:40" ht="15" customHeight="1" x14ac:dyDescent="0.45">
      <c r="A53" s="1104"/>
      <c r="C53" s="433" t="s">
        <v>395</v>
      </c>
      <c r="D53" s="399">
        <v>8.5000000000000006E-2</v>
      </c>
      <c r="E53" s="400">
        <v>0.05</v>
      </c>
      <c r="F53" s="434" t="s">
        <v>847</v>
      </c>
      <c r="G53" s="457"/>
      <c r="I53" s="242"/>
      <c r="J53" s="242"/>
      <c r="K53" s="242"/>
      <c r="S53" s="242"/>
      <c r="T53" s="242"/>
      <c r="U53" s="242"/>
      <c r="V53" s="242"/>
      <c r="W53" s="242"/>
      <c r="X53" s="242"/>
      <c r="Y53" s="242"/>
      <c r="Z53" s="242"/>
      <c r="AA53" s="242"/>
      <c r="AB53" s="242"/>
      <c r="AC53" s="242"/>
      <c r="AD53" s="242"/>
      <c r="AE53" s="242"/>
      <c r="AF53" s="242"/>
      <c r="AG53" s="484"/>
      <c r="AH53" s="10"/>
      <c r="AI53" s="10"/>
      <c r="AJ53" s="10"/>
      <c r="AK53" s="10"/>
      <c r="AL53" s="10"/>
      <c r="AM53" s="10"/>
      <c r="AN53" s="10"/>
    </row>
    <row r="54" spans="1:40" ht="15" customHeight="1" x14ac:dyDescent="0.45">
      <c r="A54" s="1104"/>
      <c r="C54" s="435" t="s">
        <v>396</v>
      </c>
      <c r="D54" s="399">
        <f>Assumptions!M18</f>
        <v>0</v>
      </c>
      <c r="E54" s="400">
        <f>Assumptions!N18</f>
        <v>0</v>
      </c>
      <c r="F54" s="434" t="str">
        <f>Assumptions!P18</f>
        <v>% IA</v>
      </c>
      <c r="G54" s="242"/>
      <c r="I54" s="242"/>
      <c r="J54" s="242"/>
      <c r="K54" s="242"/>
      <c r="S54" s="242"/>
      <c r="T54" s="242"/>
      <c r="U54" s="242"/>
      <c r="V54" s="242"/>
      <c r="W54" s="242"/>
      <c r="X54" s="242"/>
      <c r="Y54" s="242"/>
      <c r="Z54" s="242"/>
      <c r="AA54" s="242"/>
      <c r="AB54" s="242"/>
      <c r="AC54" s="242"/>
      <c r="AD54" s="242"/>
      <c r="AE54" s="242"/>
      <c r="AF54" s="242"/>
      <c r="AG54" s="484"/>
      <c r="AH54" s="10"/>
      <c r="AI54" s="10"/>
      <c r="AJ54" s="10"/>
      <c r="AK54" s="10"/>
      <c r="AL54" s="10"/>
      <c r="AM54" s="10"/>
      <c r="AN54" s="10"/>
    </row>
    <row r="55" spans="1:40" ht="15" customHeight="1" x14ac:dyDescent="0.45">
      <c r="A55" s="1104"/>
      <c r="C55" s="409" t="s">
        <v>397</v>
      </c>
      <c r="D55" s="399">
        <f>Assumptions!M19</f>
        <v>0</v>
      </c>
      <c r="E55" s="400">
        <f>Assumptions!N19</f>
        <v>0</v>
      </c>
      <c r="F55" s="434" t="str">
        <f>Assumptions!P19</f>
        <v>% Revenue</v>
      </c>
      <c r="G55" s="242"/>
      <c r="I55" s="242"/>
      <c r="J55" s="242"/>
      <c r="K55" s="242"/>
      <c r="L55" s="242"/>
      <c r="M55" s="242"/>
      <c r="N55" s="242"/>
      <c r="O55" s="242"/>
      <c r="P55" s="242"/>
      <c r="Q55" s="242"/>
      <c r="R55" s="242"/>
      <c r="S55" s="242"/>
      <c r="T55" s="242"/>
      <c r="U55" s="242"/>
      <c r="V55" s="242"/>
      <c r="W55" s="242"/>
      <c r="X55" s="242"/>
      <c r="Y55" s="242"/>
      <c r="Z55" s="242"/>
      <c r="AA55" s="242"/>
      <c r="AB55" s="242"/>
      <c r="AC55" s="242"/>
      <c r="AD55" s="242"/>
      <c r="AE55" s="242"/>
      <c r="AF55" s="242"/>
      <c r="AG55" s="484"/>
      <c r="AH55" s="10"/>
      <c r="AI55" s="10"/>
      <c r="AJ55" s="10"/>
      <c r="AK55" s="10"/>
      <c r="AL55" s="10"/>
      <c r="AM55" s="10"/>
      <c r="AN55" s="10"/>
    </row>
    <row r="56" spans="1:40" ht="15" customHeight="1" x14ac:dyDescent="0.45">
      <c r="A56" s="1104"/>
      <c r="C56" s="435" t="s">
        <v>398</v>
      </c>
      <c r="D56" s="399">
        <f>Assumptions!M20</f>
        <v>7.6999999999999999E-2</v>
      </c>
      <c r="E56" s="400">
        <f>Assumptions!N20</f>
        <v>0.1</v>
      </c>
      <c r="F56" s="434" t="str">
        <f>Assumptions!P20</f>
        <v>% EBT</v>
      </c>
      <c r="G56" s="242"/>
      <c r="I56" s="242"/>
      <c r="J56" s="242"/>
      <c r="K56" s="242"/>
      <c r="L56" s="242"/>
      <c r="M56" s="242"/>
      <c r="N56" s="242"/>
      <c r="O56" s="242"/>
      <c r="P56" s="242"/>
      <c r="Q56" s="242"/>
      <c r="R56" s="242"/>
      <c r="S56" s="242"/>
      <c r="T56" s="242"/>
      <c r="U56" s="242"/>
      <c r="V56" s="242"/>
      <c r="W56" s="242"/>
      <c r="X56" s="242"/>
      <c r="Y56" s="242"/>
      <c r="Z56" s="242"/>
      <c r="AA56" s="242"/>
      <c r="AB56" s="242"/>
      <c r="AC56" s="242"/>
      <c r="AD56" s="242"/>
      <c r="AE56" s="242"/>
      <c r="AF56" s="242"/>
      <c r="AG56" s="484"/>
      <c r="AH56" s="10"/>
      <c r="AI56" s="10"/>
      <c r="AJ56" s="10"/>
      <c r="AK56" s="10"/>
      <c r="AL56" s="10"/>
      <c r="AM56" s="10"/>
      <c r="AN56" s="10"/>
    </row>
    <row r="57" spans="1:40" ht="15" customHeight="1" x14ac:dyDescent="0.45">
      <c r="A57" s="1104"/>
      <c r="C57" s="409" t="s">
        <v>399</v>
      </c>
      <c r="D57" s="399">
        <f>Assumptions!M21</f>
        <v>3.5000000000000003E-2</v>
      </c>
      <c r="E57" s="400">
        <f>Assumptions!N21</f>
        <v>3.6999999999999998E-2</v>
      </c>
      <c r="F57" s="434" t="str">
        <f>Assumptions!P21</f>
        <v>% Debt</v>
      </c>
      <c r="G57" s="242"/>
      <c r="I57" s="242"/>
      <c r="J57" s="242"/>
      <c r="K57" s="242"/>
      <c r="L57" s="242"/>
      <c r="M57" s="242"/>
      <c r="N57" s="242"/>
      <c r="O57" s="242"/>
      <c r="P57" s="242"/>
      <c r="Q57" s="242"/>
      <c r="R57" s="242"/>
      <c r="S57" s="242"/>
      <c r="T57" s="242"/>
      <c r="U57" s="242"/>
      <c r="V57" s="242"/>
      <c r="W57" s="242"/>
      <c r="X57" s="242"/>
      <c r="Y57" s="242"/>
      <c r="Z57" s="242"/>
      <c r="AA57" s="242"/>
      <c r="AB57" s="242"/>
      <c r="AC57" s="242"/>
      <c r="AD57" s="242"/>
      <c r="AE57" s="242"/>
      <c r="AF57" s="242"/>
      <c r="AG57" s="484"/>
      <c r="AH57" s="10"/>
      <c r="AI57" s="10"/>
      <c r="AJ57" s="10"/>
      <c r="AK57" s="10"/>
      <c r="AL57" s="10"/>
      <c r="AM57" s="10"/>
      <c r="AN57" s="10"/>
    </row>
    <row r="58" spans="1:40" ht="15" customHeight="1" x14ac:dyDescent="0.45">
      <c r="A58" s="1104"/>
      <c r="C58" s="435" t="s">
        <v>400</v>
      </c>
      <c r="D58" s="399">
        <f>Assumptions!M22</f>
        <v>0.15</v>
      </c>
      <c r="E58" s="400">
        <f>Assumptions!N22</f>
        <v>0.1</v>
      </c>
      <c r="F58" s="434" t="str">
        <f>Assumptions!P22</f>
        <v xml:space="preserve">% Cash </v>
      </c>
      <c r="G58" s="242"/>
      <c r="H58" s="242"/>
      <c r="I58" s="243"/>
      <c r="J58" s="262"/>
      <c r="K58" s="262"/>
      <c r="L58" s="262"/>
      <c r="M58" s="262"/>
      <c r="N58" s="262"/>
      <c r="O58" s="242"/>
      <c r="P58" s="242"/>
      <c r="Q58" s="242"/>
      <c r="R58" s="242"/>
      <c r="S58" s="242"/>
      <c r="T58" s="242"/>
      <c r="U58" s="242"/>
      <c r="V58" s="242"/>
      <c r="W58" s="242"/>
      <c r="X58" s="242"/>
      <c r="Y58" s="242"/>
      <c r="Z58" s="242"/>
      <c r="AA58" s="242"/>
      <c r="AB58" s="242"/>
      <c r="AC58" s="242"/>
      <c r="AD58" s="242"/>
      <c r="AE58" s="242"/>
      <c r="AF58" s="242"/>
      <c r="AG58" s="484"/>
      <c r="AH58" s="10"/>
      <c r="AI58" s="10"/>
      <c r="AJ58" s="10"/>
      <c r="AK58" s="10"/>
      <c r="AL58" s="10"/>
      <c r="AM58" s="10"/>
      <c r="AN58" s="10"/>
    </row>
    <row r="59" spans="1:40" ht="15" customHeight="1" x14ac:dyDescent="0.45">
      <c r="A59" s="1104"/>
      <c r="C59" s="409" t="s">
        <v>401</v>
      </c>
      <c r="D59" s="399">
        <f>Assumptions!M23</f>
        <v>0</v>
      </c>
      <c r="E59" s="400">
        <f>Assumptions!N23</f>
        <v>0</v>
      </c>
      <c r="F59" s="434" t="str">
        <f>Assumptions!P23</f>
        <v>Growing with CAPEX</v>
      </c>
      <c r="G59" s="242"/>
      <c r="H59" s="242"/>
      <c r="I59" s="242"/>
      <c r="J59" s="263"/>
      <c r="K59" s="263"/>
      <c r="L59" s="263"/>
      <c r="M59" s="263"/>
      <c r="N59" s="262"/>
      <c r="O59" s="242"/>
      <c r="P59" s="242"/>
      <c r="Q59" s="242"/>
      <c r="R59" s="242"/>
      <c r="S59" s="242"/>
      <c r="T59" s="242"/>
      <c r="U59" s="242"/>
      <c r="V59" s="242"/>
      <c r="W59" s="242"/>
      <c r="X59" s="242"/>
      <c r="Y59" s="242"/>
      <c r="Z59" s="242"/>
      <c r="AA59" s="242"/>
      <c r="AB59" s="242"/>
      <c r="AC59" s="242"/>
      <c r="AD59" s="242"/>
      <c r="AE59" s="242"/>
      <c r="AF59" s="242"/>
      <c r="AG59" s="484"/>
      <c r="AH59" s="10"/>
      <c r="AI59" s="10"/>
      <c r="AJ59" s="10"/>
      <c r="AK59" s="10"/>
      <c r="AL59" s="10"/>
      <c r="AM59" s="10"/>
      <c r="AN59" s="10"/>
    </row>
    <row r="60" spans="1:40" ht="15" customHeight="1" x14ac:dyDescent="0.45">
      <c r="A60" s="1104"/>
      <c r="C60" s="430" t="s">
        <v>402</v>
      </c>
      <c r="D60" s="399">
        <f>Assumptions!M24</f>
        <v>0</v>
      </c>
      <c r="E60" s="400">
        <f>Assumptions!N24</f>
        <v>0</v>
      </c>
      <c r="F60" s="434" t="str">
        <f>Assumptions!P24</f>
        <v xml:space="preserve">% Change in Revenues </v>
      </c>
      <c r="G60" s="242"/>
      <c r="H60" s="242"/>
      <c r="I60" s="242"/>
      <c r="J60" s="262"/>
      <c r="K60" s="262"/>
      <c r="L60" s="262"/>
      <c r="M60" s="262"/>
      <c r="N60" s="262"/>
      <c r="O60" s="242"/>
      <c r="P60" s="242"/>
      <c r="Q60" s="242"/>
      <c r="R60" s="242"/>
      <c r="S60" s="242"/>
      <c r="T60" s="242"/>
      <c r="U60" s="242"/>
      <c r="V60" s="242"/>
      <c r="W60" s="242"/>
      <c r="X60" s="242"/>
      <c r="Y60" s="242"/>
      <c r="Z60" s="242"/>
      <c r="AA60" s="242"/>
      <c r="AB60" s="242"/>
      <c r="AC60" s="242"/>
      <c r="AD60" s="242"/>
      <c r="AE60" s="242"/>
      <c r="AF60" s="242"/>
      <c r="AG60" s="484"/>
      <c r="AH60" s="10"/>
      <c r="AI60" s="10"/>
      <c r="AJ60" s="10"/>
      <c r="AK60" s="10"/>
      <c r="AL60" s="10"/>
      <c r="AM60" s="10"/>
      <c r="AN60" s="10"/>
    </row>
    <row r="61" spans="1:40" ht="15" customHeight="1" x14ac:dyDescent="0.45">
      <c r="A61" s="1104"/>
      <c r="C61" s="437" t="s">
        <v>403</v>
      </c>
      <c r="D61" s="399" t="str">
        <f>Assumptions!M25</f>
        <v>- -</v>
      </c>
      <c r="E61" s="400" t="str">
        <f>Assumptions!N25</f>
        <v>- -</v>
      </c>
      <c r="F61" s="434" t="str">
        <f>Assumptions!P25</f>
        <v>Growing with Amortization</v>
      </c>
      <c r="G61" s="242"/>
      <c r="H61" s="242"/>
      <c r="I61" s="242"/>
      <c r="J61" s="242"/>
      <c r="K61" s="242"/>
      <c r="L61" s="242"/>
      <c r="M61" s="242"/>
      <c r="N61" s="242"/>
      <c r="O61" s="242"/>
      <c r="P61" s="242"/>
      <c r="Q61" s="242"/>
      <c r="R61" s="242"/>
      <c r="S61" s="242"/>
      <c r="T61" s="242"/>
      <c r="U61" s="242"/>
      <c r="V61" s="242"/>
      <c r="W61" s="242"/>
      <c r="X61" s="242"/>
      <c r="Y61" s="242"/>
      <c r="Z61" s="242"/>
      <c r="AA61" s="242"/>
      <c r="AB61" s="242"/>
      <c r="AC61" s="242"/>
      <c r="AD61" s="242"/>
      <c r="AE61" s="242"/>
      <c r="AF61" s="242"/>
      <c r="AG61" s="484"/>
      <c r="AH61" s="10"/>
      <c r="AI61" s="10"/>
      <c r="AJ61" s="10"/>
      <c r="AK61" s="10"/>
      <c r="AL61" s="10"/>
      <c r="AM61" s="10"/>
      <c r="AN61" s="10"/>
    </row>
    <row r="62" spans="1:40" ht="15" customHeight="1" x14ac:dyDescent="0.45">
      <c r="A62" s="1104"/>
      <c r="C62" s="437" t="s">
        <v>404</v>
      </c>
      <c r="D62" s="399">
        <f>Assumptions!M26</f>
        <v>-9.3694968063208386E-2</v>
      </c>
      <c r="E62" s="400">
        <f>Assumptions!N26</f>
        <v>-8.4899003950285171E-2</v>
      </c>
      <c r="F62" s="434" t="str">
        <f>Assumptions!P26</f>
        <v>% Revenue</v>
      </c>
      <c r="G62" s="242"/>
      <c r="H62" s="242"/>
      <c r="I62" s="242"/>
      <c r="J62" s="242"/>
      <c r="K62" s="242"/>
      <c r="L62" s="242"/>
      <c r="M62" s="242"/>
      <c r="N62" s="242"/>
      <c r="O62" s="242"/>
      <c r="P62" s="242"/>
      <c r="Q62" s="242"/>
      <c r="R62" s="242"/>
      <c r="S62" s="242"/>
      <c r="T62" s="242"/>
      <c r="U62" s="242"/>
      <c r="V62" s="242"/>
      <c r="W62" s="242"/>
      <c r="X62" s="242"/>
      <c r="Y62" s="242"/>
      <c r="Z62" s="242"/>
      <c r="AA62" s="242"/>
      <c r="AB62" s="242"/>
      <c r="AC62" s="242"/>
      <c r="AD62" s="242"/>
      <c r="AE62" s="242"/>
      <c r="AF62" s="242"/>
      <c r="AG62" s="484"/>
      <c r="AH62" s="10"/>
      <c r="AI62" s="10"/>
      <c r="AJ62" s="10"/>
      <c r="AK62" s="10"/>
      <c r="AL62" s="10"/>
      <c r="AM62" s="10"/>
      <c r="AN62" s="10"/>
    </row>
    <row r="63" spans="1:40" ht="15" customHeight="1" x14ac:dyDescent="0.45">
      <c r="A63" s="1104"/>
      <c r="C63" s="437" t="s">
        <v>405</v>
      </c>
      <c r="D63" s="399">
        <f>Assumptions!M27</f>
        <v>0</v>
      </c>
      <c r="E63" s="400">
        <f>Assumptions!N27</f>
        <v>-8.2307243819177811E-4</v>
      </c>
      <c r="F63" s="434" t="str">
        <f>Assumptions!P27</f>
        <v>% Revenue</v>
      </c>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c r="AF63" s="242"/>
      <c r="AG63" s="484"/>
      <c r="AH63" s="10"/>
      <c r="AI63" s="10"/>
      <c r="AJ63" s="10"/>
      <c r="AK63" s="10"/>
      <c r="AL63" s="10"/>
      <c r="AM63" s="10"/>
      <c r="AN63" s="10"/>
    </row>
    <row r="64" spans="1:40" ht="15" customHeight="1" x14ac:dyDescent="0.45">
      <c r="A64" s="1104"/>
      <c r="C64" s="437" t="s">
        <v>109</v>
      </c>
      <c r="D64" s="399">
        <f>Assumptions!M28</f>
        <v>4.6716183864652155E-3</v>
      </c>
      <c r="E64" s="400">
        <f>Assumptions!N28</f>
        <v>-3.7041297120206608E-3</v>
      </c>
      <c r="F64" s="434" t="str">
        <f>Assumptions!P28</f>
        <v>% Net Income</v>
      </c>
      <c r="G64" s="242"/>
      <c r="I64" s="242"/>
      <c r="J64" s="242"/>
      <c r="K64" s="242"/>
      <c r="L64" s="242"/>
      <c r="M64" s="242"/>
      <c r="N64" s="242"/>
      <c r="O64" s="242"/>
      <c r="P64" s="242"/>
      <c r="Q64" s="242"/>
      <c r="R64" s="242"/>
      <c r="S64" s="242"/>
      <c r="T64" s="242"/>
      <c r="U64" s="242"/>
      <c r="V64" s="242"/>
      <c r="W64" s="242"/>
      <c r="X64" s="242"/>
      <c r="Y64" s="242"/>
      <c r="Z64" s="242"/>
      <c r="AA64" s="242"/>
      <c r="AB64" s="242"/>
      <c r="AC64" s="242"/>
      <c r="AD64" s="242"/>
      <c r="AE64" s="242"/>
      <c r="AF64" s="242"/>
      <c r="AG64" s="242"/>
    </row>
    <row r="65" spans="1:33" ht="15" customHeight="1" x14ac:dyDescent="0.45">
      <c r="A65" s="1104"/>
      <c r="C65" s="437" t="s">
        <v>406</v>
      </c>
      <c r="D65" s="399">
        <f>Assumptions!M29</f>
        <v>8.6774043291638625E-2</v>
      </c>
      <c r="E65" s="400">
        <f>Assumptions!N29</f>
        <v>5.0826019724146708E-2</v>
      </c>
      <c r="F65" s="434" t="str">
        <f>Assumptions!P29</f>
        <v>% Net Income</v>
      </c>
      <c r="G65" s="242"/>
      <c r="I65" s="242"/>
      <c r="J65" s="242"/>
      <c r="K65" s="242"/>
      <c r="L65" s="242"/>
      <c r="M65" s="242"/>
      <c r="N65" s="242"/>
      <c r="O65" s="242"/>
      <c r="P65" s="242"/>
      <c r="Q65" s="242"/>
      <c r="R65" s="242"/>
      <c r="S65" s="242"/>
      <c r="T65" s="242"/>
      <c r="U65" s="242"/>
      <c r="V65" s="242"/>
      <c r="W65" s="242"/>
      <c r="X65" s="242"/>
      <c r="Y65" s="242"/>
      <c r="Z65" s="242"/>
      <c r="AA65" s="242"/>
      <c r="AB65" s="242"/>
      <c r="AC65" s="242"/>
      <c r="AD65" s="242"/>
      <c r="AE65" s="242"/>
      <c r="AF65" s="242"/>
      <c r="AG65" s="242"/>
    </row>
    <row r="66" spans="1:33" ht="15" customHeight="1" x14ac:dyDescent="0.45">
      <c r="A66" s="1104"/>
      <c r="C66" s="437" t="s">
        <v>407</v>
      </c>
      <c r="D66" s="399">
        <f>Assumptions!M30</f>
        <v>0</v>
      </c>
      <c r="E66" s="400">
        <f>Assumptions!N30</f>
        <v>0</v>
      </c>
      <c r="F66" s="434" t="str">
        <f>Assumptions!P30</f>
        <v>% Revenue</v>
      </c>
      <c r="G66" s="242"/>
      <c r="I66" s="242"/>
      <c r="J66" s="242"/>
      <c r="K66" s="242"/>
      <c r="L66" s="242"/>
      <c r="M66" s="242"/>
      <c r="N66" s="242"/>
      <c r="O66" s="242"/>
      <c r="P66" s="242"/>
      <c r="Q66" s="242"/>
      <c r="R66" s="242"/>
      <c r="S66" s="242"/>
      <c r="T66" s="242"/>
      <c r="U66" s="242"/>
      <c r="V66" s="242"/>
      <c r="W66" s="242"/>
      <c r="X66" s="242"/>
      <c r="Y66" s="242"/>
      <c r="Z66" s="242"/>
      <c r="AA66" s="242"/>
      <c r="AB66" s="242"/>
      <c r="AC66" s="242"/>
      <c r="AD66" s="242"/>
      <c r="AE66" s="242"/>
      <c r="AF66" s="242"/>
      <c r="AG66" s="242"/>
    </row>
    <row r="67" spans="1:33" ht="15.75" customHeight="1" x14ac:dyDescent="0.45">
      <c r="A67" s="1104"/>
      <c r="C67" s="435" t="s">
        <v>256</v>
      </c>
      <c r="D67" s="674">
        <f>Assumptions!M31</f>
        <v>4.7305294673047911</v>
      </c>
      <c r="E67" s="674">
        <f>Assumptions!N31</f>
        <v>3.6815521477506543</v>
      </c>
      <c r="F67" s="673" t="str">
        <f>Assumptions!P31</f>
        <v>% EBITDA</v>
      </c>
      <c r="G67" s="242"/>
      <c r="J67" s="242"/>
      <c r="K67" s="242"/>
      <c r="L67" s="242"/>
      <c r="M67" s="242"/>
      <c r="N67" s="242"/>
      <c r="O67" s="242"/>
      <c r="P67" s="242"/>
      <c r="Q67" s="242"/>
      <c r="R67" s="242"/>
      <c r="S67" s="242"/>
      <c r="T67" s="242"/>
      <c r="U67" s="242"/>
      <c r="V67" s="242"/>
      <c r="W67" s="242"/>
      <c r="X67" s="242"/>
      <c r="Y67" s="242"/>
      <c r="Z67" s="242"/>
      <c r="AA67" s="242"/>
      <c r="AB67" s="242"/>
      <c r="AC67" s="242"/>
      <c r="AD67" s="242"/>
      <c r="AE67" s="242"/>
      <c r="AF67" s="242"/>
      <c r="AG67" s="242"/>
    </row>
    <row r="68" spans="1:33" ht="14.25" x14ac:dyDescent="0.45">
      <c r="A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row>
    <row r="69" spans="1:33" ht="14.25" x14ac:dyDescent="0.45">
      <c r="A69" s="1084" t="s">
        <v>90</v>
      </c>
      <c r="C69" s="311"/>
      <c r="D69" s="403" t="s">
        <v>408</v>
      </c>
      <c r="E69" s="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row>
    <row r="70" spans="1:33" ht="14.25" x14ac:dyDescent="0.45">
      <c r="A70" s="1085"/>
      <c r="C70" s="311" t="s">
        <v>409</v>
      </c>
      <c r="D70" s="404">
        <f>SUMPRODUCT(G35:AF35,G45:AF45)+((AF43-AF44)*AF45)</f>
        <v>-60421.372495639742</v>
      </c>
      <c r="E70" s="360">
        <f>D70/D72</f>
        <v>0.46160823603429091</v>
      </c>
      <c r="G70" s="242"/>
      <c r="H70" s="242"/>
      <c r="I70" s="242"/>
      <c r="J70" s="242"/>
      <c r="K70" s="242"/>
      <c r="L70" s="242"/>
      <c r="M70" s="242"/>
      <c r="N70" s="242"/>
      <c r="O70" s="242"/>
      <c r="P70" s="242"/>
      <c r="Q70" s="242"/>
      <c r="R70" s="242"/>
      <c r="S70" s="242"/>
      <c r="T70" s="242"/>
      <c r="U70" s="242"/>
      <c r="V70" s="242"/>
      <c r="W70" s="242"/>
      <c r="X70" s="242"/>
      <c r="Y70" s="242"/>
      <c r="Z70" s="242"/>
      <c r="AA70" s="242"/>
      <c r="AB70" s="242"/>
      <c r="AC70" s="242"/>
      <c r="AD70" s="242"/>
      <c r="AE70" s="242"/>
      <c r="AF70" s="242"/>
      <c r="AG70" s="242"/>
    </row>
    <row r="71" spans="1:33" ht="14.25" x14ac:dyDescent="0.45">
      <c r="A71" s="1085"/>
      <c r="C71" s="311" t="s">
        <v>410</v>
      </c>
      <c r="D71" s="404">
        <f>(AF34/(F50-AF5))*AF45</f>
        <v>-70471.813065181355</v>
      </c>
      <c r="E71" s="360">
        <f>D71/D72</f>
        <v>0.53839176396570909</v>
      </c>
      <c r="G71" s="242"/>
      <c r="H71" s="242"/>
      <c r="I71" s="242"/>
      <c r="J71" s="242"/>
      <c r="K71" s="242"/>
      <c r="L71" s="242"/>
      <c r="M71" s="242"/>
      <c r="N71" s="242"/>
      <c r="O71" s="242"/>
      <c r="P71" s="242"/>
      <c r="Q71" s="242"/>
      <c r="R71" s="242"/>
      <c r="S71" s="242"/>
      <c r="T71" s="242"/>
      <c r="U71" s="242"/>
      <c r="V71" s="242"/>
      <c r="W71" s="242"/>
      <c r="X71" s="242"/>
      <c r="Y71" s="242"/>
      <c r="Z71" s="242"/>
      <c r="AA71" s="242"/>
      <c r="AB71" s="242"/>
      <c r="AC71" s="242"/>
      <c r="AD71" s="242"/>
      <c r="AE71" s="242"/>
      <c r="AF71" s="242"/>
      <c r="AG71" s="242"/>
    </row>
    <row r="72" spans="1:33" ht="14.25" x14ac:dyDescent="0.45">
      <c r="A72" s="1085"/>
      <c r="C72" s="311" t="s">
        <v>411</v>
      </c>
      <c r="D72" s="404">
        <f>D70+D71</f>
        <v>-130893.18556082109</v>
      </c>
      <c r="E72" s="2"/>
      <c r="G72" s="242"/>
      <c r="H72" s="242"/>
      <c r="I72" s="242"/>
      <c r="J72" s="242"/>
      <c r="K72" s="242"/>
      <c r="L72" s="242"/>
      <c r="M72" s="242"/>
      <c r="N72" s="242"/>
      <c r="O72" s="242"/>
      <c r="P72" s="242"/>
      <c r="Q72" s="242"/>
      <c r="R72" s="242"/>
      <c r="S72" s="242"/>
      <c r="T72" s="242"/>
      <c r="U72" s="242"/>
      <c r="V72" s="242"/>
      <c r="W72" s="242"/>
      <c r="X72" s="242"/>
      <c r="Y72" s="242"/>
      <c r="Z72" s="242"/>
      <c r="AA72" s="242"/>
      <c r="AB72" s="242"/>
      <c r="AC72" s="242"/>
      <c r="AD72" s="242"/>
      <c r="AE72" s="242"/>
      <c r="AF72" s="242"/>
      <c r="AG72" s="242"/>
    </row>
    <row r="73" spans="1:33" ht="14.25" x14ac:dyDescent="0.45">
      <c r="A73" s="1085"/>
      <c r="C73" s="657" t="s">
        <v>412</v>
      </c>
      <c r="D73" s="658">
        <f ca="1">OP!C15</f>
        <v>11.74</v>
      </c>
      <c r="E73" s="312"/>
      <c r="G73" s="242"/>
      <c r="H73" s="242"/>
      <c r="I73" s="242"/>
      <c r="J73" s="242"/>
      <c r="K73" s="242"/>
      <c r="L73" s="242"/>
      <c r="M73" s="242"/>
      <c r="N73" s="242"/>
      <c r="O73" s="242"/>
      <c r="P73" s="242"/>
      <c r="Q73" s="242"/>
      <c r="R73" s="242"/>
      <c r="S73" s="242"/>
      <c r="T73" s="242"/>
      <c r="U73" s="242"/>
      <c r="V73" s="242"/>
      <c r="W73" s="242"/>
      <c r="X73" s="242"/>
      <c r="Y73" s="242"/>
      <c r="Z73" s="242"/>
      <c r="AA73" s="242"/>
      <c r="AB73" s="242"/>
      <c r="AC73" s="242"/>
      <c r="AD73" s="242"/>
      <c r="AE73" s="242"/>
      <c r="AF73" s="242"/>
      <c r="AG73" s="242"/>
    </row>
    <row r="74" spans="1:33" ht="14.25" x14ac:dyDescent="0.45">
      <c r="A74" s="1085"/>
      <c r="C74" s="657" t="s">
        <v>413</v>
      </c>
      <c r="D74" s="405">
        <f ca="1">D75/D73-1</f>
        <v>-2.3030762821817103</v>
      </c>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c r="AF74" s="242"/>
      <c r="AG74" s="242"/>
    </row>
    <row r="75" spans="1:33" ht="14.25" x14ac:dyDescent="0.45">
      <c r="A75" s="1086"/>
      <c r="C75" s="406" t="s">
        <v>414</v>
      </c>
      <c r="D75" s="407">
        <f ca="1">D72*1000000/OP!C16</f>
        <v>-15.298115552813281</v>
      </c>
    </row>
    <row r="76" spans="1:33" ht="14.25" x14ac:dyDescent="0.45">
      <c r="A76" s="389"/>
      <c r="C76" s="312"/>
      <c r="D76" s="659"/>
    </row>
    <row r="77" spans="1:33" ht="14.25" x14ac:dyDescent="0.45">
      <c r="A77" s="1080" t="s">
        <v>415</v>
      </c>
      <c r="C77" s="429" t="s">
        <v>416</v>
      </c>
      <c r="D77" s="658">
        <f ca="1">(SUMPRODUCT(G35:AF35,G45:AF45)+((AF43-AF44)*AF45)+(AF34/(F50+0.001-AF5))*AF45)*1000000/OP!C16</f>
        <v>-15.151037348923454</v>
      </c>
      <c r="E77" s="408">
        <f ca="1">D77/D75-1</f>
        <v>-9.6141386422446962E-3</v>
      </c>
    </row>
    <row r="78" spans="1:33" ht="14.25" x14ac:dyDescent="0.45">
      <c r="A78" s="1081"/>
      <c r="C78" s="429" t="s">
        <v>417</v>
      </c>
      <c r="D78" s="658">
        <f ca="1">(SUMPRODUCT(G35:AF35,G45:AF45)+((AF43-AF44)*AF45)+(AF34/(F50+0.005-AF5))*AF45)*1000000/OP!C16</f>
        <v>-14.611750601327415</v>
      </c>
      <c r="E78" s="408">
        <f ca="1">D78/D75-1</f>
        <v>-4.486598033047573E-2</v>
      </c>
    </row>
    <row r="79" spans="1:33" ht="14.25" x14ac:dyDescent="0.45">
      <c r="A79" s="427"/>
      <c r="C79" s="428"/>
      <c r="D79" s="659"/>
      <c r="E79" s="408"/>
    </row>
    <row r="80" spans="1:33" ht="14.25" x14ac:dyDescent="0.45">
      <c r="A80" s="709" t="s">
        <v>418</v>
      </c>
      <c r="C80" s="676" t="s">
        <v>419</v>
      </c>
      <c r="D80" s="407">
        <f ca="1">D75/1.15</f>
        <v>-13.302709176359375</v>
      </c>
      <c r="J80" s="5"/>
    </row>
    <row r="81" spans="7:12" x14ac:dyDescent="0.35">
      <c r="G81" s="1"/>
      <c r="H81" s="1"/>
      <c r="I81" s="1"/>
      <c r="J81" s="4"/>
    </row>
    <row r="82" spans="7:12" x14ac:dyDescent="0.35">
      <c r="G82" s="1"/>
      <c r="H82" s="1"/>
      <c r="I82" s="1"/>
      <c r="J82" s="4"/>
    </row>
    <row r="83" spans="7:12" x14ac:dyDescent="0.35">
      <c r="G83" s="1"/>
      <c r="H83" s="1"/>
      <c r="I83" s="1"/>
      <c r="K83" s="4"/>
    </row>
    <row r="84" spans="7:12" x14ac:dyDescent="0.35">
      <c r="L84" s="5"/>
    </row>
    <row r="85" spans="7:12" x14ac:dyDescent="0.35">
      <c r="G85" s="1"/>
      <c r="H85" s="1"/>
      <c r="I85" s="1"/>
    </row>
    <row r="86" spans="7:12" x14ac:dyDescent="0.35">
      <c r="G86" s="1"/>
      <c r="H86" s="1"/>
      <c r="I86" s="1"/>
    </row>
    <row r="87" spans="7:12" x14ac:dyDescent="0.35">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413F-AE2A-4E2D-8181-9D9FB29A7897}">
  <dimension ref="A1:E40"/>
  <sheetViews>
    <sheetView topLeftCell="A15" zoomScale="69" workbookViewId="0"/>
  </sheetViews>
  <sheetFormatPr defaultRowHeight="12.75" x14ac:dyDescent="0.35"/>
  <cols>
    <col min="2" max="2" width="10.796875" customWidth="1"/>
    <col min="3" max="3" width="19.59765625" customWidth="1"/>
    <col min="4" max="5" width="34.265625" customWidth="1"/>
  </cols>
  <sheetData>
    <row r="1" spans="1:5" x14ac:dyDescent="0.35">
      <c r="A1" t="s">
        <v>97</v>
      </c>
      <c r="B1" t="s">
        <v>98</v>
      </c>
      <c r="C1" t="s">
        <v>837</v>
      </c>
      <c r="D1" t="s">
        <v>838</v>
      </c>
      <c r="E1" t="s">
        <v>839</v>
      </c>
    </row>
    <row r="2" spans="1:5" x14ac:dyDescent="0.35">
      <c r="A2">
        <v>2012</v>
      </c>
      <c r="B2" s="296">
        <v>43159.9666</v>
      </c>
    </row>
    <row r="3" spans="1:5" x14ac:dyDescent="0.35">
      <c r="A3">
        <v>2013</v>
      </c>
      <c r="B3" s="296">
        <v>56784.314299999998</v>
      </c>
    </row>
    <row r="4" spans="1:5" x14ac:dyDescent="0.35">
      <c r="A4">
        <v>2014</v>
      </c>
      <c r="B4" s="296">
        <v>62599.104200000002</v>
      </c>
    </row>
    <row r="5" spans="1:5" x14ac:dyDescent="0.35">
      <c r="A5">
        <v>2015</v>
      </c>
      <c r="B5" s="296">
        <v>76033.142500000002</v>
      </c>
    </row>
    <row r="6" spans="1:5" x14ac:dyDescent="0.35">
      <c r="A6">
        <v>2016</v>
      </c>
      <c r="B6" s="296">
        <v>98615.702400000009</v>
      </c>
    </row>
    <row r="7" spans="1:5" x14ac:dyDescent="0.35">
      <c r="A7">
        <v>2017</v>
      </c>
      <c r="B7" s="296">
        <v>101169.48880000001</v>
      </c>
    </row>
    <row r="8" spans="1:5" x14ac:dyDescent="0.35">
      <c r="A8">
        <v>2018</v>
      </c>
      <c r="B8" s="296">
        <v>99230</v>
      </c>
    </row>
    <row r="9" spans="1:5" x14ac:dyDescent="0.35">
      <c r="A9">
        <v>2019</v>
      </c>
      <c r="B9" s="296">
        <v>96210.7</v>
      </c>
    </row>
    <row r="10" spans="1:5" x14ac:dyDescent="0.35">
      <c r="A10">
        <v>2020</v>
      </c>
      <c r="B10" s="296">
        <v>103307.6</v>
      </c>
    </row>
    <row r="11" spans="1:5" x14ac:dyDescent="0.35">
      <c r="A11">
        <v>2021</v>
      </c>
      <c r="B11" s="296">
        <v>136404.70000000001</v>
      </c>
    </row>
    <row r="12" spans="1:5" x14ac:dyDescent="0.35">
      <c r="A12">
        <v>2022</v>
      </c>
      <c r="B12" s="296">
        <v>137339.98518776</v>
      </c>
    </row>
    <row r="13" spans="1:5" x14ac:dyDescent="0.35">
      <c r="A13">
        <v>2023</v>
      </c>
      <c r="B13" s="296">
        <v>173212.07675797</v>
      </c>
    </row>
    <row r="14" spans="1:5" x14ac:dyDescent="0.35">
      <c r="A14">
        <v>2024</v>
      </c>
      <c r="B14" s="296">
        <v>202777</v>
      </c>
      <c r="C14" s="296">
        <v>202777</v>
      </c>
      <c r="D14" s="296">
        <v>202777</v>
      </c>
      <c r="E14" s="296">
        <v>202777</v>
      </c>
    </row>
    <row r="15" spans="1:5" x14ac:dyDescent="0.35">
      <c r="A15">
        <v>2025</v>
      </c>
      <c r="C15" s="296">
        <f t="shared" ref="C15:C40" si="0">_xlfn.FORECAST.ETS(A15,$B$2:$B$14,$A$2:$A$14,1,1)</f>
        <v>185744.27958744424</v>
      </c>
      <c r="D15" s="296">
        <f t="shared" ref="D15:D40" si="1">C15-_xlfn.FORECAST.ETS.CONFINT(A15,$B$2:$B$14,$A$2:$A$14,0.9,1,1)</f>
        <v>160987.79607473197</v>
      </c>
      <c r="E15" s="296">
        <f t="shared" ref="E15:E40" si="2">C15+_xlfn.FORECAST.ETS.CONFINT(A15,$B$2:$B$14,$A$2:$A$14,0.9,1,1)</f>
        <v>210500.7631001565</v>
      </c>
    </row>
    <row r="16" spans="1:5" x14ac:dyDescent="0.35">
      <c r="A16">
        <v>2026</v>
      </c>
      <c r="C16" s="296">
        <f t="shared" si="0"/>
        <v>196852.90816103722</v>
      </c>
      <c r="D16" s="296">
        <f t="shared" si="1"/>
        <v>171897.57459287529</v>
      </c>
      <c r="E16" s="296">
        <f t="shared" si="2"/>
        <v>221808.24172919916</v>
      </c>
    </row>
    <row r="17" spans="1:5" x14ac:dyDescent="0.35">
      <c r="A17">
        <v>2027</v>
      </c>
      <c r="C17" s="296">
        <f t="shared" si="0"/>
        <v>207961.53673463018</v>
      </c>
      <c r="D17" s="296">
        <f t="shared" si="1"/>
        <v>182805.81857021229</v>
      </c>
      <c r="E17" s="296">
        <f t="shared" si="2"/>
        <v>233117.25489904807</v>
      </c>
    </row>
    <row r="18" spans="1:5" x14ac:dyDescent="0.35">
      <c r="A18">
        <v>2028</v>
      </c>
      <c r="C18" s="296">
        <f t="shared" si="0"/>
        <v>219070.16530822316</v>
      </c>
      <c r="D18" s="296">
        <f t="shared" si="1"/>
        <v>193712.5402165406</v>
      </c>
      <c r="E18" s="296">
        <f t="shared" si="2"/>
        <v>244427.79039990573</v>
      </c>
    </row>
    <row r="19" spans="1:5" x14ac:dyDescent="0.35">
      <c r="A19">
        <v>2029</v>
      </c>
      <c r="C19" s="296">
        <f t="shared" si="0"/>
        <v>230178.79388181612</v>
      </c>
      <c r="D19" s="296">
        <f t="shared" si="1"/>
        <v>204617.75162933164</v>
      </c>
      <c r="E19" s="296">
        <f t="shared" si="2"/>
        <v>255739.8361343006</v>
      </c>
    </row>
    <row r="20" spans="1:5" x14ac:dyDescent="0.35">
      <c r="A20">
        <v>2030</v>
      </c>
      <c r="C20" s="296">
        <f t="shared" si="0"/>
        <v>241287.42245540908</v>
      </c>
      <c r="D20" s="296">
        <f t="shared" si="1"/>
        <v>215521.46479101249</v>
      </c>
      <c r="E20" s="296">
        <f t="shared" si="2"/>
        <v>267053.38011980569</v>
      </c>
    </row>
    <row r="21" spans="1:5" x14ac:dyDescent="0.35">
      <c r="A21">
        <v>2031</v>
      </c>
      <c r="C21" s="296">
        <f t="shared" si="0"/>
        <v>252396.05102900206</v>
      </c>
      <c r="D21" s="296">
        <f t="shared" si="1"/>
        <v>226423.69156653073</v>
      </c>
      <c r="E21" s="296">
        <f t="shared" si="2"/>
        <v>278368.41049147339</v>
      </c>
    </row>
    <row r="22" spans="1:5" x14ac:dyDescent="0.35">
      <c r="A22">
        <v>2032</v>
      </c>
      <c r="C22" s="296">
        <f t="shared" si="0"/>
        <v>263504.67960259505</v>
      </c>
      <c r="D22" s="296">
        <f t="shared" si="1"/>
        <v>237324.44370118866</v>
      </c>
      <c r="E22" s="296">
        <f t="shared" si="2"/>
        <v>289684.91550400143</v>
      </c>
    </row>
    <row r="23" spans="1:5" x14ac:dyDescent="0.35">
      <c r="A23">
        <v>2033</v>
      </c>
      <c r="C23" s="296">
        <f t="shared" si="0"/>
        <v>274613.30817618797</v>
      </c>
      <c r="D23" s="296">
        <f t="shared" si="1"/>
        <v>248223.7328187325</v>
      </c>
      <c r="E23" s="296">
        <f t="shared" si="2"/>
        <v>301002.88353364344</v>
      </c>
    </row>
    <row r="24" spans="1:5" x14ac:dyDescent="0.35">
      <c r="A24">
        <v>2034</v>
      </c>
      <c r="C24" s="296">
        <f t="shared" si="0"/>
        <v>285721.93674978096</v>
      </c>
      <c r="D24" s="296">
        <f t="shared" si="1"/>
        <v>259121.57041968365</v>
      </c>
      <c r="E24" s="296">
        <f t="shared" si="2"/>
        <v>312322.30307987827</v>
      </c>
    </row>
    <row r="25" spans="1:5" x14ac:dyDescent="0.35">
      <c r="A25">
        <v>2035</v>
      </c>
      <c r="C25" s="296">
        <f t="shared" si="0"/>
        <v>296830.56532337388</v>
      </c>
      <c r="D25" s="296">
        <f t="shared" si="1"/>
        <v>270017.96787989774</v>
      </c>
      <c r="E25" s="296">
        <f t="shared" si="2"/>
        <v>323643.16276685003</v>
      </c>
    </row>
    <row r="26" spans="1:5" x14ac:dyDescent="0.35">
      <c r="A26">
        <v>2036</v>
      </c>
      <c r="C26" s="296">
        <f t="shared" si="0"/>
        <v>307939.19389696687</v>
      </c>
      <c r="D26" s="296">
        <f t="shared" si="1"/>
        <v>280912.93644934095</v>
      </c>
      <c r="E26" s="296">
        <f t="shared" si="2"/>
        <v>334965.45134459279</v>
      </c>
    </row>
    <row r="27" spans="1:5" x14ac:dyDescent="0.35">
      <c r="A27">
        <v>2037</v>
      </c>
      <c r="C27" s="296">
        <f t="shared" si="0"/>
        <v>319047.82247055985</v>
      </c>
      <c r="D27" s="296">
        <f t="shared" si="1"/>
        <v>291806.48725106881</v>
      </c>
      <c r="E27" s="296">
        <f t="shared" si="2"/>
        <v>346289.1576900509</v>
      </c>
    </row>
    <row r="28" spans="1:5" x14ac:dyDescent="0.35">
      <c r="A28">
        <v>2038</v>
      </c>
      <c r="C28" s="296">
        <f t="shared" si="0"/>
        <v>330156.45104415284</v>
      </c>
      <c r="D28" s="296">
        <f t="shared" si="1"/>
        <v>302698.63128039805</v>
      </c>
      <c r="E28" s="296">
        <f t="shared" si="2"/>
        <v>357614.27080790763</v>
      </c>
    </row>
    <row r="29" spans="1:5" x14ac:dyDescent="0.35">
      <c r="A29">
        <v>2039</v>
      </c>
      <c r="C29" s="296">
        <f t="shared" si="0"/>
        <v>341265.07961774583</v>
      </c>
      <c r="D29" s="296">
        <f t="shared" si="1"/>
        <v>313589.37940425926</v>
      </c>
      <c r="E29" s="296">
        <f t="shared" si="2"/>
        <v>368940.77983123239</v>
      </c>
    </row>
    <row r="30" spans="1:5" x14ac:dyDescent="0.35">
      <c r="A30">
        <v>2040</v>
      </c>
      <c r="C30" s="296">
        <f t="shared" si="0"/>
        <v>352373.70819133875</v>
      </c>
      <c r="D30" s="296">
        <f t="shared" si="1"/>
        <v>324478.7423607189</v>
      </c>
      <c r="E30" s="296">
        <f t="shared" si="2"/>
        <v>380268.67402195861</v>
      </c>
    </row>
    <row r="31" spans="1:5" x14ac:dyDescent="0.35">
      <c r="A31">
        <v>2041</v>
      </c>
      <c r="C31" s="296">
        <f t="shared" si="0"/>
        <v>363482.33676493168</v>
      </c>
      <c r="D31" s="296">
        <f t="shared" si="1"/>
        <v>335366.73075866175</v>
      </c>
      <c r="E31" s="296">
        <f t="shared" si="2"/>
        <v>391597.9427712016</v>
      </c>
    </row>
    <row r="32" spans="1:5" x14ac:dyDescent="0.35">
      <c r="A32">
        <v>2042</v>
      </c>
      <c r="C32" s="296">
        <f t="shared" si="0"/>
        <v>374590.96533852466</v>
      </c>
      <c r="D32" s="296">
        <f t="shared" si="1"/>
        <v>346253.3550776224</v>
      </c>
      <c r="E32" s="296">
        <f t="shared" si="2"/>
        <v>402928.57559942693</v>
      </c>
    </row>
    <row r="33" spans="1:5" x14ac:dyDescent="0.35">
      <c r="A33">
        <v>2043</v>
      </c>
      <c r="C33" s="296">
        <f t="shared" si="0"/>
        <v>385699.59391211765</v>
      </c>
      <c r="D33" s="296">
        <f t="shared" si="1"/>
        <v>357138.62566775712</v>
      </c>
      <c r="E33" s="296">
        <f t="shared" si="2"/>
        <v>414260.56215647818</v>
      </c>
    </row>
    <row r="34" spans="1:5" x14ac:dyDescent="0.35">
      <c r="A34">
        <v>2044</v>
      </c>
      <c r="C34" s="296">
        <f t="shared" si="0"/>
        <v>396808.22248571063</v>
      </c>
      <c r="D34" s="296">
        <f t="shared" si="1"/>
        <v>368022.55274994648</v>
      </c>
      <c r="E34" s="296">
        <f t="shared" si="2"/>
        <v>425593.89222147479</v>
      </c>
    </row>
    <row r="35" spans="1:5" x14ac:dyDescent="0.35">
      <c r="A35">
        <v>2045</v>
      </c>
      <c r="C35" s="296">
        <f t="shared" si="0"/>
        <v>407916.85105930362</v>
      </c>
      <c r="D35" s="296">
        <f t="shared" si="1"/>
        <v>378905.14641602046</v>
      </c>
      <c r="E35" s="296">
        <f t="shared" si="2"/>
        <v>436928.55570258677</v>
      </c>
    </row>
    <row r="36" spans="1:5" x14ac:dyDescent="0.35">
      <c r="A36">
        <v>2046</v>
      </c>
      <c r="C36" s="296">
        <f t="shared" si="0"/>
        <v>419025.47963289655</v>
      </c>
      <c r="D36" s="296">
        <f t="shared" si="1"/>
        <v>389786.41662909719</v>
      </c>
      <c r="E36" s="296">
        <f t="shared" si="2"/>
        <v>448264.5426366959</v>
      </c>
    </row>
    <row r="37" spans="1:5" x14ac:dyDescent="0.35">
      <c r="A37">
        <v>2047</v>
      </c>
      <c r="C37" s="296">
        <f t="shared" si="0"/>
        <v>430134.10820648953</v>
      </c>
      <c r="D37" s="296">
        <f t="shared" si="1"/>
        <v>400666.37322402786</v>
      </c>
      <c r="E37" s="296">
        <f t="shared" si="2"/>
        <v>459601.8431889512</v>
      </c>
    </row>
    <row r="38" spans="1:5" x14ac:dyDescent="0.35">
      <c r="A38">
        <v>2048</v>
      </c>
      <c r="C38" s="296">
        <f t="shared" si="0"/>
        <v>441242.73678008246</v>
      </c>
      <c r="D38" s="296">
        <f t="shared" si="1"/>
        <v>411545.02590793971</v>
      </c>
      <c r="E38" s="296">
        <f t="shared" si="2"/>
        <v>470940.44765222521</v>
      </c>
    </row>
    <row r="39" spans="1:5" x14ac:dyDescent="0.35">
      <c r="A39">
        <v>2049</v>
      </c>
      <c r="C39" s="296">
        <f t="shared" si="0"/>
        <v>452351.36535367544</v>
      </c>
      <c r="D39" s="296">
        <f t="shared" si="1"/>
        <v>422422.38426087046</v>
      </c>
      <c r="E39" s="296">
        <f t="shared" si="2"/>
        <v>482280.34644648043</v>
      </c>
    </row>
    <row r="40" spans="1:5" x14ac:dyDescent="0.35">
      <c r="A40">
        <v>2050</v>
      </c>
      <c r="C40" s="296">
        <f t="shared" si="0"/>
        <v>463459.99392726843</v>
      </c>
      <c r="D40" s="296">
        <f t="shared" si="1"/>
        <v>433298.45773648692</v>
      </c>
      <c r="E40" s="296">
        <f t="shared" si="2"/>
        <v>493621.53011804994</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C67"/>
  <sheetViews>
    <sheetView showGridLines="0" topLeftCell="A36" zoomScale="123" zoomScaleNormal="70" workbookViewId="0">
      <selection activeCell="B48" sqref="B48:F48"/>
    </sheetView>
  </sheetViews>
  <sheetFormatPr defaultColWidth="9.1328125" defaultRowHeight="12.75" customHeight="1" x14ac:dyDescent="0.35"/>
  <cols>
    <col min="1" max="1" width="9.1328125" style="619"/>
    <col min="2" max="2" width="17.73046875" style="619" customWidth="1"/>
    <col min="3" max="4" width="12.73046875" style="619" customWidth="1"/>
    <col min="5" max="5" width="13.3984375" style="619" customWidth="1"/>
    <col min="6" max="6" width="12.86328125" style="619" customWidth="1"/>
    <col min="7" max="8" width="14.1328125" style="619" customWidth="1"/>
    <col min="9" max="10" width="11.265625" style="619" bestFit="1" customWidth="1"/>
    <col min="11" max="11" width="11.73046875" style="619" bestFit="1" customWidth="1"/>
    <col min="12" max="12" width="11.265625" style="619" bestFit="1" customWidth="1"/>
    <col min="13" max="13" width="18.3984375" style="619" bestFit="1" customWidth="1"/>
    <col min="14" max="14" width="18.1328125" style="619" bestFit="1" customWidth="1"/>
    <col min="15" max="28" width="12.265625" style="619" bestFit="1" customWidth="1"/>
    <col min="29" max="16384" width="9.1328125" style="619"/>
  </cols>
  <sheetData>
    <row r="2" spans="1:28" s="618" customFormat="1" ht="15" customHeight="1" x14ac:dyDescent="0.35">
      <c r="A2" s="615"/>
      <c r="B2" s="616" t="s">
        <v>420</v>
      </c>
      <c r="C2" s="617"/>
      <c r="D2" s="615"/>
      <c r="E2" s="615"/>
      <c r="F2" s="615"/>
      <c r="G2" s="615"/>
      <c r="H2" s="615"/>
      <c r="I2" s="615"/>
      <c r="J2" s="615"/>
      <c r="K2" s="615"/>
      <c r="L2" s="615"/>
      <c r="M2" s="615"/>
      <c r="N2" s="615"/>
      <c r="O2" s="615"/>
      <c r="P2" s="615"/>
      <c r="Q2" s="615"/>
      <c r="R2" s="615"/>
      <c r="S2" s="615"/>
      <c r="T2" s="615"/>
      <c r="U2" s="615"/>
      <c r="V2" s="615"/>
      <c r="W2" s="615"/>
      <c r="X2" s="615"/>
      <c r="Y2" s="615"/>
      <c r="Z2" s="615"/>
      <c r="AA2" s="615"/>
      <c r="AB2" s="615"/>
    </row>
    <row r="3" spans="1:28" ht="12.75" customHeight="1" x14ac:dyDescent="0.35">
      <c r="C3" s="620"/>
    </row>
    <row r="4" spans="1:28" ht="13.15" x14ac:dyDescent="0.4">
      <c r="B4" s="619" t="s">
        <v>421</v>
      </c>
      <c r="F4" s="621"/>
      <c r="G4" s="622"/>
      <c r="H4" s="622"/>
    </row>
    <row r="5" spans="1:28" x14ac:dyDescent="0.35">
      <c r="B5" s="623"/>
      <c r="G5" s="624"/>
      <c r="H5" s="624"/>
    </row>
    <row r="6" spans="1:28" x14ac:dyDescent="0.35">
      <c r="B6" s="619" t="s">
        <v>422</v>
      </c>
    </row>
    <row r="8" spans="1:28" ht="13.15" x14ac:dyDescent="0.35">
      <c r="B8" s="622"/>
      <c r="C8" s="646">
        <v>2023</v>
      </c>
      <c r="D8" s="646">
        <f>C8-1</f>
        <v>2022</v>
      </c>
      <c r="E8" s="646">
        <f t="shared" ref="E8:G8" si="0">D8-1</f>
        <v>2021</v>
      </c>
      <c r="F8" s="646">
        <f t="shared" si="0"/>
        <v>2020</v>
      </c>
      <c r="G8" s="646">
        <f t="shared" si="0"/>
        <v>2019</v>
      </c>
      <c r="H8" s="646">
        <f t="shared" ref="H8" si="1">G8-1</f>
        <v>2018</v>
      </c>
      <c r="J8" s="646" t="s">
        <v>423</v>
      </c>
      <c r="K8" s="646" t="s">
        <v>424</v>
      </c>
      <c r="M8" s="641" t="s">
        <v>425</v>
      </c>
      <c r="N8" s="641" t="s">
        <v>426</v>
      </c>
    </row>
    <row r="9" spans="1:28" x14ac:dyDescent="0.35">
      <c r="B9" s="645" t="s">
        <v>427</v>
      </c>
      <c r="C9" s="297">
        <f>(Inputs!B6-Inputs!C6)/Inputs!C6</f>
        <v>0.26119189922125458</v>
      </c>
      <c r="D9" s="297">
        <f>(Inputs!C6-Inputs!D6)/Inputs!D6</f>
        <v>6.8566932646748208E-3</v>
      </c>
      <c r="E9" s="297">
        <f>(Inputs!D6-Inputs!E6)/Inputs!E6</f>
        <v>0.32037429966430353</v>
      </c>
      <c r="F9" s="297">
        <f>(Inputs!E6-Inputs!F6)/Inputs!F6</f>
        <v>7.3764144736500295E-2</v>
      </c>
      <c r="G9" s="297">
        <f>(Inputs!F6-Inputs!G6)/Inputs!G6</f>
        <v>-3.0427290134032076E-2</v>
      </c>
      <c r="H9" s="297">
        <f>(Inputs!G6-Inputs!H6)/Inputs!H6</f>
        <v>-1.9170688939964341E-2</v>
      </c>
      <c r="J9" s="627">
        <f>AVERAGE(C9:H9)</f>
        <v>0.1020981763021228</v>
      </c>
      <c r="K9" s="627">
        <f>AVERAGE(C9:E9)</f>
        <v>0.19614096405007764</v>
      </c>
      <c r="M9" s="642">
        <f>J9</f>
        <v>0.1020981763021228</v>
      </c>
      <c r="N9" s="642">
        <f>AVERAGE(D50:O50)</f>
        <v>0.11532194932956912</v>
      </c>
    </row>
    <row r="10" spans="1:28" ht="12.75" customHeight="1" x14ac:dyDescent="0.35">
      <c r="B10" s="645" t="s">
        <v>99</v>
      </c>
      <c r="C10" s="297">
        <f>Inputs!B8/Inputs!B6</f>
        <v>3.6453000958026269E-2</v>
      </c>
      <c r="D10" s="297">
        <f>Inputs!C8/Inputs!C6</f>
        <v>3.5008013095580978E-2</v>
      </c>
      <c r="E10" s="297">
        <f>Inputs!D8/Inputs!D6</f>
        <v>3.527297813051896E-2</v>
      </c>
      <c r="F10" s="297">
        <f>Inputs!E8/Inputs!E6</f>
        <v>5.0259613039118127E-2</v>
      </c>
      <c r="G10" s="297">
        <f>Inputs!F8/Inputs!F6</f>
        <v>4.5840015715507741E-2</v>
      </c>
      <c r="H10" s="297">
        <f>Inputs!G8/Inputs!G6</f>
        <v>5.5617252846921289E-2</v>
      </c>
      <c r="J10" s="627">
        <f>AVERAGE(C10:G10)</f>
        <v>4.0566724187750418E-2</v>
      </c>
      <c r="K10" s="627">
        <f>AVERAGE(C10:E10)</f>
        <v>3.5577997394708738E-2</v>
      </c>
      <c r="M10" s="642"/>
      <c r="N10" s="642">
        <f>J10</f>
        <v>4.0566724187750418E-2</v>
      </c>
    </row>
    <row r="13" spans="1:28" s="618" customFormat="1" ht="13.9" x14ac:dyDescent="0.35">
      <c r="A13" s="615"/>
      <c r="B13" s="617" t="s">
        <v>428</v>
      </c>
      <c r="C13" s="617"/>
      <c r="D13" s="615"/>
      <c r="E13" s="615"/>
      <c r="F13" s="615"/>
      <c r="G13" s="615"/>
      <c r="H13" s="615"/>
      <c r="I13" s="615"/>
      <c r="J13" s="615"/>
      <c r="K13" s="615"/>
      <c r="L13" s="615"/>
      <c r="M13" s="615"/>
      <c r="N13" s="615"/>
      <c r="O13" s="615"/>
      <c r="P13" s="615"/>
      <c r="Q13" s="615"/>
      <c r="R13" s="615"/>
      <c r="S13" s="615"/>
      <c r="T13" s="615"/>
      <c r="U13" s="615"/>
      <c r="V13" s="615"/>
      <c r="W13" s="615"/>
      <c r="X13" s="615"/>
      <c r="Y13" s="615"/>
      <c r="Z13" s="615"/>
      <c r="AA13" s="615"/>
      <c r="AB13" s="615"/>
    </row>
    <row r="14" spans="1:28" ht="13.9" x14ac:dyDescent="0.35">
      <c r="A14" s="643"/>
      <c r="B14" s="644"/>
      <c r="C14" s="644"/>
      <c r="D14" s="643"/>
      <c r="E14" s="643"/>
      <c r="F14" s="643"/>
      <c r="G14" s="643"/>
      <c r="H14" s="643"/>
      <c r="I14" s="643"/>
      <c r="J14" s="643"/>
      <c r="K14" s="643"/>
      <c r="L14" s="643"/>
      <c r="M14" s="643"/>
      <c r="N14" s="643"/>
      <c r="O14" s="643"/>
      <c r="P14" s="643"/>
      <c r="Q14" s="643"/>
      <c r="R14" s="643"/>
      <c r="S14" s="643"/>
      <c r="T14" s="643"/>
      <c r="U14" s="643"/>
      <c r="V14" s="643"/>
      <c r="W14" s="643"/>
      <c r="X14" s="643"/>
      <c r="Y14" s="643"/>
      <c r="Z14" s="643"/>
      <c r="AA14" s="643"/>
      <c r="AB14" s="643"/>
    </row>
    <row r="15" spans="1:28" ht="14.25" x14ac:dyDescent="0.45">
      <c r="C15" s="1105" t="s">
        <v>429</v>
      </c>
      <c r="D15" s="1105"/>
      <c r="E15" s="1105"/>
      <c r="F15" s="1105"/>
      <c r="G15" s="1105"/>
      <c r="H15" s="1105"/>
    </row>
    <row r="16" spans="1:28" ht="14.25" x14ac:dyDescent="0.45">
      <c r="B16" s="625"/>
      <c r="C16" s="640">
        <f>C8</f>
        <v>2023</v>
      </c>
      <c r="D16" s="640">
        <f>D8</f>
        <v>2022</v>
      </c>
      <c r="E16" s="640">
        <f>E8</f>
        <v>2021</v>
      </c>
      <c r="F16" s="640">
        <f>F8</f>
        <v>2020</v>
      </c>
      <c r="G16" s="640">
        <f>G8</f>
        <v>2019</v>
      </c>
      <c r="H16" s="640">
        <f t="shared" ref="H16:K16" si="2">H8</f>
        <v>2018</v>
      </c>
      <c r="I16" s="640"/>
      <c r="J16" s="640" t="str">
        <f t="shared" si="2"/>
        <v xml:space="preserve">6Y Average </v>
      </c>
      <c r="K16" s="640" t="str">
        <f t="shared" si="2"/>
        <v xml:space="preserve">3Y Average </v>
      </c>
      <c r="M16" s="641" t="s">
        <v>425</v>
      </c>
      <c r="N16" s="641" t="s">
        <v>426</v>
      </c>
      <c r="P16" s="672" t="s">
        <v>430</v>
      </c>
    </row>
    <row r="17" spans="2:29" ht="14.25" x14ac:dyDescent="0.35">
      <c r="B17" s="645" t="s">
        <v>395</v>
      </c>
      <c r="C17" s="626">
        <f>'Fin. Data'!B$17/'Fin. Data'!B$42</f>
        <v>0.18976040677429568</v>
      </c>
      <c r="D17" s="626">
        <f>'Fin. Data'!C$17/'Fin. Data'!C$42</f>
        <v>0.16574221887805424</v>
      </c>
      <c r="E17" s="626">
        <f>'Fin. Data'!D$17/'Fin. Data'!D$42</f>
        <v>0.15642542172198295</v>
      </c>
      <c r="F17" s="626">
        <f>'Fin. Data'!E$17/'Fin. Data'!E$42</f>
        <v>0.13742543152983028</v>
      </c>
      <c r="G17" s="626">
        <f>'Fin. Data'!F$17/'Fin. Data'!F$42</f>
        <v>0.13061272250397418</v>
      </c>
      <c r="H17" s="626">
        <f>'Fin. Data'!G$17/'Fin. Data'!G$42</f>
        <v>0.10484415430528726</v>
      </c>
      <c r="J17" s="627">
        <f>AVERAGE(C17:H17)</f>
        <v>0.14746839261890407</v>
      </c>
      <c r="K17" s="627">
        <f>AVERAGE(C17:E17)</f>
        <v>0.17064268245811096</v>
      </c>
      <c r="M17" s="642">
        <f>J17</f>
        <v>0.14746839261890407</v>
      </c>
      <c r="N17" s="642">
        <f>J17</f>
        <v>0.14746839261890407</v>
      </c>
      <c r="P17" s="671" t="s">
        <v>431</v>
      </c>
      <c r="AC17" s="628"/>
    </row>
    <row r="18" spans="2:29" ht="14.25" x14ac:dyDescent="0.35">
      <c r="B18" s="645" t="s">
        <v>396</v>
      </c>
      <c r="C18" s="626">
        <f>'Fin. Data'!B$17/'Fin. Data'!B$42</f>
        <v>0.18976040677429568</v>
      </c>
      <c r="D18" s="626">
        <f>'Fin. Data'!C$17/'Fin. Data'!C$42</f>
        <v>0.16574221887805424</v>
      </c>
      <c r="E18" s="626">
        <f>'Fin. Data'!D$17/'Fin. Data'!D$42</f>
        <v>0.15642542172198295</v>
      </c>
      <c r="F18" s="626">
        <f>'Fin. Data'!E$17/'Fin. Data'!E$42</f>
        <v>0.13742543152983028</v>
      </c>
      <c r="G18" s="626">
        <f>'Fin. Data'!F$17/'Fin. Data'!F$42</f>
        <v>0.13061272250397418</v>
      </c>
      <c r="H18" s="626">
        <f>'Fin. Data'!G$17/'Fin. Data'!G$42</f>
        <v>0.10484415430528726</v>
      </c>
      <c r="J18" s="627">
        <f t="shared" ref="J18:J31" si="3">AVERAGE(C18:H18)</f>
        <v>0.14746839261890407</v>
      </c>
      <c r="K18" s="627">
        <f t="shared" ref="K18:K31" si="4">AVERAGE(C18:E18)</f>
        <v>0.17064268245811096</v>
      </c>
      <c r="M18" s="642"/>
      <c r="N18" s="642"/>
      <c r="P18" s="671" t="s">
        <v>432</v>
      </c>
    </row>
    <row r="19" spans="2:29" ht="14.25" x14ac:dyDescent="0.35">
      <c r="B19" s="645" t="s">
        <v>397</v>
      </c>
      <c r="C19" s="626"/>
      <c r="D19" s="626"/>
      <c r="E19" s="626"/>
      <c r="F19" s="626"/>
      <c r="G19" s="626"/>
      <c r="H19" s="626"/>
      <c r="J19" s="627" t="e">
        <f t="shared" si="3"/>
        <v>#DIV/0!</v>
      </c>
      <c r="K19" s="627" t="e">
        <f t="shared" si="4"/>
        <v>#DIV/0!</v>
      </c>
      <c r="M19" s="642"/>
      <c r="N19" s="642"/>
      <c r="P19" s="671" t="s">
        <v>433</v>
      </c>
    </row>
    <row r="20" spans="2:29" ht="12.75" customHeight="1" x14ac:dyDescent="0.35">
      <c r="B20" s="645" t="s">
        <v>398</v>
      </c>
      <c r="C20" s="626">
        <f>'Fin. Data'!B21/('Fin. Data'!B21+'Fin. Data'!B23)</f>
        <v>-0.12880200630184555</v>
      </c>
      <c r="D20" s="626">
        <f>'Fin. Data'!C21/('Fin. Data'!C21+'Fin. Data'!C23)</f>
        <v>-7.1794406337927733E-2</v>
      </c>
      <c r="E20" s="626">
        <f>'Fin. Data'!D21/('Fin. Data'!D21+'Fin. Data'!D23)</f>
        <v>-0.12683866644329034</v>
      </c>
      <c r="F20" s="626">
        <f>'Fin. Data'!E21/('Fin. Data'!E21+'Fin. Data'!E23)</f>
        <v>-0.19227605220446006</v>
      </c>
      <c r="G20" s="626">
        <f>'Fin. Data'!F21/('Fin. Data'!F21+'Fin. Data'!F23)</f>
        <v>-0.14509434442718547</v>
      </c>
      <c r="H20" s="626">
        <f>'Fin. Data'!G21/('Fin. Data'!G21+'Fin. Data'!G23)</f>
        <v>-0.30905754292465876</v>
      </c>
      <c r="J20" s="627">
        <f t="shared" si="3"/>
        <v>-0.16231050310656134</v>
      </c>
      <c r="K20" s="627">
        <f t="shared" si="4"/>
        <v>-0.10914502636102121</v>
      </c>
      <c r="M20" s="642">
        <f>7.7%</f>
        <v>7.6999999999999999E-2</v>
      </c>
      <c r="N20" s="642">
        <v>0.1</v>
      </c>
      <c r="P20" s="671" t="s">
        <v>434</v>
      </c>
    </row>
    <row r="21" spans="2:29" ht="14.25" x14ac:dyDescent="0.35">
      <c r="B21" s="645" t="s">
        <v>399</v>
      </c>
      <c r="C21" s="629"/>
      <c r="D21" s="629"/>
      <c r="E21" s="629"/>
      <c r="F21" s="629"/>
      <c r="G21" s="629"/>
      <c r="H21" s="629"/>
      <c r="J21" s="627" t="e">
        <f t="shared" si="3"/>
        <v>#DIV/0!</v>
      </c>
      <c r="K21" s="627" t="e">
        <f t="shared" si="4"/>
        <v>#DIV/0!</v>
      </c>
      <c r="M21" s="642">
        <f>3.5%</f>
        <v>3.5000000000000003E-2</v>
      </c>
      <c r="N21" s="642">
        <v>3.6999999999999998E-2</v>
      </c>
      <c r="P21" s="671" t="s">
        <v>435</v>
      </c>
    </row>
    <row r="22" spans="2:29" ht="14.25" x14ac:dyDescent="0.35">
      <c r="B22" s="645" t="s">
        <v>400</v>
      </c>
      <c r="C22" s="795">
        <v>0.05</v>
      </c>
      <c r="D22" s="795">
        <f>'Fin. Data'!C14/'Fin. Data'!C39</f>
        <v>0.11150274671648866</v>
      </c>
      <c r="E22" s="795">
        <f>'Fin. Data'!D14/'Fin. Data'!D39</f>
        <v>6.3726273845456399E-2</v>
      </c>
      <c r="F22" s="795">
        <f>'Fin. Data'!E14/'Fin. Data'!E39</f>
        <v>3.5953081419783747E-2</v>
      </c>
      <c r="G22" s="795">
        <f>'Fin. Data'!F14/'Fin. Data'!F39</f>
        <v>3.1988950788368664E-2</v>
      </c>
      <c r="H22" s="795">
        <f>'Fin. Data'!G14/'Fin. Data'!G39</f>
        <v>8.7170109986081171E-2</v>
      </c>
      <c r="J22" s="627">
        <f t="shared" si="3"/>
        <v>6.3390193792696434E-2</v>
      </c>
      <c r="K22" s="627">
        <f t="shared" si="4"/>
        <v>7.507634018731503E-2</v>
      </c>
      <c r="M22" s="796">
        <v>0.15</v>
      </c>
      <c r="N22" s="796">
        <v>0.1</v>
      </c>
      <c r="P22" s="671" t="s">
        <v>436</v>
      </c>
    </row>
    <row r="23" spans="2:29" ht="14.25" x14ac:dyDescent="0.35">
      <c r="B23" s="645" t="s">
        <v>401</v>
      </c>
      <c r="C23" s="774">
        <f>Inputs!B33/Inputs!C33-1</f>
        <v>2.7870702715893536E-2</v>
      </c>
      <c r="D23" s="774">
        <f>Inputs!C33/Inputs!D33-1</f>
        <v>0.11698614656418349</v>
      </c>
      <c r="E23" s="774">
        <f>Inputs!D33/Inputs!E33-1</f>
        <v>1.692336122612792E-2</v>
      </c>
      <c r="F23" s="774">
        <f>Inputs!E33/Inputs!F33-1</f>
        <v>-1.1590041867991618E-2</v>
      </c>
      <c r="G23" s="774">
        <f>Inputs!F33/Inputs!G33-1</f>
        <v>-3.445662747216105E-2</v>
      </c>
      <c r="H23" s="774">
        <f>Inputs!G33/Inputs!H33-1</f>
        <v>1.778717651711248E-2</v>
      </c>
      <c r="J23" s="627">
        <f t="shared" si="3"/>
        <v>2.2253452947194125E-2</v>
      </c>
      <c r="K23" s="627">
        <f t="shared" si="4"/>
        <v>5.3926736835401647E-2</v>
      </c>
      <c r="M23" s="642"/>
      <c r="N23" s="642"/>
      <c r="P23" s="671" t="s">
        <v>437</v>
      </c>
    </row>
    <row r="24" spans="2:29" ht="14.25" x14ac:dyDescent="0.35">
      <c r="B24" s="645" t="s">
        <v>402</v>
      </c>
      <c r="C24" s="797">
        <f>Inputs!B27-Inputs!B42</f>
        <v>7748.6999999999971</v>
      </c>
      <c r="D24" s="797">
        <f>Inputs!C27-Inputs!C42</f>
        <v>11878.699999999997</v>
      </c>
      <c r="E24" s="797">
        <f>Inputs!D27-Inputs!D42</f>
        <v>12768.600000000006</v>
      </c>
      <c r="F24" s="797">
        <f>Inputs!E27-Inputs!E42</f>
        <v>18233.300000000003</v>
      </c>
      <c r="G24" s="797">
        <f>Inputs!F27-Inputs!F42</f>
        <v>13902.399999999994</v>
      </c>
      <c r="H24" s="797">
        <f>Inputs!G27-Inputs!G42</f>
        <v>11746.900000000001</v>
      </c>
      <c r="J24" s="798">
        <f t="shared" si="3"/>
        <v>12713.1</v>
      </c>
      <c r="K24" s="798">
        <f t="shared" si="4"/>
        <v>10798.666666666666</v>
      </c>
      <c r="M24" s="642"/>
      <c r="N24" s="642"/>
      <c r="P24" s="671" t="s">
        <v>438</v>
      </c>
    </row>
    <row r="25" spans="2:29" ht="14.25" x14ac:dyDescent="0.35">
      <c r="B25" s="645" t="s">
        <v>403</v>
      </c>
      <c r="C25" s="626"/>
      <c r="D25" s="626"/>
      <c r="E25" s="626"/>
      <c r="F25" s="626"/>
      <c r="G25" s="626"/>
      <c r="H25" s="626"/>
      <c r="J25" s="627" t="e">
        <f t="shared" si="3"/>
        <v>#DIV/0!</v>
      </c>
      <c r="K25" s="627" t="e">
        <f t="shared" si="4"/>
        <v>#DIV/0!</v>
      </c>
      <c r="M25" s="642" t="s">
        <v>439</v>
      </c>
      <c r="N25" s="642" t="s">
        <v>439</v>
      </c>
      <c r="P25" s="671" t="s">
        <v>440</v>
      </c>
    </row>
    <row r="26" spans="2:29" ht="12.75" customHeight="1" x14ac:dyDescent="0.35">
      <c r="B26" s="645" t="s">
        <v>441</v>
      </c>
      <c r="C26" s="626">
        <f>Inputs!B65/Inputs!B6</f>
        <v>-9.3694968063208386E-2</v>
      </c>
      <c r="D26" s="626">
        <f>Inputs!C65/Inputs!C6</f>
        <v>-0.11547474669025529</v>
      </c>
      <c r="E26" s="626">
        <f>Inputs!D65/Inputs!D6</f>
        <v>-9.1441130694176948E-2</v>
      </c>
      <c r="F26" s="626">
        <f>Inputs!E65/Inputs!E6</f>
        <v>-7.5308108987141312E-2</v>
      </c>
      <c r="G26" s="626">
        <f>Inputs!F65/Inputs!F6</f>
        <v>-7.0523340958957792E-2</v>
      </c>
      <c r="H26" s="626">
        <f>Inputs!G65/Inputs!G6</f>
        <v>-6.2951728307971383E-2</v>
      </c>
      <c r="J26" s="627">
        <f t="shared" si="3"/>
        <v>-8.4899003950285171E-2</v>
      </c>
      <c r="K26" s="627">
        <f t="shared" si="4"/>
        <v>-0.10020361514921354</v>
      </c>
      <c r="M26" s="642">
        <f>C26</f>
        <v>-9.3694968063208386E-2</v>
      </c>
      <c r="N26" s="642">
        <f>J26</f>
        <v>-8.4899003950285171E-2</v>
      </c>
      <c r="P26" s="671" t="s">
        <v>433</v>
      </c>
    </row>
    <row r="27" spans="2:29" ht="14.25" x14ac:dyDescent="0.35">
      <c r="B27" s="645" t="s">
        <v>405</v>
      </c>
      <c r="C27" s="626">
        <f>Inputs!B66/Inputs!B6</f>
        <v>0</v>
      </c>
      <c r="D27" s="626">
        <f>Inputs!C66/Inputs!C6</f>
        <v>0</v>
      </c>
      <c r="E27" s="626">
        <f>Inputs!D66/Inputs!D6</f>
        <v>0</v>
      </c>
      <c r="F27" s="626">
        <f>Inputs!E66/Inputs!E6</f>
        <v>0</v>
      </c>
      <c r="G27" s="626">
        <f>Inputs!F66/Inputs!F6</f>
        <v>-5.0080708278808908E-2</v>
      </c>
      <c r="H27" s="626">
        <f>Inputs!G66/Inputs!G6</f>
        <v>6.9636198730222711E-4</v>
      </c>
      <c r="J27" s="627">
        <f t="shared" si="3"/>
        <v>-8.2307243819177804E-3</v>
      </c>
      <c r="K27" s="627">
        <f t="shared" si="4"/>
        <v>0</v>
      </c>
      <c r="M27" s="642">
        <f>K27</f>
        <v>0</v>
      </c>
      <c r="N27" s="642">
        <f>J27*0.1</f>
        <v>-8.2307243819177811E-4</v>
      </c>
      <c r="P27" s="671" t="s">
        <v>433</v>
      </c>
    </row>
    <row r="28" spans="2:29" ht="14.25" x14ac:dyDescent="0.35">
      <c r="B28" s="645" t="s">
        <v>109</v>
      </c>
      <c r="C28" s="626">
        <f>Inputs!B73/Inputs!B6</f>
        <v>-3.7041297120206608E-3</v>
      </c>
      <c r="D28" s="626">
        <f>Inputs!C73/Inputs!C6</f>
        <v>-4.6716183864652155E-3</v>
      </c>
      <c r="E28" s="626">
        <f>Inputs!D73/Inputs!D6</f>
        <v>-3.9134282029871403E-2</v>
      </c>
      <c r="F28" s="626">
        <f>Inputs!E73/Inputs!E6</f>
        <v>-2.2203593927261886E-2</v>
      </c>
      <c r="G28" s="626">
        <f>Inputs!F73/Inputs!F6</f>
        <v>-2.7511493004416351E-2</v>
      </c>
      <c r="H28" s="626">
        <f>Inputs!G73/Inputs!G6</f>
        <v>-1.5636400282172728E-2</v>
      </c>
      <c r="J28" s="627">
        <f t="shared" si="3"/>
        <v>-1.8810252890368039E-2</v>
      </c>
      <c r="K28" s="627">
        <f t="shared" si="4"/>
        <v>-1.5836676709452425E-2</v>
      </c>
      <c r="M28" s="642">
        <f>-D28</f>
        <v>4.6716183864652155E-3</v>
      </c>
      <c r="N28" s="642">
        <f>C28</f>
        <v>-3.7041297120206608E-3</v>
      </c>
      <c r="P28" s="671" t="s">
        <v>442</v>
      </c>
    </row>
    <row r="29" spans="2:29" ht="14.25" x14ac:dyDescent="0.35">
      <c r="B29" s="645" t="s">
        <v>406</v>
      </c>
      <c r="C29" s="626">
        <f>Inputs!B74/Inputs!B60</f>
        <v>-9.7071892446166111E-2</v>
      </c>
      <c r="D29" s="626">
        <f>Inputs!C74/Inputs!C60</f>
        <v>-4.3225260101621102E-2</v>
      </c>
      <c r="E29" s="626">
        <f>Inputs!D74/Inputs!D60</f>
        <v>-0.12002497732712863</v>
      </c>
      <c r="F29" s="626">
        <f>Inputs!E74/Inputs!E60</f>
        <v>-4.0186480186480189E-2</v>
      </c>
      <c r="G29" s="626">
        <f>Inputs!F74/Inputs!F60</f>
        <v>-4.4475082834841782E-3</v>
      </c>
      <c r="H29" s="626">
        <f>Inputs!G74/Inputs!G60</f>
        <v>0</v>
      </c>
      <c r="J29" s="627">
        <f t="shared" si="3"/>
        <v>-5.0826019724146708E-2</v>
      </c>
      <c r="K29" s="627">
        <f t="shared" si="4"/>
        <v>-8.6774043291638625E-2</v>
      </c>
      <c r="M29" s="642">
        <f>-K29</f>
        <v>8.6774043291638625E-2</v>
      </c>
      <c r="N29" s="642">
        <f>-J29</f>
        <v>5.0826019724146708E-2</v>
      </c>
      <c r="P29" s="671" t="s">
        <v>442</v>
      </c>
    </row>
    <row r="30" spans="2:29" ht="14.25" x14ac:dyDescent="0.35">
      <c r="B30" s="645" t="s">
        <v>407</v>
      </c>
      <c r="C30" s="626">
        <v>0</v>
      </c>
      <c r="D30" s="626">
        <v>0</v>
      </c>
      <c r="E30" s="626">
        <v>0</v>
      </c>
      <c r="F30" s="626">
        <v>0</v>
      </c>
      <c r="G30" s="626">
        <v>0</v>
      </c>
      <c r="H30" s="626">
        <v>0</v>
      </c>
      <c r="J30" s="627">
        <f t="shared" si="3"/>
        <v>0</v>
      </c>
      <c r="K30" s="627">
        <f t="shared" si="4"/>
        <v>0</v>
      </c>
      <c r="M30" s="642"/>
      <c r="N30" s="642"/>
      <c r="P30" s="671" t="s">
        <v>433</v>
      </c>
    </row>
    <row r="31" spans="2:29" ht="14.25" x14ac:dyDescent="0.35">
      <c r="B31" s="645" t="s">
        <v>256</v>
      </c>
      <c r="C31" s="675">
        <f>'Fin. Data'!B58/'Fin. Data'!B19</f>
        <v>4.141039297126885</v>
      </c>
      <c r="D31" s="675">
        <f>'Fin. Data'!C58/'Fin. Data'!C19</f>
        <v>5.371975254087495</v>
      </c>
      <c r="E31" s="675">
        <f>'Fin. Data'!D58/'Fin. Data'!D19</f>
        <v>4.678573850699995</v>
      </c>
      <c r="F31" s="675">
        <f>'Fin. Data'!E58/'Fin. Data'!E19</f>
        <v>3.8934844648096805</v>
      </c>
      <c r="G31" s="675">
        <f>'Fin. Data'!F58/'Fin. Data'!F19</f>
        <v>1.95778551315877</v>
      </c>
      <c r="H31" s="675">
        <f>'Fin. Data'!G58/'Fin. Data'!G19</f>
        <v>2.0464545066211022</v>
      </c>
      <c r="J31" s="627">
        <f t="shared" si="3"/>
        <v>3.6815521477506543</v>
      </c>
      <c r="K31" s="627">
        <f t="shared" si="4"/>
        <v>4.7305294673047911</v>
      </c>
      <c r="M31" s="794">
        <f>K31</f>
        <v>4.7305294673047911</v>
      </c>
      <c r="N31" s="778">
        <f>J31</f>
        <v>3.6815521477506543</v>
      </c>
      <c r="P31" s="671" t="s">
        <v>443</v>
      </c>
    </row>
    <row r="34" spans="2:15" s="618" customFormat="1" ht="13.9" x14ac:dyDescent="0.4">
      <c r="B34" s="630" t="s">
        <v>444</v>
      </c>
    </row>
    <row r="37" spans="2:15" ht="12.75" customHeight="1" x14ac:dyDescent="0.4">
      <c r="B37" s="49" t="s">
        <v>97</v>
      </c>
      <c r="C37" s="364">
        <v>2023</v>
      </c>
      <c r="D37" s="364">
        <f>C37-1</f>
        <v>2022</v>
      </c>
      <c r="E37" s="364">
        <f t="shared" ref="E37:N37" si="5">D37-1</f>
        <v>2021</v>
      </c>
      <c r="F37" s="364">
        <f t="shared" si="5"/>
        <v>2020</v>
      </c>
      <c r="G37" s="364">
        <f t="shared" si="5"/>
        <v>2019</v>
      </c>
      <c r="H37" s="364">
        <f t="shared" si="5"/>
        <v>2018</v>
      </c>
      <c r="I37" s="364">
        <f t="shared" si="5"/>
        <v>2017</v>
      </c>
      <c r="J37" s="364">
        <f t="shared" si="5"/>
        <v>2016</v>
      </c>
      <c r="K37" s="364">
        <f t="shared" si="5"/>
        <v>2015</v>
      </c>
      <c r="L37" s="364">
        <f t="shared" si="5"/>
        <v>2014</v>
      </c>
      <c r="M37" s="364">
        <f t="shared" si="5"/>
        <v>2013</v>
      </c>
      <c r="N37" s="364">
        <f t="shared" si="5"/>
        <v>2012</v>
      </c>
    </row>
    <row r="38" spans="2:15" ht="12.75" customHeight="1" x14ac:dyDescent="0.35">
      <c r="B38" s="25" t="s">
        <v>98</v>
      </c>
      <c r="C38" s="278">
        <v>173212.07675797</v>
      </c>
      <c r="D38" s="278">
        <v>137339.98518776</v>
      </c>
      <c r="E38" s="278">
        <v>136404.70000000001</v>
      </c>
      <c r="F38" s="278">
        <v>103307.6</v>
      </c>
      <c r="G38" s="278">
        <v>96210.7</v>
      </c>
      <c r="H38" s="278">
        <v>99230</v>
      </c>
      <c r="I38" s="365">
        <v>101169.48880000001</v>
      </c>
      <c r="J38" s="278">
        <v>98615.702400000009</v>
      </c>
      <c r="K38" s="278">
        <v>76033.142500000002</v>
      </c>
      <c r="L38" s="278">
        <v>62599.104200000002</v>
      </c>
      <c r="M38" s="278">
        <v>56784.314299999998</v>
      </c>
      <c r="N38" s="278">
        <v>43159.9666</v>
      </c>
    </row>
    <row r="39" spans="2:15" ht="12.75" customHeight="1" x14ac:dyDescent="0.35">
      <c r="B39" s="101" t="s">
        <v>44</v>
      </c>
      <c r="C39" s="278">
        <v>7673</v>
      </c>
      <c r="D39" s="278">
        <v>6520.1</v>
      </c>
      <c r="E39" s="278">
        <v>5509.1</v>
      </c>
      <c r="F39" s="278">
        <v>4759.3999999999996</v>
      </c>
      <c r="G39" s="278">
        <v>4576.5</v>
      </c>
      <c r="H39" s="278">
        <v>3804.7</v>
      </c>
      <c r="I39" s="278">
        <v>3188.5</v>
      </c>
      <c r="J39" s="278">
        <v>2551.9</v>
      </c>
      <c r="K39" s="278">
        <v>1980.9</v>
      </c>
      <c r="L39" s="278">
        <v>1683.8</v>
      </c>
      <c r="M39" s="278">
        <v>1164.5</v>
      </c>
      <c r="N39" s="278">
        <v>949.2</v>
      </c>
    </row>
    <row r="40" spans="2:15" ht="12.75" customHeight="1" x14ac:dyDescent="0.35">
      <c r="C40" s="772">
        <f>Inputs!B27-Inputs!B42</f>
        <v>7748.6999999999971</v>
      </c>
      <c r="D40" s="772">
        <f>Inputs!C27-Inputs!C42</f>
        <v>11878.699999999997</v>
      </c>
      <c r="E40" s="772">
        <f>Inputs!D27-Inputs!D42</f>
        <v>12768.600000000006</v>
      </c>
      <c r="F40" s="772">
        <f>Inputs!E27-Inputs!E42</f>
        <v>18233.300000000003</v>
      </c>
      <c r="G40" s="772">
        <f>Inputs!F27-Inputs!F42</f>
        <v>13902.399999999994</v>
      </c>
      <c r="H40" s="772">
        <f>Inputs!G27-Inputs!G42</f>
        <v>11746.900000000001</v>
      </c>
      <c r="I40" s="772">
        <f>Inputs!H27-Inputs!H42</f>
        <v>10412.100000000006</v>
      </c>
      <c r="J40" s="772">
        <f>Inputs!I27-Inputs!I42</f>
        <v>10675.800000000003</v>
      </c>
      <c r="K40" s="772">
        <f>Inputs!J27-Inputs!J42</f>
        <v>8603.5999999999985</v>
      </c>
      <c r="L40" s="772">
        <f>Inputs!K27-Inputs!K42</f>
        <v>9168.9999999999964</v>
      </c>
      <c r="M40" s="772">
        <f>Inputs!L27-Inputs!L42</f>
        <v>8186.7000000000007</v>
      </c>
      <c r="N40" s="772">
        <f>Inputs!M27-Inputs!M42</f>
        <v>6528.5</v>
      </c>
    </row>
    <row r="47" spans="2:15" ht="12.75" customHeight="1" x14ac:dyDescent="0.35">
      <c r="B47" s="619" t="s">
        <v>848</v>
      </c>
      <c r="C47" s="798">
        <f>N40</f>
        <v>6528.5</v>
      </c>
      <c r="D47" s="772">
        <f>M40</f>
        <v>8186.7000000000007</v>
      </c>
      <c r="E47" s="772">
        <f>L40</f>
        <v>9168.9999999999964</v>
      </c>
      <c r="F47" s="772">
        <f>K40</f>
        <v>8603.5999999999985</v>
      </c>
      <c r="G47" s="772">
        <f>J40</f>
        <v>10675.800000000003</v>
      </c>
      <c r="H47" s="772">
        <f>I40</f>
        <v>10412.100000000006</v>
      </c>
      <c r="I47" s="772">
        <f>H40</f>
        <v>11746.900000000001</v>
      </c>
      <c r="J47" s="772">
        <f>G40</f>
        <v>13902.399999999994</v>
      </c>
      <c r="K47" s="772">
        <f>F40</f>
        <v>18233.300000000003</v>
      </c>
      <c r="L47" s="772">
        <f>E40</f>
        <v>12768.600000000006</v>
      </c>
      <c r="M47" s="772">
        <f>D40</f>
        <v>11878.699999999997</v>
      </c>
    </row>
    <row r="48" spans="2:15" ht="12.75" customHeight="1" x14ac:dyDescent="0.35">
      <c r="B48" s="619" t="s">
        <v>97</v>
      </c>
      <c r="C48" s="619">
        <f>N37</f>
        <v>2012</v>
      </c>
      <c r="D48" s="619">
        <v>2013</v>
      </c>
      <c r="E48" s="619">
        <f t="shared" ref="E48:N48" si="6">D$48+1</f>
        <v>2014</v>
      </c>
      <c r="F48" s="619">
        <f t="shared" si="6"/>
        <v>2015</v>
      </c>
      <c r="G48" s="619">
        <f t="shared" si="6"/>
        <v>2016</v>
      </c>
      <c r="H48" s="619">
        <f t="shared" si="6"/>
        <v>2017</v>
      </c>
      <c r="I48" s="619">
        <f t="shared" si="6"/>
        <v>2018</v>
      </c>
      <c r="J48" s="619">
        <f t="shared" si="6"/>
        <v>2019</v>
      </c>
      <c r="K48" s="619">
        <f t="shared" si="6"/>
        <v>2020</v>
      </c>
      <c r="L48" s="619">
        <f t="shared" si="6"/>
        <v>2021</v>
      </c>
      <c r="M48" s="619">
        <f t="shared" si="6"/>
        <v>2022</v>
      </c>
      <c r="N48" s="619">
        <f t="shared" si="6"/>
        <v>2023</v>
      </c>
      <c r="O48" s="619">
        <v>2024</v>
      </c>
    </row>
    <row r="49" spans="2:16" ht="12.75" customHeight="1" x14ac:dyDescent="0.35">
      <c r="B49" s="619" t="s">
        <v>98</v>
      </c>
      <c r="C49" s="772">
        <f>N38</f>
        <v>43159.9666</v>
      </c>
      <c r="D49" s="772">
        <f>M38</f>
        <v>56784.314299999998</v>
      </c>
      <c r="E49" s="772">
        <f>L38</f>
        <v>62599.104200000002</v>
      </c>
      <c r="F49" s="772">
        <f>K38</f>
        <v>76033.142500000002</v>
      </c>
      <c r="G49" s="772">
        <f>J38</f>
        <v>98615.702400000009</v>
      </c>
      <c r="H49" s="772">
        <f>I38</f>
        <v>101169.48880000001</v>
      </c>
      <c r="I49" s="772">
        <f>H38</f>
        <v>99230</v>
      </c>
      <c r="J49" s="772">
        <f>G38</f>
        <v>96210.7</v>
      </c>
      <c r="K49" s="772">
        <f>F38</f>
        <v>103307.6</v>
      </c>
      <c r="L49" s="772">
        <f>E38</f>
        <v>136404.70000000001</v>
      </c>
      <c r="M49" s="772">
        <f>D38</f>
        <v>137339.98518776</v>
      </c>
      <c r="N49" s="772">
        <f>C38</f>
        <v>173212.07675797</v>
      </c>
      <c r="O49" s="619">
        <v>202777</v>
      </c>
    </row>
    <row r="50" spans="2:16" ht="12.75" customHeight="1" x14ac:dyDescent="0.35">
      <c r="D50" s="1121">
        <f>(D$49-C$49)/D$49</f>
        <v>0.23993153510704626</v>
      </c>
      <c r="E50" s="1121">
        <f t="shared" ref="E50:O50" si="7">(E$49-D$49)/E$49</f>
        <v>9.2889346809534742E-2</v>
      </c>
      <c r="F50" s="1121">
        <f t="shared" si="7"/>
        <v>0.1766866113681938</v>
      </c>
      <c r="G50" s="1121">
        <f t="shared" si="7"/>
        <v>0.22899557930847333</v>
      </c>
      <c r="H50" s="1121">
        <f t="shared" si="7"/>
        <v>2.5242653988778452E-2</v>
      </c>
      <c r="I50" s="1121">
        <f t="shared" si="7"/>
        <v>-1.9545387483623968E-2</v>
      </c>
      <c r="J50" s="1121">
        <f t="shared" si="7"/>
        <v>-3.1382164353860882E-2</v>
      </c>
      <c r="K50" s="1121">
        <f t="shared" si="7"/>
        <v>6.8696785134878827E-2</v>
      </c>
      <c r="L50" s="1121">
        <f t="shared" si="7"/>
        <v>0.24263899997580732</v>
      </c>
      <c r="M50" s="1121">
        <f t="shared" si="7"/>
        <v>6.8099991891024609E-3</v>
      </c>
      <c r="N50" s="1121">
        <f t="shared" si="7"/>
        <v>0.20709925220938397</v>
      </c>
      <c r="O50" s="1121">
        <f t="shared" si="7"/>
        <v>0.145800180701115</v>
      </c>
    </row>
    <row r="51" spans="2:16" ht="12.75" customHeight="1" x14ac:dyDescent="0.35">
      <c r="B51" s="619" t="s">
        <v>445</v>
      </c>
      <c r="C51" s="619">
        <v>-32</v>
      </c>
      <c r="D51" s="619">
        <v>1954.4</v>
      </c>
      <c r="E51" s="619">
        <v>-1131.5</v>
      </c>
      <c r="F51" s="619">
        <v>4281.8999999999996</v>
      </c>
      <c r="G51" s="619">
        <v>450.4</v>
      </c>
      <c r="H51" s="619">
        <v>-6913.1</v>
      </c>
      <c r="I51" s="619">
        <v>12750.5</v>
      </c>
      <c r="J51" s="619">
        <v>6953</v>
      </c>
      <c r="K51" s="619" t="s">
        <v>446</v>
      </c>
      <c r="L51" s="619">
        <v>22236.6</v>
      </c>
      <c r="M51" s="619">
        <v>-4094.8</v>
      </c>
      <c r="N51" s="619">
        <v>-687.5</v>
      </c>
      <c r="O51" s="619">
        <v>17467</v>
      </c>
    </row>
    <row r="52" spans="2:16" ht="12.75" customHeight="1" x14ac:dyDescent="0.35">
      <c r="B52" s="619" t="s">
        <v>447</v>
      </c>
      <c r="D52" s="619">
        <f>(D49-C49)/C49</f>
        <v>0.31567095095944764</v>
      </c>
      <c r="E52" s="619">
        <f>(E49-D49)/D49</f>
        <v>0.10240134043495888</v>
      </c>
      <c r="F52" s="619">
        <f>(F49-E49)/E49</f>
        <v>0.21460432176599742</v>
      </c>
      <c r="G52" s="619">
        <f>(G49-F49)/F49</f>
        <v>0.29700942454140977</v>
      </c>
      <c r="H52" s="619">
        <f>(H49-G49)/G49</f>
        <v>2.5896346503130489E-2</v>
      </c>
      <c r="I52" s="619">
        <f>(I49-H49)/H49</f>
        <v>-1.9170688939964341E-2</v>
      </c>
      <c r="J52" s="619">
        <f>(J49-I49)/I49</f>
        <v>-3.0427290134032076E-2</v>
      </c>
      <c r="K52" s="619">
        <f>(K49-J49)/J49</f>
        <v>7.3764144736500295E-2</v>
      </c>
      <c r="L52" s="619">
        <f>(L49-K49)/K49</f>
        <v>0.32037429966430353</v>
      </c>
      <c r="M52" s="619">
        <f>(M49-L49)/L49</f>
        <v>6.8566932646748208E-3</v>
      </c>
      <c r="N52" s="619">
        <f>(N49-M49)/M49</f>
        <v>0.26119189922125458</v>
      </c>
      <c r="O52" s="619">
        <f>(O49-N49)/N49</f>
        <v>0.17068626966086892</v>
      </c>
      <c r="P52" s="627">
        <f>AVERAGE(D52:O52)</f>
        <v>0.14490480930654581</v>
      </c>
    </row>
    <row r="55" spans="2:16" ht="12.75" customHeight="1" x14ac:dyDescent="0.35">
      <c r="G55" s="619" t="s">
        <v>448</v>
      </c>
      <c r="I55" s="619" t="s">
        <v>449</v>
      </c>
    </row>
    <row r="65" spans="1:1" x14ac:dyDescent="0.35">
      <c r="A65" s="631"/>
    </row>
    <row r="66" spans="1:1" x14ac:dyDescent="0.35">
      <c r="A66" s="631"/>
    </row>
    <row r="67" spans="1:1" x14ac:dyDescent="0.35">
      <c r="A67" s="631"/>
    </row>
  </sheetData>
  <mergeCells count="1">
    <mergeCell ref="C15:H15"/>
  </mergeCells>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zoomScale="54" zoomScaleNormal="70" workbookViewId="0">
      <selection activeCell="W30" sqref="W30"/>
    </sheetView>
  </sheetViews>
  <sheetFormatPr defaultColWidth="11.3984375" defaultRowHeight="12.75" x14ac:dyDescent="0.35"/>
  <cols>
    <col min="1" max="1" width="36.1328125" style="10" customWidth="1"/>
    <col min="2" max="10" width="12.3984375" style="43" customWidth="1"/>
    <col min="11" max="12" width="12.3984375" style="50" customWidth="1"/>
    <col min="13" max="13" width="12.1328125" style="50" customWidth="1"/>
    <col min="14" max="19" width="11.3984375" style="42"/>
    <col min="20" max="20" width="18.9296875" style="42" bestFit="1" customWidth="1"/>
    <col min="21" max="16384" width="11.3984375" style="42"/>
  </cols>
  <sheetData>
    <row r="1" spans="1:25" ht="15" x14ac:dyDescent="0.4">
      <c r="A1" s="1107" t="e" vm="1">
        <f>Inputs!D3</f>
        <v>#VALUE!</v>
      </c>
      <c r="B1" s="1107"/>
      <c r="C1" s="1107"/>
      <c r="D1" s="1107"/>
      <c r="E1" s="1107"/>
      <c r="F1" s="1107"/>
      <c r="G1" s="1107"/>
      <c r="H1" s="770"/>
      <c r="I1" s="770"/>
      <c r="J1" s="770"/>
      <c r="K1" s="770"/>
      <c r="L1" s="770"/>
      <c r="M1" s="770"/>
    </row>
    <row r="2" spans="1:25" ht="12.75" customHeight="1" x14ac:dyDescent="0.35">
      <c r="A2" s="1106" t="str">
        <f>Inputs!C2</f>
        <v>Figures in Millions of USD</v>
      </c>
      <c r="B2" s="1106"/>
      <c r="C2" s="1106"/>
      <c r="D2" s="1106"/>
      <c r="E2" s="1106"/>
      <c r="F2" s="1106"/>
      <c r="G2" s="1106"/>
      <c r="K2" s="43"/>
      <c r="L2" s="43"/>
      <c r="M2" s="43"/>
    </row>
    <row r="3" spans="1:25" ht="20.65" x14ac:dyDescent="0.6">
      <c r="A3" s="1108" t="s">
        <v>450</v>
      </c>
      <c r="B3" s="1108"/>
      <c r="C3" s="1108"/>
      <c r="D3" s="1108"/>
      <c r="E3" s="1108"/>
      <c r="F3" s="1108"/>
      <c r="G3" s="1108"/>
      <c r="H3" s="769"/>
      <c r="I3" s="769"/>
      <c r="J3" s="769"/>
      <c r="K3" s="769"/>
      <c r="L3" s="769"/>
      <c r="M3" s="769"/>
    </row>
    <row r="4" spans="1:25" x14ac:dyDescent="0.35">
      <c r="A4" s="113"/>
      <c r="B4" s="53">
        <f>OP!J15</f>
        <v>2023</v>
      </c>
      <c r="C4" s="44">
        <f>B4-1</f>
        <v>2022</v>
      </c>
      <c r="D4" s="44">
        <f t="shared" ref="D4:M4" si="0">C4-1</f>
        <v>2021</v>
      </c>
      <c r="E4" s="44">
        <f t="shared" si="0"/>
        <v>2020</v>
      </c>
      <c r="F4" s="44">
        <f t="shared" si="0"/>
        <v>2019</v>
      </c>
      <c r="G4" s="44">
        <f t="shared" si="0"/>
        <v>2018</v>
      </c>
      <c r="H4" s="44">
        <f t="shared" si="0"/>
        <v>2017</v>
      </c>
      <c r="I4" s="44">
        <f t="shared" si="0"/>
        <v>2016</v>
      </c>
      <c r="J4" s="44">
        <f>I4-1</f>
        <v>2015</v>
      </c>
      <c r="K4" s="44">
        <f t="shared" si="0"/>
        <v>2014</v>
      </c>
      <c r="L4" s="44">
        <f t="shared" si="0"/>
        <v>2013</v>
      </c>
      <c r="M4" s="44">
        <f t="shared" si="0"/>
        <v>2012</v>
      </c>
      <c r="N4" s="42" t="s">
        <v>841</v>
      </c>
      <c r="O4" s="42" t="s">
        <v>842</v>
      </c>
      <c r="P4" s="42" t="s">
        <v>843</v>
      </c>
      <c r="Q4" s="42" t="s">
        <v>844</v>
      </c>
      <c r="R4" s="42" t="s">
        <v>845</v>
      </c>
      <c r="S4" s="42" t="s">
        <v>269</v>
      </c>
      <c r="T4" s="42" t="s">
        <v>846</v>
      </c>
    </row>
    <row r="5" spans="1:25" x14ac:dyDescent="0.35">
      <c r="A5" s="114" t="s">
        <v>98</v>
      </c>
      <c r="B5" s="54">
        <f>_xlfn.XLOOKUP($A5,Inputs!$A:$A,Inputs!B:B,,0)</f>
        <v>173212.07675797</v>
      </c>
      <c r="C5" s="54">
        <f>_xlfn.XLOOKUP($A5,Inputs!$A:$A,Inputs!C:C,,0)</f>
        <v>137339.98518776</v>
      </c>
      <c r="D5" s="54">
        <f>_xlfn.XLOOKUP($A5,Inputs!$A:$A,Inputs!D:D,,0)</f>
        <v>136404.70000000001</v>
      </c>
      <c r="E5" s="54">
        <f>_xlfn.XLOOKUP($A5,Inputs!$A:$A,Inputs!E:E,,0)</f>
        <v>103307.6</v>
      </c>
      <c r="F5" s="54">
        <f>_xlfn.XLOOKUP($A5,Inputs!$A:$A,Inputs!F:F,,0)</f>
        <v>96210.7</v>
      </c>
      <c r="G5" s="54">
        <f>_xlfn.XLOOKUP($A5,Inputs!$A:$A,Inputs!G:G,,0)</f>
        <v>99230</v>
      </c>
      <c r="H5" s="54">
        <f>_xlfn.XLOOKUP($A5,Inputs!$A:$A,Inputs!H:H,,0)</f>
        <v>101169.48880000001</v>
      </c>
      <c r="I5" s="54">
        <f>_xlfn.XLOOKUP($A5,Inputs!$A:$A,Inputs!I:I,,0)</f>
        <v>98615.702400000009</v>
      </c>
      <c r="J5" s="54">
        <f>_xlfn.XLOOKUP($A5,Inputs!$A:$A,Inputs!J:J,,0)</f>
        <v>76033.142500000002</v>
      </c>
      <c r="K5" s="54">
        <f>_xlfn.XLOOKUP($A5,Inputs!$A:$A,Inputs!K:K,,0)</f>
        <v>62599.104200000002</v>
      </c>
      <c r="L5" s="54">
        <f>_xlfn.XLOOKUP($A5,Inputs!$A:$A,Inputs!L:L,,0)</f>
        <v>56784.314299999998</v>
      </c>
      <c r="M5" s="55">
        <f>_xlfn.XLOOKUP($A5,Inputs!$A:$A,Inputs!M:M,,0)</f>
        <v>43159.9666</v>
      </c>
      <c r="N5" s="52">
        <f t="shared" ref="N5:N13" si="1">AVERAGE(B5:M5)</f>
        <v>98672.231728810832</v>
      </c>
      <c r="O5" s="52">
        <f>AVERAGE(B5:D5)</f>
        <v>148985.58731524335</v>
      </c>
      <c r="P5" s="52">
        <f>AVERAGE(B5:F5)</f>
        <v>129295.012389146</v>
      </c>
      <c r="Q5" s="52">
        <f>AVERAGE(B5:H5)</f>
        <v>120982.07867796144</v>
      </c>
      <c r="R5" s="52">
        <f>AVERAGE(B5:K5)</f>
        <v>108412.24998457302</v>
      </c>
      <c r="S5" s="788"/>
    </row>
    <row r="6" spans="1:25" ht="13.15" x14ac:dyDescent="0.4">
      <c r="A6" s="115" t="s">
        <v>451</v>
      </c>
      <c r="B6" s="56">
        <f t="shared" ref="B6:L6" si="2">IFERROR(B5/C5-1,"-")</f>
        <v>0.26119189922125452</v>
      </c>
      <c r="C6" s="56">
        <f t="shared" si="2"/>
        <v>6.8566932646747514E-3</v>
      </c>
      <c r="D6" s="56">
        <f t="shared" si="2"/>
        <v>0.32037429966430353</v>
      </c>
      <c r="E6" s="56">
        <f t="shared" si="2"/>
        <v>7.3764144736500281E-2</v>
      </c>
      <c r="F6" s="56">
        <f t="shared" si="2"/>
        <v>-3.0427290134032114E-2</v>
      </c>
      <c r="G6" s="56">
        <f t="shared" si="2"/>
        <v>-1.917068893996432E-2</v>
      </c>
      <c r="H6" s="56">
        <f t="shared" si="2"/>
        <v>2.5896346503130552E-2</v>
      </c>
      <c r="I6" s="56">
        <f t="shared" si="2"/>
        <v>0.29700942454140988</v>
      </c>
      <c r="J6" s="56">
        <f t="shared" si="2"/>
        <v>0.21460432176599742</v>
      </c>
      <c r="K6" s="56">
        <f t="shared" si="2"/>
        <v>0.10240134043495885</v>
      </c>
      <c r="L6" s="56">
        <f t="shared" si="2"/>
        <v>0.31567095095944775</v>
      </c>
      <c r="M6" s="57" t="str">
        <f>IFERROR(M5/#REF!-1,"-")</f>
        <v>-</v>
      </c>
      <c r="N6" s="289">
        <f t="shared" si="1"/>
        <v>0.14256104018342555</v>
      </c>
      <c r="O6" s="289">
        <f t="shared" ref="O6:O36" si="3">AVERAGE(B6:D6)</f>
        <v>0.19614096405007761</v>
      </c>
      <c r="P6" s="289">
        <f t="shared" ref="P6:P36" si="4">AVERAGE(B6:F6)</f>
        <v>0.1263519493505402</v>
      </c>
      <c r="Q6" s="289">
        <f t="shared" ref="Q6:Q36" si="5">AVERAGE(B6:H6)</f>
        <v>9.1212200616552455E-2</v>
      </c>
      <c r="R6" s="289">
        <f t="shared" ref="R6:R36" si="6">AVERAGE(B6:K6)</f>
        <v>0.12525004910582332</v>
      </c>
      <c r="S6" s="788"/>
    </row>
    <row r="7" spans="1:25" x14ac:dyDescent="0.35">
      <c r="A7" s="114" t="s">
        <v>452</v>
      </c>
      <c r="B7" s="54">
        <f>_xlfn.XLOOKUP($A7,Inputs!$A:$A,Inputs!B:B,,0)</f>
        <v>32438.9</v>
      </c>
      <c r="C7" s="54">
        <f>_xlfn.XLOOKUP($A7,Inputs!$A:$A,Inputs!C:C,,0)</f>
        <v>26600.7</v>
      </c>
      <c r="D7" s="54">
        <f>_xlfn.XLOOKUP($A7,Inputs!$A:$A,Inputs!D:D,,0)</f>
        <v>22037.200000000001</v>
      </c>
      <c r="E7" s="54">
        <f>_xlfn.XLOOKUP($A7,Inputs!$A:$A,Inputs!E:E,,0)</f>
        <v>17776.599999999999</v>
      </c>
      <c r="F7" s="54">
        <f>_xlfn.XLOOKUP($A7,Inputs!$A:$A,Inputs!F:F,,0)</f>
        <v>16187.6</v>
      </c>
      <c r="G7" s="54">
        <f>_xlfn.XLOOKUP($A7,Inputs!$A:$A,Inputs!G:G,,0)</f>
        <v>17366.099999999999</v>
      </c>
      <c r="H7" s="54">
        <f>_xlfn.XLOOKUP($A7,Inputs!$A:$A,Inputs!H:H,,0)</f>
        <v>19122.887416669997</v>
      </c>
      <c r="I7" s="54">
        <f>_xlfn.XLOOKUP($A7,Inputs!$A:$A,Inputs!I:I,,0)</f>
        <v>24238.35365415</v>
      </c>
      <c r="J7" s="54">
        <f>_xlfn.XLOOKUP($A7,Inputs!$A:$A,Inputs!J:J,,0)</f>
        <v>19162.21728347</v>
      </c>
      <c r="K7" s="54">
        <f>_xlfn.XLOOKUP($A7,Inputs!$A:$A,Inputs!K:K,,0)</f>
        <v>17339.011536279999</v>
      </c>
      <c r="L7" s="54">
        <f>_xlfn.XLOOKUP($A7,Inputs!$A:$A,Inputs!L:L,,0)</f>
        <v>16246.319682179999</v>
      </c>
      <c r="M7" s="55">
        <f>_xlfn.XLOOKUP($A7,Inputs!$A:$A,Inputs!M:M,,0)</f>
        <v>10003.700000000001</v>
      </c>
      <c r="N7" s="52">
        <f t="shared" si="1"/>
        <v>19876.632464395836</v>
      </c>
      <c r="O7" s="52">
        <f t="shared" si="3"/>
        <v>27025.600000000002</v>
      </c>
      <c r="P7" s="52">
        <f t="shared" si="4"/>
        <v>23008.2</v>
      </c>
      <c r="Q7" s="52">
        <f t="shared" si="5"/>
        <v>21647.141059524289</v>
      </c>
      <c r="R7" s="52">
        <f t="shared" si="6"/>
        <v>21226.956989057002</v>
      </c>
      <c r="S7" s="788"/>
    </row>
    <row r="8" spans="1:25" ht="13.15" x14ac:dyDescent="0.4">
      <c r="A8" s="115" t="s">
        <v>453</v>
      </c>
      <c r="B8" s="56">
        <f>IFERROR(B7/B$5,"-")</f>
        <v>0.18727851202504212</v>
      </c>
      <c r="C8" s="56">
        <f t="shared" ref="C8:M8" si="7">IFERROR(C7/C$5,"-")</f>
        <v>0.19368503617962168</v>
      </c>
      <c r="D8" s="56">
        <f t="shared" si="7"/>
        <v>0.16155748298995562</v>
      </c>
      <c r="E8" s="56">
        <f t="shared" si="7"/>
        <v>0.17207446499579893</v>
      </c>
      <c r="F8" s="56">
        <f t="shared" si="7"/>
        <v>0.16825155621983834</v>
      </c>
      <c r="G8" s="56">
        <f t="shared" si="7"/>
        <v>0.17500856595787562</v>
      </c>
      <c r="H8" s="56">
        <f t="shared" si="7"/>
        <v>0.18901832601401852</v>
      </c>
      <c r="I8" s="56">
        <f t="shared" si="7"/>
        <v>0.24578594548599997</v>
      </c>
      <c r="J8" s="56">
        <f t="shared" si="7"/>
        <v>0.25202453368897648</v>
      </c>
      <c r="K8" s="56">
        <f t="shared" si="7"/>
        <v>0.27698497858504495</v>
      </c>
      <c r="L8" s="56">
        <f t="shared" si="7"/>
        <v>0.28610576498904733</v>
      </c>
      <c r="M8" s="57">
        <f t="shared" si="7"/>
        <v>0.23178192172187642</v>
      </c>
      <c r="N8" s="289">
        <f t="shared" si="1"/>
        <v>0.21162975740442469</v>
      </c>
      <c r="O8" s="289">
        <f t="shared" si="3"/>
        <v>0.18084034373153982</v>
      </c>
      <c r="P8" s="289">
        <f t="shared" si="4"/>
        <v>0.17656941048205135</v>
      </c>
      <c r="Q8" s="289">
        <f t="shared" si="5"/>
        <v>0.17812484919745011</v>
      </c>
      <c r="R8" s="289">
        <f t="shared" si="6"/>
        <v>0.20216694021421727</v>
      </c>
      <c r="S8" s="790"/>
      <c r="T8" s="792">
        <f>(B8-L8)/L8</f>
        <v>-0.34542209580358685</v>
      </c>
    </row>
    <row r="9" spans="1:25" x14ac:dyDescent="0.35">
      <c r="A9" s="114" t="s">
        <v>454</v>
      </c>
      <c r="B9" s="54">
        <f t="shared" ref="B9:M9" si="8">B5-B11</f>
        <v>166897.97675797</v>
      </c>
      <c r="C9" s="54">
        <f t="shared" si="8"/>
        <v>132531.98518776</v>
      </c>
      <c r="D9" s="54">
        <f t="shared" si="8"/>
        <v>131593.30000000002</v>
      </c>
      <c r="E9" s="54">
        <f t="shared" si="8"/>
        <v>98115.400000000009</v>
      </c>
      <c r="F9" s="54">
        <f t="shared" si="8"/>
        <v>91800.4</v>
      </c>
      <c r="G9" s="54">
        <f t="shared" si="8"/>
        <v>93711.1</v>
      </c>
      <c r="H9" s="54">
        <f t="shared" si="8"/>
        <v>95300.988800000006</v>
      </c>
      <c r="I9" s="54">
        <f t="shared" si="8"/>
        <v>86389.202400000009</v>
      </c>
      <c r="J9" s="54">
        <f t="shared" si="8"/>
        <v>66711.442500000005</v>
      </c>
      <c r="K9" s="54">
        <f t="shared" si="8"/>
        <v>53516.604200000002</v>
      </c>
      <c r="L9" s="54">
        <f t="shared" si="8"/>
        <v>47259.314299999998</v>
      </c>
      <c r="M9" s="55">
        <f t="shared" si="8"/>
        <v>36621.166599999997</v>
      </c>
      <c r="N9" s="52">
        <f t="shared" si="1"/>
        <v>91704.073395477535</v>
      </c>
      <c r="O9" s="52">
        <f t="shared" si="3"/>
        <v>143674.42064857669</v>
      </c>
      <c r="P9" s="52">
        <f t="shared" si="4"/>
        <v>124187.81238914603</v>
      </c>
      <c r="Q9" s="52">
        <f t="shared" si="5"/>
        <v>115707.30724939003</v>
      </c>
      <c r="R9" s="52">
        <f t="shared" si="6"/>
        <v>101656.83998457303</v>
      </c>
      <c r="S9" s="788"/>
    </row>
    <row r="10" spans="1:25" ht="13.15" x14ac:dyDescent="0.4">
      <c r="A10" s="115" t="s">
        <v>453</v>
      </c>
      <c r="B10" s="56">
        <f>IFERROR(B9/B$5,"-")</f>
        <v>0.96354699904197372</v>
      </c>
      <c r="C10" s="56">
        <f t="shared" ref="C10:M10" si="9">IFERROR(C9/C$5,"-")</f>
        <v>0.96499198690441901</v>
      </c>
      <c r="D10" s="56">
        <f t="shared" si="9"/>
        <v>0.96472702186948112</v>
      </c>
      <c r="E10" s="56">
        <f t="shared" si="9"/>
        <v>0.94974038696088192</v>
      </c>
      <c r="F10" s="56">
        <f t="shared" si="9"/>
        <v>0.95415998428449222</v>
      </c>
      <c r="G10" s="56">
        <f t="shared" si="9"/>
        <v>0.94438274715307879</v>
      </c>
      <c r="H10" s="56">
        <f t="shared" si="9"/>
        <v>0.94199338091347562</v>
      </c>
      <c r="I10" s="56">
        <f t="shared" si="9"/>
        <v>0.87601873025851917</v>
      </c>
      <c r="J10" s="56">
        <f t="shared" si="9"/>
        <v>0.87739951692776608</v>
      </c>
      <c r="K10" s="56">
        <f t="shared" si="9"/>
        <v>0.85491006435200712</v>
      </c>
      <c r="L10" s="56">
        <f t="shared" si="9"/>
        <v>0.83226001550924777</v>
      </c>
      <c r="M10" s="57">
        <f t="shared" si="9"/>
        <v>0.84849849258224397</v>
      </c>
      <c r="N10" s="289">
        <f t="shared" si="1"/>
        <v>0.91438577722979897</v>
      </c>
      <c r="O10" s="289">
        <f t="shared" si="3"/>
        <v>0.96442200260529132</v>
      </c>
      <c r="P10" s="289">
        <f t="shared" si="4"/>
        <v>0.95943327581224958</v>
      </c>
      <c r="Q10" s="289">
        <f t="shared" si="5"/>
        <v>0.95479178673254328</v>
      </c>
      <c r="R10" s="289">
        <f t="shared" si="6"/>
        <v>0.92918708186660959</v>
      </c>
      <c r="S10" s="788"/>
    </row>
    <row r="11" spans="1:25" x14ac:dyDescent="0.35">
      <c r="A11" s="114" t="s">
        <v>244</v>
      </c>
      <c r="B11" s="54">
        <f>_xlfn.XLOOKUP($A11,Inputs!$A:$A,Inputs!B:B,,0)</f>
        <v>6314.1</v>
      </c>
      <c r="C11" s="54">
        <f>_xlfn.XLOOKUP($A11,Inputs!$A:$A,Inputs!C:C,,0)</f>
        <v>4808</v>
      </c>
      <c r="D11" s="54">
        <f>_xlfn.XLOOKUP($A11,Inputs!$A:$A,Inputs!D:D,,0)</f>
        <v>4811.3999999999996</v>
      </c>
      <c r="E11" s="54">
        <f>_xlfn.XLOOKUP($A11,Inputs!$A:$A,Inputs!E:E,,0)</f>
        <v>5192.2</v>
      </c>
      <c r="F11" s="54">
        <f>_xlfn.XLOOKUP($A11,Inputs!$A:$A,Inputs!F:F,,0)</f>
        <v>4410.3</v>
      </c>
      <c r="G11" s="54">
        <f>_xlfn.XLOOKUP($A11,Inputs!$A:$A,Inputs!G:G,,0)</f>
        <v>5518.9</v>
      </c>
      <c r="H11" s="54">
        <f>_xlfn.XLOOKUP($A11,Inputs!$A:$A,Inputs!H:H,,0)</f>
        <v>5868.5</v>
      </c>
      <c r="I11" s="54">
        <f>_xlfn.XLOOKUP($A11,Inputs!$A:$A,Inputs!I:I,,0)</f>
        <v>12226.5</v>
      </c>
      <c r="J11" s="54">
        <f>_xlfn.XLOOKUP($A11,Inputs!$A:$A,Inputs!J:J,,0)</f>
        <v>9321.7000000000007</v>
      </c>
      <c r="K11" s="54">
        <f>_xlfn.XLOOKUP($A11,Inputs!$A:$A,Inputs!K:K,,0)</f>
        <v>9082.5</v>
      </c>
      <c r="L11" s="54">
        <f>_xlfn.XLOOKUP($A11,Inputs!$A:$A,Inputs!L:L,,0)</f>
        <v>9525</v>
      </c>
      <c r="M11" s="55">
        <f>_xlfn.XLOOKUP($A11,Inputs!$A:$A,Inputs!M:M,,0)</f>
        <v>6538.8</v>
      </c>
      <c r="N11" s="52">
        <f t="shared" si="1"/>
        <v>6968.1583333333338</v>
      </c>
      <c r="O11" s="52">
        <f t="shared" si="3"/>
        <v>5311.166666666667</v>
      </c>
      <c r="P11" s="52">
        <f t="shared" si="4"/>
        <v>5107.2</v>
      </c>
      <c r="Q11" s="52">
        <f t="shared" si="5"/>
        <v>5274.7714285714292</v>
      </c>
      <c r="R11" s="52">
        <f t="shared" si="6"/>
        <v>6755.4100000000008</v>
      </c>
      <c r="S11" s="790"/>
      <c r="T11" s="793">
        <f>(B11-I11)/I11</f>
        <v>-0.48357256778309404</v>
      </c>
    </row>
    <row r="12" spans="1:25" ht="13.15" x14ac:dyDescent="0.4">
      <c r="A12" s="115" t="s">
        <v>99</v>
      </c>
      <c r="B12" s="56">
        <f t="shared" ref="B12:M12" si="10">IFERROR(B11/B$5,"-")</f>
        <v>3.6453000958026269E-2</v>
      </c>
      <c r="C12" s="56">
        <f t="shared" si="10"/>
        <v>3.5008013095580978E-2</v>
      </c>
      <c r="D12" s="56">
        <f t="shared" si="10"/>
        <v>3.527297813051896E-2</v>
      </c>
      <c r="E12" s="56">
        <f t="shared" si="10"/>
        <v>5.0259613039118127E-2</v>
      </c>
      <c r="F12" s="56">
        <f t="shared" si="10"/>
        <v>4.5840015715507741E-2</v>
      </c>
      <c r="G12" s="56">
        <f t="shared" si="10"/>
        <v>5.5617252846921289E-2</v>
      </c>
      <c r="H12" s="56">
        <f t="shared" si="10"/>
        <v>5.8006619086524429E-2</v>
      </c>
      <c r="I12" s="56">
        <f t="shared" si="10"/>
        <v>0.12398126974148084</v>
      </c>
      <c r="J12" s="56">
        <f t="shared" si="10"/>
        <v>0.12260048307223394</v>
      </c>
      <c r="K12" s="56">
        <f t="shared" si="10"/>
        <v>0.14508993564799286</v>
      </c>
      <c r="L12" s="56">
        <f t="shared" si="10"/>
        <v>0.16773998449075223</v>
      </c>
      <c r="M12" s="57">
        <f t="shared" si="10"/>
        <v>0.15150150741775598</v>
      </c>
      <c r="N12" s="289">
        <f t="shared" si="1"/>
        <v>8.5614222770201143E-2</v>
      </c>
      <c r="O12" s="289">
        <f t="shared" si="3"/>
        <v>3.5577997394708738E-2</v>
      </c>
      <c r="P12" s="289">
        <f t="shared" si="4"/>
        <v>4.0566724187750418E-2</v>
      </c>
      <c r="Q12" s="289">
        <f t="shared" si="5"/>
        <v>4.5208213267456832E-2</v>
      </c>
      <c r="R12" s="289">
        <f t="shared" si="6"/>
        <v>7.0812918133390551E-2</v>
      </c>
      <c r="S12" s="789"/>
      <c r="T12" s="792">
        <f>(B12-L12)/L12</f>
        <v>-0.78268150513608759</v>
      </c>
    </row>
    <row r="13" spans="1:25" ht="13.15" x14ac:dyDescent="0.4">
      <c r="A13" s="114" t="s">
        <v>455</v>
      </c>
      <c r="B13" s="56">
        <f t="shared" ref="B13" si="11">IFERROR(B12/C12-1,"-")</f>
        <v>4.1275917559219888E-2</v>
      </c>
      <c r="C13" s="56">
        <f t="shared" ref="C13" si="12">IFERROR(C12/D12-1,"-")</f>
        <v>-7.5118418965799405E-3</v>
      </c>
      <c r="D13" s="56">
        <f t="shared" ref="D13" si="13">IFERROR(D12/E12-1,"-")</f>
        <v>-0.29818444676314459</v>
      </c>
      <c r="E13" s="56">
        <f t="shared" ref="E13" si="14">IFERROR(E12/F12-1,"-")</f>
        <v>9.6413521126154977E-2</v>
      </c>
      <c r="F13" s="56">
        <f t="shared" ref="F13" si="15">IFERROR(F12/G12-1,"-")</f>
        <v>-0.17579503896612847</v>
      </c>
      <c r="G13" s="56">
        <f t="shared" ref="G13" si="16">IFERROR(G12/H12-1,"-")</f>
        <v>-4.1191268810876425E-2</v>
      </c>
      <c r="H13" s="56">
        <f t="shared" ref="H13" si="17">IFERROR(H12/I12-1,"-")</f>
        <v>-0.53213401340801925</v>
      </c>
      <c r="I13" s="56">
        <f t="shared" ref="I13" si="18">IFERROR(I12/J12-1,"-")</f>
        <v>1.126248963010501E-2</v>
      </c>
      <c r="J13" s="56">
        <f t="shared" ref="J13" si="19">IFERROR(J12/K12-1,"-")</f>
        <v>-0.15500353263868882</v>
      </c>
      <c r="K13" s="56">
        <f t="shared" ref="K13" si="20">IFERROR(K12/L12-1,"-")</f>
        <v>-0.13503070786326499</v>
      </c>
      <c r="L13" s="56">
        <f t="shared" ref="L13" si="21">IFERROR(L12/M12-1,"-")</f>
        <v>0.10718360067678834</v>
      </c>
      <c r="M13" s="57" t="str">
        <f>IFERROR(M12/#REF!-1,"-")</f>
        <v>-</v>
      </c>
      <c r="N13" s="289">
        <f t="shared" si="1"/>
        <v>-9.8974120123130394E-2</v>
      </c>
      <c r="O13" s="289">
        <f t="shared" si="3"/>
        <v>-8.8140123700168216E-2</v>
      </c>
      <c r="P13" s="289">
        <f t="shared" si="4"/>
        <v>-6.8760377788095628E-2</v>
      </c>
      <c r="Q13" s="289">
        <f t="shared" si="5"/>
        <v>-0.13101816730848198</v>
      </c>
      <c r="R13" s="289">
        <f t="shared" si="6"/>
        <v>-0.11958989220312226</v>
      </c>
      <c r="S13" s="790"/>
    </row>
    <row r="14" spans="1:25" x14ac:dyDescent="0.35">
      <c r="A14" s="116" t="s">
        <v>245</v>
      </c>
      <c r="B14" s="54">
        <f>_xlfn.XLOOKUP($A14,Inputs!$A:$A,Inputs!B:B,,0)</f>
        <v>1509.9</v>
      </c>
      <c r="C14" s="54">
        <f>_xlfn.XLOOKUP($A14,Inputs!$A:$A,Inputs!C:C,,0)</f>
        <v>3998.6</v>
      </c>
      <c r="D14" s="54">
        <f>_xlfn.XLOOKUP($A14,Inputs!$A:$A,Inputs!D:D,,0)</f>
        <v>2670.8</v>
      </c>
      <c r="E14" s="54">
        <f>_xlfn.XLOOKUP($A14,Inputs!$A:$A,Inputs!E:E,,0)</f>
        <v>1035.0999999999999</v>
      </c>
      <c r="F14" s="54">
        <f>_xlfn.XLOOKUP($A14,Inputs!$A:$A,Inputs!F:F,,0)</f>
        <v>690.2</v>
      </c>
      <c r="G14" s="54">
        <f>_xlfn.XLOOKUP($A14,Inputs!$A:$A,Inputs!G:G,,0)</f>
        <v>958.2</v>
      </c>
      <c r="H14" s="54">
        <f>_xlfn.XLOOKUP($A14,Inputs!$A:$A,Inputs!H:H,,0)</f>
        <v>364.4</v>
      </c>
      <c r="I14" s="54">
        <f>_xlfn.XLOOKUP($A14,Inputs!$A:$A,Inputs!I:I,,0)</f>
        <v>256.60000000000002</v>
      </c>
      <c r="J14" s="54">
        <f>_xlfn.XLOOKUP($A14,Inputs!$A:$A,Inputs!J:J,,0)</f>
        <v>366.9</v>
      </c>
      <c r="K14" s="54">
        <f>_xlfn.XLOOKUP($A14,Inputs!$A:$A,Inputs!K:K,,0)</f>
        <v>557.6</v>
      </c>
      <c r="L14" s="54">
        <f>_xlfn.XLOOKUP($A14,Inputs!$A:$A,Inputs!L:L,,0)</f>
        <v>394.7</v>
      </c>
      <c r="M14" s="55">
        <f>_xlfn.XLOOKUP($A14,Inputs!$A:$A,Inputs!M:M,,0)</f>
        <v>302.3</v>
      </c>
      <c r="N14" s="52">
        <f>AVERAGE(B14:M14)</f>
        <v>1092.1083333333333</v>
      </c>
      <c r="O14" s="52">
        <f t="shared" si="3"/>
        <v>2726.4333333333334</v>
      </c>
      <c r="P14" s="52">
        <f t="shared" si="4"/>
        <v>1980.92</v>
      </c>
      <c r="Q14" s="52">
        <f t="shared" si="5"/>
        <v>1603.8857142857144</v>
      </c>
      <c r="R14" s="52">
        <f t="shared" si="6"/>
        <v>1240.8300000000002</v>
      </c>
      <c r="S14" s="788"/>
    </row>
    <row r="15" spans="1:25" x14ac:dyDescent="0.35">
      <c r="A15" s="114" t="s">
        <v>456</v>
      </c>
      <c r="B15" s="54">
        <f>_xlfn.XLOOKUP($A15,Inputs!$A:$A,Inputs!B:B,,0)</f>
        <v>-1.2</v>
      </c>
      <c r="C15" s="54">
        <f>_xlfn.XLOOKUP($A15,Inputs!$A:$A,Inputs!C:C,,0)</f>
        <v>13.1</v>
      </c>
      <c r="D15" s="54">
        <f>_xlfn.XLOOKUP($A15,Inputs!$A:$A,Inputs!D:D,,0)</f>
        <v>-1</v>
      </c>
      <c r="E15" s="54">
        <f>_xlfn.XLOOKUP($A15,Inputs!$A:$A,Inputs!E:E,,0)</f>
        <v>0</v>
      </c>
      <c r="F15" s="54">
        <f>_xlfn.XLOOKUP($A15,Inputs!$A:$A,Inputs!F:F,,0)</f>
        <v>-33.799999999999997</v>
      </c>
      <c r="G15" s="54">
        <f>_xlfn.XLOOKUP($A15,Inputs!$A:$A,Inputs!G:G,,0)</f>
        <v>-40.4</v>
      </c>
      <c r="H15" s="54">
        <f>_xlfn.XLOOKUP($A15,Inputs!$A:$A,Inputs!H:H,,0)</f>
        <v>-16.3</v>
      </c>
      <c r="I15" s="54">
        <f>_xlfn.XLOOKUP($A15,Inputs!$A:$A,Inputs!I:I,,0)</f>
        <v>-2.8</v>
      </c>
      <c r="J15" s="54">
        <f>_xlfn.XLOOKUP($A15,Inputs!$A:$A,Inputs!J:J,,0)</f>
        <v>-1.1000000000000001</v>
      </c>
      <c r="K15" s="54">
        <f>_xlfn.XLOOKUP($A15,Inputs!$A:$A,Inputs!K:K,,0)</f>
        <v>-0.3</v>
      </c>
      <c r="L15" s="54">
        <f>_xlfn.XLOOKUP($A15,Inputs!$A:$A,Inputs!L:L,,0)</f>
        <v>-8.5</v>
      </c>
      <c r="M15" s="55">
        <f>_xlfn.XLOOKUP($A15,Inputs!$A:$A,Inputs!M:M,,0)</f>
        <v>-29.7</v>
      </c>
      <c r="N15" s="52">
        <f t="shared" ref="N15:N36" si="22">AVERAGE(B15:M15)</f>
        <v>-10.166666666666666</v>
      </c>
      <c r="O15" s="52">
        <f t="shared" si="3"/>
        <v>3.6333333333333333</v>
      </c>
      <c r="P15" s="52">
        <f t="shared" si="4"/>
        <v>-4.58</v>
      </c>
      <c r="Q15" s="52">
        <f t="shared" si="5"/>
        <v>-11.37142857142857</v>
      </c>
      <c r="R15" s="52">
        <f t="shared" si="6"/>
        <v>-8.379999999999999</v>
      </c>
      <c r="S15" s="788"/>
    </row>
    <row r="16" spans="1:25" x14ac:dyDescent="0.35">
      <c r="A16" s="116" t="s">
        <v>48</v>
      </c>
      <c r="B16" s="54">
        <f>B11-B15</f>
        <v>6315.3</v>
      </c>
      <c r="C16" s="54">
        <f t="shared" ref="C16:M16" si="23">C11-C15</f>
        <v>4794.8999999999996</v>
      </c>
      <c r="D16" s="54">
        <f t="shared" si="23"/>
        <v>4812.3999999999996</v>
      </c>
      <c r="E16" s="54">
        <f t="shared" si="23"/>
        <v>5192.2</v>
      </c>
      <c r="F16" s="54">
        <f t="shared" si="23"/>
        <v>4444.1000000000004</v>
      </c>
      <c r="G16" s="54">
        <f t="shared" si="23"/>
        <v>5559.2999999999993</v>
      </c>
      <c r="H16" s="54">
        <f t="shared" si="23"/>
        <v>5884.8</v>
      </c>
      <c r="I16" s="54">
        <f t="shared" si="23"/>
        <v>12229.3</v>
      </c>
      <c r="J16" s="54">
        <f t="shared" si="23"/>
        <v>9322.8000000000011</v>
      </c>
      <c r="K16" s="54">
        <f t="shared" si="23"/>
        <v>9082.7999999999993</v>
      </c>
      <c r="L16" s="54">
        <f t="shared" si="23"/>
        <v>9533.5</v>
      </c>
      <c r="M16" s="55">
        <f t="shared" si="23"/>
        <v>6568.5</v>
      </c>
      <c r="N16" s="52">
        <f t="shared" si="22"/>
        <v>6978.3250000000007</v>
      </c>
      <c r="O16" s="52">
        <f t="shared" si="3"/>
        <v>5307.5333333333338</v>
      </c>
      <c r="P16" s="52">
        <f t="shared" si="4"/>
        <v>5111.7800000000007</v>
      </c>
      <c r="Q16" s="52">
        <f t="shared" si="5"/>
        <v>5286.1428571428569</v>
      </c>
      <c r="R16" s="52">
        <f t="shared" si="6"/>
        <v>6763.7900000000009</v>
      </c>
      <c r="S16" s="791"/>
      <c r="T16" s="793">
        <f>(B16-I16)/I16</f>
        <v>-0.4835926831462144</v>
      </c>
      <c r="U16" s="52"/>
      <c r="V16" s="52"/>
      <c r="W16" s="52"/>
      <c r="X16" s="52"/>
      <c r="Y16" s="52"/>
    </row>
    <row r="17" spans="1:20" x14ac:dyDescent="0.35">
      <c r="A17" s="114" t="s">
        <v>44</v>
      </c>
      <c r="B17" s="54">
        <f>_xlfn.XLOOKUP($A17,Inputs!$A:$A,Inputs!B:B,,0)</f>
        <v>7673</v>
      </c>
      <c r="C17" s="54">
        <f>_xlfn.XLOOKUP($A17,Inputs!$A:$A,Inputs!C:C,,0)</f>
        <v>6520.1</v>
      </c>
      <c r="D17" s="54">
        <f>_xlfn.XLOOKUP($A17,Inputs!$A:$A,Inputs!D:D,,0)</f>
        <v>5509.1</v>
      </c>
      <c r="E17" s="54">
        <f>_xlfn.XLOOKUP($A17,Inputs!$A:$A,Inputs!E:E,,0)</f>
        <v>4759.3999999999996</v>
      </c>
      <c r="F17" s="54">
        <f>_xlfn.XLOOKUP($A17,Inputs!$A:$A,Inputs!F:F,,0)</f>
        <v>4576.5</v>
      </c>
      <c r="G17" s="54">
        <f>_xlfn.XLOOKUP($A17,Inputs!$A:$A,Inputs!G:G,,0)</f>
        <v>3804.7</v>
      </c>
      <c r="H17" s="54">
        <f>_xlfn.XLOOKUP($A17,Inputs!$A:$A,Inputs!H:H,,0)</f>
        <v>3188.5</v>
      </c>
      <c r="I17" s="54">
        <f>_xlfn.XLOOKUP($A17,Inputs!$A:$A,Inputs!I:I,,0)</f>
        <v>2551.9</v>
      </c>
      <c r="J17" s="54">
        <f>_xlfn.XLOOKUP($A17,Inputs!$A:$A,Inputs!J:J,,0)</f>
        <v>1980.9</v>
      </c>
      <c r="K17" s="54">
        <f>_xlfn.XLOOKUP($A17,Inputs!$A:$A,Inputs!K:K,,0)</f>
        <v>1683.8</v>
      </c>
      <c r="L17" s="54">
        <f>_xlfn.XLOOKUP($A17,Inputs!$A:$A,Inputs!L:L,,0)</f>
        <v>1164.5</v>
      </c>
      <c r="M17" s="55">
        <f>_xlfn.XLOOKUP($A17,Inputs!$A:$A,Inputs!M:M,,0)</f>
        <v>949.2</v>
      </c>
      <c r="N17" s="52">
        <f t="shared" si="22"/>
        <v>3696.7999999999997</v>
      </c>
      <c r="O17" s="52">
        <f t="shared" si="3"/>
        <v>6567.4000000000005</v>
      </c>
      <c r="P17" s="52">
        <f t="shared" si="4"/>
        <v>5807.62</v>
      </c>
      <c r="Q17" s="52">
        <f t="shared" si="5"/>
        <v>5147.3285714285712</v>
      </c>
      <c r="R17" s="52">
        <f t="shared" si="6"/>
        <v>4224.79</v>
      </c>
      <c r="S17" s="788"/>
    </row>
    <row r="18" spans="1:20" x14ac:dyDescent="0.35">
      <c r="A18" s="116" t="s">
        <v>457</v>
      </c>
      <c r="B18" s="54">
        <f>_xlfn.XLOOKUP($A18,Inputs!$A:$A,Inputs!B:B,,0)</f>
        <v>-7653.5999999999985</v>
      </c>
      <c r="C18" s="54">
        <f>_xlfn.XLOOKUP($A18,Inputs!$A:$A,Inputs!C:C,,0)</f>
        <v>5159.5999999999913</v>
      </c>
      <c r="D18" s="54">
        <f>_xlfn.XLOOKUP($A18,Inputs!$A:$A,Inputs!D:D,,0)</f>
        <v>-18584.899999999998</v>
      </c>
      <c r="E18" s="54">
        <f>_xlfn.XLOOKUP($A18,Inputs!$A:$A,Inputs!E:E,,0)</f>
        <v>-2883.1999999999898</v>
      </c>
      <c r="F18" s="54">
        <f>_xlfn.XLOOKUP($A18,Inputs!$A:$A,Inputs!F:F,,0)</f>
        <v>-8428.4000000000087</v>
      </c>
      <c r="G18" s="54">
        <f>_xlfn.XLOOKUP($A18,Inputs!$A:$A,Inputs!G:G,,0)</f>
        <v>-5447.4000000000033</v>
      </c>
      <c r="H18" s="54">
        <f>_xlfn.XLOOKUP($A18,Inputs!$A:$A,Inputs!H:H,,0)</f>
        <v>-1281.9999999999973</v>
      </c>
      <c r="I18" s="54">
        <f>_xlfn.XLOOKUP($A18,Inputs!$A:$A,Inputs!I:I,,0)</f>
        <v>2388.8000000000038</v>
      </c>
      <c r="J18" s="54">
        <f>_xlfn.XLOOKUP($A18,Inputs!$A:$A,Inputs!J:J,,0)</f>
        <v>-992.29999999999745</v>
      </c>
      <c r="K18" s="54">
        <f>_xlfn.XLOOKUP($A18,Inputs!$A:$A,Inputs!K:K,,0)</f>
        <v>3423.399999999996</v>
      </c>
      <c r="L18" s="54">
        <f>_xlfn.XLOOKUP($A18,Inputs!$A:$A,Inputs!L:L,,0)</f>
        <v>1731.1000000000004</v>
      </c>
      <c r="M18" s="55">
        <f>_xlfn.XLOOKUP($A18,Inputs!$A:$A,Inputs!M:M,,0)</f>
        <v>933</v>
      </c>
      <c r="N18" s="52">
        <f t="shared" si="22"/>
        <v>-2636.3250000000007</v>
      </c>
      <c r="O18" s="52">
        <f t="shared" si="3"/>
        <v>-7026.300000000002</v>
      </c>
      <c r="P18" s="52">
        <f t="shared" si="4"/>
        <v>-6478.1</v>
      </c>
      <c r="Q18" s="52">
        <f t="shared" si="5"/>
        <v>-5588.5571428571438</v>
      </c>
      <c r="R18" s="52">
        <f t="shared" si="6"/>
        <v>-3430.0000000000009</v>
      </c>
      <c r="S18" s="788"/>
    </row>
    <row r="19" spans="1:20" x14ac:dyDescent="0.35">
      <c r="A19" s="114" t="s">
        <v>40</v>
      </c>
      <c r="B19" s="54">
        <f>B11-B15+B17</f>
        <v>13988.3</v>
      </c>
      <c r="C19" s="54">
        <f t="shared" ref="C19:M19" si="24">C11-C15+C17</f>
        <v>11315</v>
      </c>
      <c r="D19" s="54">
        <f t="shared" si="24"/>
        <v>10321.5</v>
      </c>
      <c r="E19" s="54">
        <f t="shared" si="24"/>
        <v>9951.5999999999985</v>
      </c>
      <c r="F19" s="54">
        <f t="shared" si="24"/>
        <v>9020.6</v>
      </c>
      <c r="G19" s="54">
        <f t="shared" si="24"/>
        <v>9364</v>
      </c>
      <c r="H19" s="54">
        <f t="shared" si="24"/>
        <v>9073.2999999999993</v>
      </c>
      <c r="I19" s="54">
        <f t="shared" si="24"/>
        <v>14781.199999999999</v>
      </c>
      <c r="J19" s="54">
        <f t="shared" si="24"/>
        <v>11303.7</v>
      </c>
      <c r="K19" s="54">
        <f t="shared" si="24"/>
        <v>10766.599999999999</v>
      </c>
      <c r="L19" s="54">
        <f t="shared" si="24"/>
        <v>10698</v>
      </c>
      <c r="M19" s="55">
        <f t="shared" si="24"/>
        <v>7517.7</v>
      </c>
      <c r="N19" s="52">
        <f t="shared" si="22"/>
        <v>10675.124999999998</v>
      </c>
      <c r="O19" s="52">
        <f t="shared" si="3"/>
        <v>11874.933333333334</v>
      </c>
      <c r="P19" s="52">
        <f t="shared" si="4"/>
        <v>10919.4</v>
      </c>
      <c r="Q19" s="52">
        <f t="shared" si="5"/>
        <v>10433.471428571429</v>
      </c>
      <c r="R19" s="52">
        <f t="shared" si="6"/>
        <v>10988.579999999998</v>
      </c>
      <c r="S19" s="788"/>
    </row>
    <row r="20" spans="1:20" ht="13.15" x14ac:dyDescent="0.4">
      <c r="A20" s="115" t="s">
        <v>458</v>
      </c>
      <c r="B20" s="56">
        <f t="shared" ref="B20" si="25">IFERROR(B19/B$5,"-")</f>
        <v>8.0758225764742217E-2</v>
      </c>
      <c r="C20" s="56">
        <f t="shared" ref="C20" si="26">IFERROR(C19/C$5,"-")</f>
        <v>8.2386786226393255E-2</v>
      </c>
      <c r="D20" s="56">
        <f t="shared" ref="D20" si="27">IFERROR(D19/D$5,"-")</f>
        <v>7.566821377855748E-2</v>
      </c>
      <c r="E20" s="56">
        <f t="shared" ref="E20" si="28">IFERROR(E19/E$5,"-")</f>
        <v>9.6329795678149505E-2</v>
      </c>
      <c r="F20" s="56">
        <f t="shared" ref="F20" si="29">IFERROR(F19/F$5,"-")</f>
        <v>9.3758802295378793E-2</v>
      </c>
      <c r="G20" s="56">
        <f t="shared" ref="G20" si="30">IFERROR(G19/G$5,"-")</f>
        <v>9.4366622997077501E-2</v>
      </c>
      <c r="H20" s="56">
        <f t="shared" ref="H20" si="31">IFERROR(H19/H$5,"-")</f>
        <v>8.9684153865172034E-2</v>
      </c>
      <c r="I20" s="56">
        <f t="shared" ref="I20" si="32">IFERROR(I19/I$5,"-")</f>
        <v>0.14988688048932863</v>
      </c>
      <c r="J20" s="56">
        <f t="shared" ref="J20" si="33">IFERROR(J19/J$5,"-")</f>
        <v>0.14866806274645297</v>
      </c>
      <c r="K20" s="56">
        <f t="shared" ref="K20" si="34">IFERROR(K19/K$5,"-")</f>
        <v>0.17199287653704154</v>
      </c>
      <c r="L20" s="56">
        <f t="shared" ref="L20" si="35">IFERROR(L19/L$5,"-")</f>
        <v>0.18839709754142439</v>
      </c>
      <c r="M20" s="57">
        <f t="shared" ref="M20" si="36">IFERROR(M19/M$5,"-")</f>
        <v>0.17418224786114639</v>
      </c>
      <c r="N20" s="289">
        <f t="shared" si="22"/>
        <v>0.12050664714840538</v>
      </c>
      <c r="O20" s="289">
        <f t="shared" si="3"/>
        <v>7.9604408589897646E-2</v>
      </c>
      <c r="P20" s="289">
        <f t="shared" si="4"/>
        <v>8.5780364748644256E-2</v>
      </c>
      <c r="Q20" s="289">
        <f t="shared" si="5"/>
        <v>8.7564657229352985E-2</v>
      </c>
      <c r="R20" s="289">
        <f t="shared" si="6"/>
        <v>0.10835004203782939</v>
      </c>
      <c r="S20" s="789"/>
      <c r="T20" s="792">
        <f>(B20-L20)/L20</f>
        <v>-0.57134039314493545</v>
      </c>
    </row>
    <row r="21" spans="1:20" x14ac:dyDescent="0.35">
      <c r="A21" s="114" t="s">
        <v>246</v>
      </c>
      <c r="B21" s="54">
        <f>_xlfn.XLOOKUP($A21,Inputs!$A:$A,Inputs!B:B,,0)</f>
        <v>-801.2</v>
      </c>
      <c r="C21" s="54">
        <f>_xlfn.XLOOKUP($A21,Inputs!$A:$A,Inputs!C:C,,0)</f>
        <v>-553.70000000000005</v>
      </c>
      <c r="D21" s="54">
        <f>_xlfn.XLOOKUP($A21,Inputs!$A:$A,Inputs!D:D,,0)</f>
        <v>-757.1</v>
      </c>
      <c r="E21" s="54">
        <f>_xlfn.XLOOKUP($A21,Inputs!$A:$A,Inputs!E:E,,0)</f>
        <v>-864.8</v>
      </c>
      <c r="F21" s="54">
        <f>_xlfn.XLOOKUP($A21,Inputs!$A:$A,Inputs!F:F,,0)</f>
        <v>-569.79999999999995</v>
      </c>
      <c r="G21" s="54">
        <f>_xlfn.XLOOKUP($A21,Inputs!$A:$A,Inputs!G:G,,0)</f>
        <v>-1229.4000000000001</v>
      </c>
      <c r="H21" s="54">
        <f>_xlfn.XLOOKUP($A21,Inputs!$A:$A,Inputs!H:H,,0)</f>
        <v>-1189.5999999999999</v>
      </c>
      <c r="I21" s="54">
        <f>_xlfn.XLOOKUP($A21,Inputs!$A:$A,Inputs!I:I,,0)</f>
        <v>-1929.1</v>
      </c>
      <c r="J21" s="54">
        <f>_xlfn.XLOOKUP($A21,Inputs!$A:$A,Inputs!J:J,,0)</f>
        <v>-1628.2</v>
      </c>
      <c r="K21" s="54">
        <f>_xlfn.XLOOKUP($A21,Inputs!$A:$A,Inputs!K:K,,0)</f>
        <v>-1598.9</v>
      </c>
      <c r="L21" s="54">
        <f>_xlfn.XLOOKUP($A21,Inputs!$A:$A,Inputs!L:L,,0)</f>
        <v>-1687.6</v>
      </c>
      <c r="M21" s="55">
        <f>_xlfn.XLOOKUP($A21,Inputs!$A:$A,Inputs!M:M,,0)</f>
        <v>-1119</v>
      </c>
      <c r="N21" s="52">
        <f t="shared" si="22"/>
        <v>-1160.7</v>
      </c>
      <c r="O21" s="52">
        <f t="shared" si="3"/>
        <v>-704</v>
      </c>
      <c r="P21" s="52">
        <f t="shared" si="4"/>
        <v>-709.32</v>
      </c>
      <c r="Q21" s="52">
        <f t="shared" si="5"/>
        <v>-852.22857142857151</v>
      </c>
      <c r="R21" s="52">
        <f t="shared" si="6"/>
        <v>-1112.18</v>
      </c>
      <c r="S21" s="788"/>
    </row>
    <row r="22" spans="1:20" ht="13.15" x14ac:dyDescent="0.4">
      <c r="A22" s="115" t="s">
        <v>459</v>
      </c>
      <c r="B22" s="56">
        <f t="shared" ref="B22" si="37">IFERROR(B21/B$5,"-")</f>
        <v>-4.6255435244248024E-3</v>
      </c>
      <c r="C22" s="56">
        <f t="shared" ref="C22" si="38">IFERROR(C21/C$5,"-")</f>
        <v>-4.0316008425589E-3</v>
      </c>
      <c r="D22" s="56">
        <f t="shared" ref="D22" si="39">IFERROR(D21/D$5,"-")</f>
        <v>-5.5503952576414156E-3</v>
      </c>
      <c r="E22" s="56">
        <f t="shared" ref="E22" si="40">IFERROR(E21/E$5,"-")</f>
        <v>-8.3711169362176638E-3</v>
      </c>
      <c r="F22" s="56">
        <f t="shared" ref="F22" si="41">IFERROR(F21/F$5,"-")</f>
        <v>-5.9224181925710967E-3</v>
      </c>
      <c r="G22" s="56">
        <f t="shared" ref="G22" si="42">IFERROR(G21/G$5,"-")</f>
        <v>-1.2389398367429206E-2</v>
      </c>
      <c r="H22" s="56">
        <f t="shared" ref="H22" si="43">IFERROR(H21/H$5,"-")</f>
        <v>-1.175848582522441E-2</v>
      </c>
      <c r="I22" s="56">
        <f t="shared" ref="I22" si="44">IFERROR(I21/I$5,"-")</f>
        <v>-1.9561793437066263E-2</v>
      </c>
      <c r="J22" s="56">
        <f t="shared" ref="J22" si="45">IFERROR(J21/J$5,"-")</f>
        <v>-2.1414345724300426E-2</v>
      </c>
      <c r="K22" s="56">
        <f t="shared" ref="K22" si="46">IFERROR(K21/K$5,"-")</f>
        <v>-2.5541899048453158E-2</v>
      </c>
      <c r="L22" s="56">
        <f t="shared" ref="L22" si="47">IFERROR(L21/L$5,"-")</f>
        <v>-2.9719474837437632E-2</v>
      </c>
      <c r="M22" s="57">
        <f t="shared" ref="M22" si="48">IFERROR(M21/M$5,"-")</f>
        <v>-2.5926804123152403E-2</v>
      </c>
      <c r="N22" s="289">
        <f t="shared" si="22"/>
        <v>-1.4567773009706448E-2</v>
      </c>
      <c r="O22" s="289">
        <f t="shared" si="3"/>
        <v>-4.7358465415417057E-3</v>
      </c>
      <c r="P22" s="289">
        <f t="shared" si="4"/>
        <v>-5.7002149506827759E-3</v>
      </c>
      <c r="Q22" s="289">
        <f t="shared" si="5"/>
        <v>-7.521279849438213E-3</v>
      </c>
      <c r="R22" s="289">
        <f t="shared" si="6"/>
        <v>-1.1916699715588733E-2</v>
      </c>
      <c r="S22" s="788"/>
    </row>
    <row r="23" spans="1:20" x14ac:dyDescent="0.35">
      <c r="A23" s="114" t="s">
        <v>52</v>
      </c>
      <c r="B23" s="54">
        <f>_xlfn.XLOOKUP($A23,Inputs!$A:$A,Inputs!B:B,,0)</f>
        <v>7021.6</v>
      </c>
      <c r="C23" s="54">
        <f>_xlfn.XLOOKUP($A23,Inputs!$A:$A,Inputs!C:C,,0)</f>
        <v>8266</v>
      </c>
      <c r="D23" s="54">
        <f>_xlfn.XLOOKUP($A23,Inputs!$A:$A,Inputs!D:D,,0)</f>
        <v>6726.1</v>
      </c>
      <c r="E23" s="54">
        <f>_xlfn.XLOOKUP($A23,Inputs!$A:$A,Inputs!E:E,,0)</f>
        <v>5362.5</v>
      </c>
      <c r="F23" s="54">
        <f>_xlfn.XLOOKUP($A23,Inputs!$A:$A,Inputs!F:F,,0)</f>
        <v>4496.8999999999996</v>
      </c>
      <c r="G23" s="54">
        <f>_xlfn.XLOOKUP($A23,Inputs!$A:$A,Inputs!G:G,,0)</f>
        <v>5207.3</v>
      </c>
      <c r="H23" s="54">
        <f>_xlfn.XLOOKUP($A23,Inputs!$A:$A,Inputs!H:H,,0)</f>
        <v>5027</v>
      </c>
      <c r="I23" s="54">
        <f>_xlfn.XLOOKUP($A23,Inputs!$A:$A,Inputs!I:I,,0)</f>
        <v>10551.2</v>
      </c>
      <c r="J23" s="54">
        <f>_xlfn.XLOOKUP($A23,Inputs!$A:$A,Inputs!J:J,,0)</f>
        <v>8059.3</v>
      </c>
      <c r="K23" s="54">
        <f>_xlfn.XLOOKUP($A23,Inputs!$A:$A,Inputs!K:K,,0)</f>
        <v>8041.5</v>
      </c>
      <c r="L23" s="54">
        <f>_xlfn.XLOOKUP($A23,Inputs!$A:$A,Inputs!L:L,,0)</f>
        <v>8223.6</v>
      </c>
      <c r="M23" s="55">
        <f>_xlfn.XLOOKUP($A23,Inputs!$A:$A,Inputs!M:M,,0)</f>
        <v>5692.4</v>
      </c>
      <c r="N23" s="52">
        <f t="shared" si="22"/>
        <v>6889.6166666666677</v>
      </c>
      <c r="O23" s="52">
        <f t="shared" si="3"/>
        <v>7337.9000000000005</v>
      </c>
      <c r="P23" s="52">
        <f t="shared" si="4"/>
        <v>6374.62</v>
      </c>
      <c r="Q23" s="52">
        <f t="shared" si="5"/>
        <v>6015.3428571428576</v>
      </c>
      <c r="R23" s="52">
        <f t="shared" si="6"/>
        <v>6875.9400000000005</v>
      </c>
      <c r="S23" s="788"/>
    </row>
    <row r="24" spans="1:20" ht="13.15" x14ac:dyDescent="0.4">
      <c r="A24" s="115" t="s">
        <v>207</v>
      </c>
      <c r="B24" s="56">
        <f t="shared" ref="B24" si="49">IFERROR(B23/B$5,"-")</f>
        <v>4.0537589130181219E-2</v>
      </c>
      <c r="C24" s="56">
        <f t="shared" ref="C24" si="50">IFERROR(C23/C$5,"-")</f>
        <v>6.0186405209665637E-2</v>
      </c>
      <c r="D24" s="56">
        <f t="shared" ref="D24" si="51">IFERROR(D23/D$5,"-")</f>
        <v>4.9309884483452547E-2</v>
      </c>
      <c r="E24" s="56">
        <f t="shared" ref="E24" si="52">IFERROR(E23/E$5,"-")</f>
        <v>5.1908088078708628E-2</v>
      </c>
      <c r="F24" s="56">
        <f t="shared" ref="F24" si="53">IFERROR(F23/F$5,"-")</f>
        <v>4.6740123499777048E-2</v>
      </c>
      <c r="G24" s="56">
        <f t="shared" ref="G24" si="54">IFERROR(G23/G$5,"-")</f>
        <v>5.2477073465685781E-2</v>
      </c>
      <c r="H24" s="56">
        <f t="shared" ref="H24" si="55">IFERROR(H23/H$5,"-")</f>
        <v>4.968889395040612E-2</v>
      </c>
      <c r="I24" s="56">
        <f t="shared" ref="I24" si="56">IFERROR(I23/I$5,"-")</f>
        <v>0.10699310295639085</v>
      </c>
      <c r="J24" s="56">
        <f t="shared" ref="J24" si="57">IFERROR(J23/J$5,"-")</f>
        <v>0.10599719720909866</v>
      </c>
      <c r="K24" s="56">
        <f t="shared" ref="K24" si="58">IFERROR(K23/K$5,"-")</f>
        <v>0.12846030470832201</v>
      </c>
      <c r="L24" s="56">
        <f t="shared" ref="L24" si="59">IFERROR(L23/L$5,"-")</f>
        <v>0.14482168361765355</v>
      </c>
      <c r="M24" s="57">
        <f t="shared" ref="M24" si="60">IFERROR(M23/M$5,"-")</f>
        <v>0.13189074154658867</v>
      </c>
      <c r="N24" s="289">
        <f t="shared" si="22"/>
        <v>8.075092398799423E-2</v>
      </c>
      <c r="O24" s="289">
        <f t="shared" si="3"/>
        <v>5.0011292941099801E-2</v>
      </c>
      <c r="P24" s="289">
        <f t="shared" si="4"/>
        <v>4.9736418080357017E-2</v>
      </c>
      <c r="Q24" s="289">
        <f t="shared" si="5"/>
        <v>5.0121151116839568E-2</v>
      </c>
      <c r="R24" s="289">
        <f t="shared" si="6"/>
        <v>6.9229866269168855E-2</v>
      </c>
      <c r="S24" s="789"/>
      <c r="T24" s="792">
        <f>(B24-L24)/L24</f>
        <v>-0.72008619070328406</v>
      </c>
    </row>
    <row r="25" spans="1:20" ht="13.15" x14ac:dyDescent="0.4">
      <c r="A25" s="114" t="s">
        <v>451</v>
      </c>
      <c r="B25" s="56">
        <f t="shared" ref="B25" si="61">IFERROR(B24/C24-1,"-")</f>
        <v>-0.32646601854747281</v>
      </c>
      <c r="C25" s="56">
        <f t="shared" ref="C25" si="62">IFERROR(C24/D24-1,"-")</f>
        <v>0.22057485715390479</v>
      </c>
      <c r="D25" s="56">
        <f t="shared" ref="D25" si="63">IFERROR(D24/E24-1,"-")</f>
        <v>-5.0053925918373321E-2</v>
      </c>
      <c r="E25" s="56">
        <f t="shared" ref="E25" si="64">IFERROR(E24/F24-1,"-")</f>
        <v>0.11056805570820183</v>
      </c>
      <c r="F25" s="56">
        <f t="shared" ref="F25" si="65">IFERROR(F24/G24-1,"-")</f>
        <v>-0.10932297834139071</v>
      </c>
      <c r="G25" s="56">
        <f t="shared" ref="G25" si="66">IFERROR(G24/H24-1,"-")</f>
        <v>5.6112730503973474E-2</v>
      </c>
      <c r="H25" s="56">
        <f t="shared" ref="H25" si="67">IFERROR(H24/I24-1,"-")</f>
        <v>-0.53558787830783139</v>
      </c>
      <c r="I25" s="56">
        <f t="shared" ref="I25" si="68">IFERROR(I24/J24-1,"-")</f>
        <v>9.3955856712661934E-3</v>
      </c>
      <c r="J25" s="56">
        <f t="shared" ref="J25" si="69">IFERROR(J24/K24-1,"-")</f>
        <v>-0.17486419287442445</v>
      </c>
      <c r="K25" s="56">
        <f t="shared" ref="K25" si="70">IFERROR(K24/L24-1,"-")</f>
        <v>-0.11297603025060476</v>
      </c>
      <c r="L25" s="56">
        <f t="shared" ref="L25" si="71">IFERROR(L24/M24-1,"-")</f>
        <v>9.8042833935369167E-2</v>
      </c>
      <c r="M25" s="57" t="str">
        <f>IFERROR(M24/#REF!-1,"-")</f>
        <v>-</v>
      </c>
      <c r="N25" s="289">
        <f t="shared" si="22"/>
        <v>-7.405245102430745E-2</v>
      </c>
      <c r="O25" s="289">
        <f t="shared" si="3"/>
        <v>-5.1981695770647117E-2</v>
      </c>
      <c r="P25" s="289">
        <f t="shared" si="4"/>
        <v>-3.0940001989026043E-2</v>
      </c>
      <c r="Q25" s="289">
        <f t="shared" si="5"/>
        <v>-9.0596451106998308E-2</v>
      </c>
      <c r="R25" s="289">
        <f t="shared" si="6"/>
        <v>-9.1261979520275122E-2</v>
      </c>
      <c r="S25" s="788"/>
    </row>
    <row r="26" spans="1:20" x14ac:dyDescent="0.35">
      <c r="A26" s="115" t="s">
        <v>460</v>
      </c>
      <c r="B26" s="58">
        <f>B39-C39</f>
        <v>3523.5999999999985</v>
      </c>
      <c r="C26" s="58">
        <f t="shared" ref="C26:M26" si="72">C39-D39</f>
        <v>-6049.5</v>
      </c>
      <c r="D26" s="58">
        <f t="shared" si="72"/>
        <v>13120.2</v>
      </c>
      <c r="E26" s="58">
        <f t="shared" si="72"/>
        <v>7214.0999999999985</v>
      </c>
      <c r="F26" s="58">
        <f t="shared" si="72"/>
        <v>10583.900000000001</v>
      </c>
      <c r="G26" s="58">
        <f t="shared" si="72"/>
        <v>6782.1999999999989</v>
      </c>
      <c r="H26" s="58">
        <f t="shared" si="72"/>
        <v>1018.3000000000002</v>
      </c>
      <c r="I26" s="58">
        <f t="shared" si="72"/>
        <v>-316.59999999999991</v>
      </c>
      <c r="J26" s="58">
        <f t="shared" si="72"/>
        <v>426.90000000000009</v>
      </c>
      <c r="K26" s="58">
        <f t="shared" si="72"/>
        <v>-2441.1000000000004</v>
      </c>
      <c r="L26" s="58">
        <f t="shared" si="72"/>
        <v>-72.899999999999636</v>
      </c>
      <c r="M26" s="55">
        <f t="shared" si="72"/>
        <v>-11373.233333333334</v>
      </c>
      <c r="N26" s="52">
        <f t="shared" si="22"/>
        <v>1867.9888888888893</v>
      </c>
      <c r="O26" s="52">
        <f t="shared" si="3"/>
        <v>3531.4333333333329</v>
      </c>
      <c r="P26" s="52">
        <f t="shared" si="4"/>
        <v>5678.46</v>
      </c>
      <c r="Q26" s="52">
        <f t="shared" si="5"/>
        <v>5170.4000000000005</v>
      </c>
      <c r="R26" s="52">
        <f t="shared" si="6"/>
        <v>3386.2000000000007</v>
      </c>
      <c r="S26" s="790"/>
    </row>
    <row r="27" spans="1:20" x14ac:dyDescent="0.35">
      <c r="A27" s="114" t="s">
        <v>109</v>
      </c>
      <c r="B27" s="54">
        <f>_xlfn.XLOOKUP($A27,Inputs!$A:$A,Inputs!B:B,,0)</f>
        <v>-641.6</v>
      </c>
      <c r="C27" s="54">
        <f>_xlfn.XLOOKUP($A27,Inputs!$A:$A,Inputs!C:C,,0)</f>
        <v>-641.6</v>
      </c>
      <c r="D27" s="54">
        <f>_xlfn.XLOOKUP($A27,Inputs!$A:$A,Inputs!D:D,,0)</f>
        <v>-5338.1</v>
      </c>
      <c r="E27" s="54">
        <f>_xlfn.XLOOKUP($A27,Inputs!$A:$A,Inputs!E:E,,0)</f>
        <v>-2293.8000000000002</v>
      </c>
      <c r="F27" s="54">
        <f>_xlfn.XLOOKUP($A27,Inputs!$A:$A,Inputs!F:F,,0)</f>
        <v>-2646.9</v>
      </c>
      <c r="G27" s="54">
        <f>_xlfn.XLOOKUP($A27,Inputs!$A:$A,Inputs!G:G,,0)</f>
        <v>-1551.6</v>
      </c>
      <c r="H27" s="54">
        <f>_xlfn.XLOOKUP($A27,Inputs!$A:$A,Inputs!H:H,,0)</f>
        <v>-3194.5</v>
      </c>
      <c r="I27" s="54">
        <f>_xlfn.XLOOKUP($A27,Inputs!$A:$A,Inputs!I:I,,0)</f>
        <v>0</v>
      </c>
      <c r="J27" s="54">
        <f>_xlfn.XLOOKUP($A27,Inputs!$A:$A,Inputs!J:J,,0)</f>
        <v>-3194.7</v>
      </c>
      <c r="K27" s="54">
        <f>_xlfn.XLOOKUP($A27,Inputs!$A:$A,Inputs!K:K,,0)</f>
        <v>-2494.6</v>
      </c>
      <c r="L27" s="54">
        <f>_xlfn.XLOOKUP($A27,Inputs!$A:$A,Inputs!L:L,,0)</f>
        <v>-1734.2</v>
      </c>
      <c r="M27" s="55">
        <f>_xlfn.XLOOKUP($A27,Inputs!$A:$A,Inputs!M:M,,0)</f>
        <v>-972.3</v>
      </c>
      <c r="N27" s="52">
        <f t="shared" si="22"/>
        <v>-2058.6583333333333</v>
      </c>
      <c r="O27" s="52">
        <f t="shared" si="3"/>
        <v>-2207.1</v>
      </c>
      <c r="P27" s="52">
        <f t="shared" si="4"/>
        <v>-2312.4</v>
      </c>
      <c r="Q27" s="52">
        <f t="shared" si="5"/>
        <v>-2329.7285714285713</v>
      </c>
      <c r="R27" s="52">
        <f t="shared" si="6"/>
        <v>-2199.7399999999998</v>
      </c>
      <c r="S27" s="788"/>
    </row>
    <row r="28" spans="1:20" x14ac:dyDescent="0.35">
      <c r="A28" s="116" t="s">
        <v>461</v>
      </c>
      <c r="B28" s="54">
        <f>_xlfn.XLOOKUP($A28,Inputs!$A:$A,Inputs!B:B,,0)</f>
        <v>-681.6</v>
      </c>
      <c r="C28" s="54">
        <f>_xlfn.XLOOKUP($A28,Inputs!$A:$A,Inputs!C:C,,0)</f>
        <v>-357.3</v>
      </c>
      <c r="D28" s="54">
        <f>_xlfn.XLOOKUP($A28,Inputs!$A:$A,Inputs!D:D,,0)</f>
        <v>-807.3</v>
      </c>
      <c r="E28" s="54">
        <f>_xlfn.XLOOKUP($A28,Inputs!$A:$A,Inputs!E:E,,0)</f>
        <v>-215.5</v>
      </c>
      <c r="F28" s="54">
        <f>_xlfn.XLOOKUP($A28,Inputs!$A:$A,Inputs!F:F,,0)</f>
        <v>-20</v>
      </c>
      <c r="G28" s="54">
        <f>_xlfn.XLOOKUP($A28,Inputs!$A:$A,Inputs!G:G,,0)</f>
        <v>0</v>
      </c>
      <c r="H28" s="54">
        <f>_xlfn.XLOOKUP($A28,Inputs!$A:$A,Inputs!H:H,,0)</f>
        <v>65</v>
      </c>
      <c r="I28" s="54">
        <f>_xlfn.XLOOKUP($A28,Inputs!$A:$A,Inputs!I:I,,0)</f>
        <v>0</v>
      </c>
      <c r="J28" s="54">
        <f>_xlfn.XLOOKUP($A28,Inputs!$A:$A,Inputs!J:J,,0)</f>
        <v>0</v>
      </c>
      <c r="K28" s="54">
        <f>_xlfn.XLOOKUP($A28,Inputs!$A:$A,Inputs!K:K,,0)</f>
        <v>55</v>
      </c>
      <c r="L28" s="54">
        <f>_xlfn.XLOOKUP($A28,Inputs!$A:$A,Inputs!L:L,,0)</f>
        <v>0</v>
      </c>
      <c r="M28" s="55">
        <f>_xlfn.XLOOKUP($A28,Inputs!$A:$A,Inputs!M:M,,0)</f>
        <v>0</v>
      </c>
      <c r="N28" s="52">
        <f t="shared" si="22"/>
        <v>-163.47499999999999</v>
      </c>
      <c r="O28" s="52">
        <f t="shared" si="3"/>
        <v>-615.4</v>
      </c>
      <c r="P28" s="52">
        <f t="shared" si="4"/>
        <v>-416.34</v>
      </c>
      <c r="Q28" s="52">
        <f t="shared" si="5"/>
        <v>-288.09999999999997</v>
      </c>
      <c r="R28" s="52">
        <f t="shared" si="6"/>
        <v>-196.17</v>
      </c>
      <c r="S28" s="788"/>
    </row>
    <row r="29" spans="1:20" x14ac:dyDescent="0.35">
      <c r="A29" s="114" t="s">
        <v>101</v>
      </c>
      <c r="B29" s="58">
        <f>SUM(B26:B28)</f>
        <v>2200.3999999999987</v>
      </c>
      <c r="C29" s="58">
        <f t="shared" ref="C29:M29" si="73">SUM(C26:C28)</f>
        <v>-7048.4000000000005</v>
      </c>
      <c r="D29" s="58">
        <f t="shared" si="73"/>
        <v>6974.8</v>
      </c>
      <c r="E29" s="58">
        <f t="shared" si="73"/>
        <v>4704.7999999999984</v>
      </c>
      <c r="F29" s="58">
        <f t="shared" si="73"/>
        <v>7917.0000000000018</v>
      </c>
      <c r="G29" s="58">
        <f t="shared" si="73"/>
        <v>5230.5999999999985</v>
      </c>
      <c r="H29" s="58">
        <f t="shared" si="73"/>
        <v>-2111.1999999999998</v>
      </c>
      <c r="I29" s="58">
        <f t="shared" si="73"/>
        <v>-316.59999999999991</v>
      </c>
      <c r="J29" s="58">
        <f t="shared" si="73"/>
        <v>-2767.7999999999997</v>
      </c>
      <c r="K29" s="58">
        <f t="shared" si="73"/>
        <v>-4880.7000000000007</v>
      </c>
      <c r="L29" s="58">
        <f t="shared" si="73"/>
        <v>-1807.0999999999997</v>
      </c>
      <c r="M29" s="55">
        <f t="shared" si="73"/>
        <v>-12345.533333333333</v>
      </c>
      <c r="N29" s="52">
        <f t="shared" si="22"/>
        <v>-354.14444444444456</v>
      </c>
      <c r="O29" s="52">
        <f t="shared" si="3"/>
        <v>708.93333333333283</v>
      </c>
      <c r="P29" s="52">
        <f t="shared" si="4"/>
        <v>2949.72</v>
      </c>
      <c r="Q29" s="52">
        <f t="shared" si="5"/>
        <v>2552.571428571428</v>
      </c>
      <c r="R29" s="52">
        <f t="shared" si="6"/>
        <v>990.28999999999974</v>
      </c>
      <c r="S29" s="788"/>
    </row>
    <row r="30" spans="1:20" x14ac:dyDescent="0.35">
      <c r="A30" s="116" t="s">
        <v>462</v>
      </c>
      <c r="B30" s="58">
        <f>+B29-(B58-C29)</f>
        <v>-62774.1</v>
      </c>
      <c r="C30" s="58">
        <f t="shared" ref="C30:M30" si="74">+C29-(C58-D29)</f>
        <v>-60857.5</v>
      </c>
      <c r="D30" s="58">
        <f t="shared" si="74"/>
        <v>-36610.300000000003</v>
      </c>
      <c r="E30" s="58">
        <f t="shared" si="74"/>
        <v>-26124.600000000009</v>
      </c>
      <c r="F30" s="58">
        <f t="shared" si="74"/>
        <v>-4512.8000000000011</v>
      </c>
      <c r="G30" s="58">
        <f t="shared" si="74"/>
        <v>-16043.600000000002</v>
      </c>
      <c r="H30" s="58">
        <f t="shared" si="74"/>
        <v>-19818.8</v>
      </c>
      <c r="I30" s="58">
        <f t="shared" si="74"/>
        <v>-7549.2000000000007</v>
      </c>
      <c r="J30" s="58">
        <f t="shared" si="74"/>
        <v>-13562.3</v>
      </c>
      <c r="K30" s="58">
        <f t="shared" si="74"/>
        <v>-10901.6</v>
      </c>
      <c r="L30" s="58">
        <f t="shared" si="74"/>
        <v>-18943.633333333331</v>
      </c>
      <c r="M30" s="55">
        <f t="shared" si="74"/>
        <v>-17093.077777777777</v>
      </c>
      <c r="N30" s="52">
        <f t="shared" si="22"/>
        <v>-24565.959259259263</v>
      </c>
      <c r="O30" s="52">
        <f t="shared" si="3"/>
        <v>-53413.966666666674</v>
      </c>
      <c r="P30" s="52">
        <f t="shared" si="4"/>
        <v>-38175.86</v>
      </c>
      <c r="Q30" s="52">
        <f t="shared" si="5"/>
        <v>-32391.67142857143</v>
      </c>
      <c r="R30" s="52">
        <f t="shared" si="6"/>
        <v>-25875.480000000003</v>
      </c>
      <c r="S30" s="788"/>
    </row>
    <row r="31" spans="1:20" x14ac:dyDescent="0.35">
      <c r="A31" s="114" t="s">
        <v>463</v>
      </c>
      <c r="B31" s="58">
        <f>+B30+B33</f>
        <v>-62774.1</v>
      </c>
      <c r="C31" s="58">
        <f t="shared" ref="C31:L31" si="75">+C30+C33</f>
        <v>-60857.5</v>
      </c>
      <c r="D31" s="58">
        <f t="shared" si="75"/>
        <v>-36610.300000000003</v>
      </c>
      <c r="E31" s="58">
        <f t="shared" si="75"/>
        <v>-26124.600000000009</v>
      </c>
      <c r="F31" s="58">
        <f t="shared" si="75"/>
        <v>-9331.1000000000022</v>
      </c>
      <c r="G31" s="58">
        <f t="shared" si="75"/>
        <v>-15974.500000000002</v>
      </c>
      <c r="H31" s="58">
        <f t="shared" si="75"/>
        <v>-19818.8</v>
      </c>
      <c r="I31" s="58">
        <f t="shared" si="75"/>
        <v>-7561.3000000000011</v>
      </c>
      <c r="J31" s="58">
        <f t="shared" si="75"/>
        <v>-13562.3</v>
      </c>
      <c r="K31" s="58">
        <f t="shared" si="75"/>
        <v>-10901.6</v>
      </c>
      <c r="L31" s="58">
        <f t="shared" si="75"/>
        <v>-18943.633333333331</v>
      </c>
      <c r="M31" s="55">
        <f t="shared" ref="M31" si="76">+M30+M33</f>
        <v>-17093.077777777777</v>
      </c>
      <c r="N31" s="52">
        <f t="shared" si="22"/>
        <v>-24962.734259259258</v>
      </c>
      <c r="O31" s="52">
        <f t="shared" si="3"/>
        <v>-53413.966666666674</v>
      </c>
      <c r="P31" s="52">
        <f t="shared" si="4"/>
        <v>-39139.520000000004</v>
      </c>
      <c r="Q31" s="52">
        <f t="shared" si="5"/>
        <v>-33070.128571428577</v>
      </c>
      <c r="R31" s="52">
        <f t="shared" si="6"/>
        <v>-26351.609999999997</v>
      </c>
      <c r="S31" s="788"/>
    </row>
    <row r="32" spans="1:20" x14ac:dyDescent="0.35">
      <c r="A32" s="116" t="s">
        <v>106</v>
      </c>
      <c r="B32" s="54">
        <f>_xlfn.XLOOKUP($A32,Inputs!$A:$A,Inputs!B:B,,0)</f>
        <v>-16229.1</v>
      </c>
      <c r="C32" s="54">
        <f>_xlfn.XLOOKUP($A32,Inputs!$A:$A,Inputs!C:C,,0)</f>
        <v>-15859.3</v>
      </c>
      <c r="D32" s="54">
        <f>_xlfn.XLOOKUP($A32,Inputs!$A:$A,Inputs!D:D,,0)</f>
        <v>-12473</v>
      </c>
      <c r="E32" s="54">
        <f>_xlfn.XLOOKUP($A32,Inputs!$A:$A,Inputs!E:E,,0)</f>
        <v>-7779.9</v>
      </c>
      <c r="F32" s="54">
        <f>_xlfn.XLOOKUP($A32,Inputs!$A:$A,Inputs!F:F,,0)</f>
        <v>-6785.1</v>
      </c>
      <c r="G32" s="54">
        <f>_xlfn.XLOOKUP($A32,Inputs!$A:$A,Inputs!G:G,,0)</f>
        <v>-6246.7</v>
      </c>
      <c r="H32" s="54">
        <f>_xlfn.XLOOKUP($A32,Inputs!$A:$A,Inputs!H:H,,0)</f>
        <v>-5757.3</v>
      </c>
      <c r="I32" s="54">
        <f>_xlfn.XLOOKUP($A32,Inputs!$A:$A,Inputs!I:I,,0)</f>
        <v>-6678.6</v>
      </c>
      <c r="J32" s="54">
        <f>_xlfn.XLOOKUP($A32,Inputs!$A:$A,Inputs!J:J,,0)</f>
        <v>-5838.4</v>
      </c>
      <c r="K32" s="54">
        <f>_xlfn.XLOOKUP($A32,Inputs!$A:$A,Inputs!K:K,,0)</f>
        <v>-7222.9</v>
      </c>
      <c r="L32" s="54">
        <f>_xlfn.XLOOKUP($A32,Inputs!$A:$A,Inputs!L:L,,0)</f>
        <v>-7057.5</v>
      </c>
      <c r="M32" s="55">
        <f>_xlfn.XLOOKUP($A32,Inputs!$A:$A,Inputs!M:M,,0)</f>
        <v>-4265.5</v>
      </c>
      <c r="N32" s="52">
        <f t="shared" si="22"/>
        <v>-8516.1083333333318</v>
      </c>
      <c r="O32" s="52">
        <f t="shared" si="3"/>
        <v>-14853.800000000001</v>
      </c>
      <c r="P32" s="52">
        <f t="shared" si="4"/>
        <v>-11825.28</v>
      </c>
      <c r="Q32" s="52">
        <f t="shared" si="5"/>
        <v>-10161.485714285713</v>
      </c>
      <c r="R32" s="52">
        <f t="shared" si="6"/>
        <v>-9087.0299999999988</v>
      </c>
      <c r="S32" s="788"/>
    </row>
    <row r="33" spans="1:20" x14ac:dyDescent="0.35">
      <c r="A33" s="114" t="s">
        <v>107</v>
      </c>
      <c r="B33" s="54">
        <f>_xlfn.XLOOKUP($A33,Inputs!$A:$A,Inputs!B:B,,0)</f>
        <v>0</v>
      </c>
      <c r="C33" s="54">
        <f>_xlfn.XLOOKUP($A33,Inputs!$A:$A,Inputs!C:C,,0)</f>
        <v>0</v>
      </c>
      <c r="D33" s="54">
        <f>_xlfn.XLOOKUP($A33,Inputs!$A:$A,Inputs!D:D,,0)</f>
        <v>0</v>
      </c>
      <c r="E33" s="54">
        <f>_xlfn.XLOOKUP($A33,Inputs!$A:$A,Inputs!E:E,,0)</f>
        <v>0</v>
      </c>
      <c r="F33" s="54">
        <f>_xlfn.XLOOKUP($A33,Inputs!$A:$A,Inputs!F:F,,0)</f>
        <v>-4818.3</v>
      </c>
      <c r="G33" s="54">
        <f>_xlfn.XLOOKUP($A33,Inputs!$A:$A,Inputs!G:G,,0)</f>
        <v>69.099999999999994</v>
      </c>
      <c r="H33" s="54">
        <f>_xlfn.XLOOKUP($A33,Inputs!$A:$A,Inputs!H:H,,0)</f>
        <v>0</v>
      </c>
      <c r="I33" s="54">
        <f>_xlfn.XLOOKUP($A33,Inputs!$A:$A,Inputs!I:I,,0)</f>
        <v>-12.1</v>
      </c>
      <c r="J33" s="54">
        <f>_xlfn.XLOOKUP($A33,Inputs!$A:$A,Inputs!J:J,,0)</f>
        <v>0</v>
      </c>
      <c r="K33" s="54">
        <f>_xlfn.XLOOKUP($A33,Inputs!$A:$A,Inputs!K:K,,0)</f>
        <v>0</v>
      </c>
      <c r="L33" s="54">
        <f>_xlfn.XLOOKUP($A33,Inputs!$A:$A,Inputs!L:L,,0)</f>
        <v>0</v>
      </c>
      <c r="M33" s="55">
        <f>_xlfn.XLOOKUP($A33,Inputs!$A:$A,Inputs!M:M,,0)</f>
        <v>0</v>
      </c>
      <c r="N33" s="52">
        <f t="shared" si="22"/>
        <v>-396.77500000000003</v>
      </c>
      <c r="O33" s="52">
        <f t="shared" si="3"/>
        <v>0</v>
      </c>
      <c r="P33" s="52">
        <f t="shared" si="4"/>
        <v>-963.66000000000008</v>
      </c>
      <c r="Q33" s="52">
        <f t="shared" si="5"/>
        <v>-678.4571428571428</v>
      </c>
      <c r="R33" s="52">
        <f t="shared" si="6"/>
        <v>-476.13</v>
      </c>
      <c r="S33" s="790"/>
    </row>
    <row r="34" spans="1:20" x14ac:dyDescent="0.35">
      <c r="A34" s="115" t="s">
        <v>102</v>
      </c>
      <c r="B34" s="58">
        <f t="shared" ref="B34:M34" si="77">+B32+B33</f>
        <v>-16229.1</v>
      </c>
      <c r="C34" s="58">
        <f t="shared" si="77"/>
        <v>-15859.3</v>
      </c>
      <c r="D34" s="58">
        <f t="shared" si="77"/>
        <v>-12473</v>
      </c>
      <c r="E34" s="58">
        <f t="shared" si="77"/>
        <v>-7779.9</v>
      </c>
      <c r="F34" s="58">
        <f t="shared" si="77"/>
        <v>-11603.400000000001</v>
      </c>
      <c r="G34" s="58">
        <f t="shared" si="77"/>
        <v>-6177.5999999999995</v>
      </c>
      <c r="H34" s="58">
        <f t="shared" si="77"/>
        <v>-5757.3</v>
      </c>
      <c r="I34" s="58">
        <f t="shared" si="77"/>
        <v>-6690.7000000000007</v>
      </c>
      <c r="J34" s="58">
        <f t="shared" si="77"/>
        <v>-5838.4</v>
      </c>
      <c r="K34" s="58">
        <f t="shared" si="77"/>
        <v>-7222.9</v>
      </c>
      <c r="L34" s="58">
        <f t="shared" si="77"/>
        <v>-7057.5</v>
      </c>
      <c r="M34" s="59">
        <f t="shared" si="77"/>
        <v>-4265.5</v>
      </c>
      <c r="N34" s="52">
        <f t="shared" si="22"/>
        <v>-8912.8833333333332</v>
      </c>
      <c r="O34" s="52">
        <f t="shared" si="3"/>
        <v>-14853.800000000001</v>
      </c>
      <c r="P34" s="52">
        <f t="shared" si="4"/>
        <v>-12788.94</v>
      </c>
      <c r="Q34" s="52">
        <f t="shared" si="5"/>
        <v>-10839.942857142858</v>
      </c>
      <c r="R34" s="52">
        <f t="shared" si="6"/>
        <v>-9563.16</v>
      </c>
      <c r="S34" s="788"/>
    </row>
    <row r="35" spans="1:20" x14ac:dyDescent="0.35">
      <c r="A35" s="114" t="s">
        <v>100</v>
      </c>
      <c r="B35" s="58">
        <f t="shared" ref="B35:M35" si="78">+B27+B28</f>
        <v>-1323.2</v>
      </c>
      <c r="C35" s="58">
        <f t="shared" si="78"/>
        <v>-998.90000000000009</v>
      </c>
      <c r="D35" s="58">
        <f t="shared" si="78"/>
        <v>-6145.4000000000005</v>
      </c>
      <c r="E35" s="58">
        <f t="shared" si="78"/>
        <v>-2509.3000000000002</v>
      </c>
      <c r="F35" s="58">
        <f t="shared" si="78"/>
        <v>-2666.9</v>
      </c>
      <c r="G35" s="58">
        <f t="shared" si="78"/>
        <v>-1551.6</v>
      </c>
      <c r="H35" s="58">
        <f t="shared" si="78"/>
        <v>-3129.5</v>
      </c>
      <c r="I35" s="58">
        <f t="shared" si="78"/>
        <v>0</v>
      </c>
      <c r="J35" s="58">
        <f t="shared" si="78"/>
        <v>-3194.7</v>
      </c>
      <c r="K35" s="58">
        <f t="shared" si="78"/>
        <v>-2439.6</v>
      </c>
      <c r="L35" s="58">
        <f t="shared" si="78"/>
        <v>-1734.2</v>
      </c>
      <c r="M35" s="59">
        <f t="shared" si="78"/>
        <v>-972.3</v>
      </c>
      <c r="N35" s="52">
        <f t="shared" si="22"/>
        <v>-2222.1333333333332</v>
      </c>
      <c r="O35" s="52">
        <f t="shared" si="3"/>
        <v>-2822.5</v>
      </c>
      <c r="P35" s="52">
        <f t="shared" si="4"/>
        <v>-2728.74</v>
      </c>
      <c r="Q35" s="52">
        <f t="shared" si="5"/>
        <v>-2617.8285714285712</v>
      </c>
      <c r="R35" s="52">
        <f t="shared" si="6"/>
        <v>-2395.91</v>
      </c>
      <c r="S35" s="788"/>
    </row>
    <row r="36" spans="1:20" ht="13.15" x14ac:dyDescent="0.4">
      <c r="A36" s="116" t="s">
        <v>464</v>
      </c>
      <c r="B36" s="56">
        <f>IFERROR(B35/B23,"-")</f>
        <v>-0.18844707758915347</v>
      </c>
      <c r="C36" s="56">
        <f t="shared" ref="C36:M36" si="79">IFERROR(C35/C23,"-")</f>
        <v>-0.12084442293733366</v>
      </c>
      <c r="D36" s="56">
        <f t="shared" si="79"/>
        <v>-0.91366467938329798</v>
      </c>
      <c r="E36" s="56">
        <f t="shared" si="79"/>
        <v>-0.46793473193473195</v>
      </c>
      <c r="F36" s="56">
        <f t="shared" si="79"/>
        <v>-0.59305299206119777</v>
      </c>
      <c r="G36" s="56">
        <f t="shared" si="79"/>
        <v>-0.29796631651719696</v>
      </c>
      <c r="H36" s="56">
        <f t="shared" si="79"/>
        <v>-0.62253829321663023</v>
      </c>
      <c r="I36" s="56">
        <f t="shared" si="79"/>
        <v>0</v>
      </c>
      <c r="J36" s="56">
        <f t="shared" si="79"/>
        <v>-0.39639919099673665</v>
      </c>
      <c r="K36" s="56">
        <f t="shared" si="79"/>
        <v>-0.30337623577690725</v>
      </c>
      <c r="L36" s="56">
        <f t="shared" si="79"/>
        <v>-0.21088087942020525</v>
      </c>
      <c r="M36" s="57">
        <f t="shared" si="79"/>
        <v>-0.1708066896212494</v>
      </c>
      <c r="N36" s="289">
        <f t="shared" si="22"/>
        <v>-0.35715929245455347</v>
      </c>
      <c r="O36" s="289">
        <f t="shared" si="3"/>
        <v>-0.40765205996992843</v>
      </c>
      <c r="P36" s="289">
        <f t="shared" si="4"/>
        <v>-0.45678878078114299</v>
      </c>
      <c r="Q36" s="289">
        <f t="shared" si="5"/>
        <v>-0.45777835909136316</v>
      </c>
      <c r="R36" s="289">
        <f t="shared" si="6"/>
        <v>-0.39042239404131862</v>
      </c>
      <c r="S36" s="788"/>
    </row>
    <row r="37" spans="1:20" x14ac:dyDescent="0.35">
      <c r="A37" s="7"/>
      <c r="B37" s="46"/>
      <c r="C37" s="46"/>
      <c r="D37" s="46"/>
      <c r="E37" s="46"/>
      <c r="F37" s="46"/>
      <c r="G37" s="46"/>
      <c r="H37" s="46"/>
      <c r="I37" s="46"/>
      <c r="J37" s="46"/>
      <c r="K37" s="46"/>
      <c r="L37" s="46"/>
      <c r="M37" s="46"/>
    </row>
    <row r="38" spans="1:20" ht="20.65" x14ac:dyDescent="0.6">
      <c r="A38" s="1108" t="s">
        <v>465</v>
      </c>
      <c r="B38" s="1108"/>
      <c r="C38" s="1108"/>
      <c r="D38" s="1108"/>
      <c r="E38" s="1108"/>
      <c r="F38" s="1108"/>
      <c r="G38" s="1108"/>
      <c r="H38" s="1108"/>
      <c r="I38" s="1108"/>
      <c r="J38" s="1108"/>
      <c r="K38" s="1108"/>
      <c r="L38" s="1108"/>
      <c r="M38" s="1108"/>
    </row>
    <row r="39" spans="1:20" x14ac:dyDescent="0.35">
      <c r="A39" s="117" t="s">
        <v>249</v>
      </c>
      <c r="B39" s="54">
        <f>_xlfn.XLOOKUP($A39,Inputs!$A:$A,Inputs!B:B,,0)</f>
        <v>39384.6</v>
      </c>
      <c r="C39" s="54">
        <f>_xlfn.XLOOKUP($A39,Inputs!$A:$A,Inputs!C:C,,0)</f>
        <v>35861</v>
      </c>
      <c r="D39" s="54">
        <f>_xlfn.XLOOKUP($A39,Inputs!$A:$A,Inputs!D:D,,0)</f>
        <v>41910.5</v>
      </c>
      <c r="E39" s="54">
        <f>_xlfn.XLOOKUP($A39,Inputs!$A:$A,Inputs!E:E,,0)</f>
        <v>28790.3</v>
      </c>
      <c r="F39" s="54">
        <f>_xlfn.XLOOKUP($A39,Inputs!$A:$A,Inputs!F:F,,0)</f>
        <v>21576.2</v>
      </c>
      <c r="G39" s="54">
        <f>_xlfn.XLOOKUP($A39,Inputs!$A:$A,Inputs!G:G,,0)</f>
        <v>10992.3</v>
      </c>
      <c r="H39" s="54">
        <f>_xlfn.XLOOKUP($A39,Inputs!$A:$A,Inputs!H:H,,0)</f>
        <v>4210.1000000000004</v>
      </c>
      <c r="I39" s="54">
        <f>_xlfn.XLOOKUP($A39,Inputs!$A:$A,Inputs!I:I,,0)</f>
        <v>3191.8</v>
      </c>
      <c r="J39" s="54">
        <f>_xlfn.XLOOKUP($A39,Inputs!$A:$A,Inputs!J:J,,0)</f>
        <v>3508.4</v>
      </c>
      <c r="K39" s="54">
        <f>_xlfn.XLOOKUP($A39,Inputs!$A:$A,Inputs!K:K,,0)</f>
        <v>3081.5</v>
      </c>
      <c r="L39" s="54">
        <f>_xlfn.XLOOKUP($A39,Inputs!$A:$A,Inputs!L:L,,0)</f>
        <v>5522.6</v>
      </c>
      <c r="M39" s="55">
        <f>_xlfn.XLOOKUP($A39,Inputs!$A:$A,Inputs!M:M,,0)</f>
        <v>5595.5</v>
      </c>
      <c r="N39" s="52">
        <f>AVERAGE(B39:M39)</f>
        <v>16968.733333333334</v>
      </c>
      <c r="O39" s="52">
        <f>AVERAGE(B39:D39)</f>
        <v>39052.033333333333</v>
      </c>
      <c r="P39" s="52">
        <f>AVERAGE(B39:F39)</f>
        <v>33504.520000000004</v>
      </c>
      <c r="Q39" s="52">
        <f>AVERAGE(B39:H39)</f>
        <v>26103.571428571428</v>
      </c>
      <c r="R39" s="52">
        <f>AVERAGE(B39:K39)</f>
        <v>19250.669999999998</v>
      </c>
      <c r="S39" s="788"/>
    </row>
    <row r="40" spans="1:20" x14ac:dyDescent="0.35">
      <c r="A40" s="115" t="s">
        <v>466</v>
      </c>
      <c r="B40" s="54">
        <f>_xlfn.XLOOKUP($A40,Inputs!$A:$A,Inputs!B:B,,0)</f>
        <v>7193.2</v>
      </c>
      <c r="C40" s="54">
        <f>_xlfn.XLOOKUP($A40,Inputs!$A:$A,Inputs!C:C,,0)</f>
        <v>6611.2</v>
      </c>
      <c r="D40" s="54">
        <f>_xlfn.XLOOKUP($A40,Inputs!$A:$A,Inputs!D:D,,0)</f>
        <v>5422</v>
      </c>
      <c r="E40" s="54">
        <f>_xlfn.XLOOKUP($A40,Inputs!$A:$A,Inputs!E:E,,0)</f>
        <v>3936.2</v>
      </c>
      <c r="F40" s="54">
        <f>_xlfn.XLOOKUP($A40,Inputs!$A:$A,Inputs!F:F,,0)</f>
        <v>3193.2</v>
      </c>
      <c r="G40" s="54">
        <f>_xlfn.XLOOKUP($A40,Inputs!$A:$A,Inputs!G:G,,0)</f>
        <v>3343.2</v>
      </c>
      <c r="H40" s="54">
        <f>_xlfn.XLOOKUP($A40,Inputs!$A:$A,Inputs!H:H,,0)</f>
        <v>49948.6</v>
      </c>
      <c r="I40" s="54">
        <f>_xlfn.XLOOKUP($A40,Inputs!$A:$A,Inputs!I:I,,0)</f>
        <v>40304.199999999997</v>
      </c>
      <c r="J40" s="54">
        <f>_xlfn.XLOOKUP($A40,Inputs!$A:$A,Inputs!J:J,,0)</f>
        <v>28837.7</v>
      </c>
      <c r="K40" s="54">
        <f>_xlfn.XLOOKUP($A40,Inputs!$A:$A,Inputs!K:K,,0)</f>
        <v>24082.5</v>
      </c>
      <c r="L40" s="54">
        <f>_xlfn.XLOOKUP($A40,Inputs!$A:$A,Inputs!L:L,,0)</f>
        <v>18204.599999999999</v>
      </c>
      <c r="M40" s="55">
        <f>_xlfn.XLOOKUP($A40,Inputs!$A:$A,Inputs!M:M,,0)</f>
        <v>15482.4</v>
      </c>
      <c r="N40" s="52">
        <f t="shared" ref="N40:N44" si="80">AVERAGE(B40:M40)</f>
        <v>17213.25</v>
      </c>
      <c r="O40" s="52">
        <f t="shared" ref="O40:O44" si="81">AVERAGE(B40:D40)</f>
        <v>6408.8</v>
      </c>
      <c r="P40" s="52">
        <f t="shared" ref="P40:P44" si="82">AVERAGE(B40:F40)</f>
        <v>5271.1600000000008</v>
      </c>
      <c r="Q40" s="52">
        <f t="shared" ref="Q40:Q44" si="83">AVERAGE(B40:H40)</f>
        <v>11378.228571428572</v>
      </c>
      <c r="R40" s="52">
        <f t="shared" ref="R40:R44" si="84">AVERAGE(B40:K40)</f>
        <v>17287.2</v>
      </c>
      <c r="S40" s="789"/>
      <c r="T40" s="289">
        <f>(B40-H40)/H40</f>
        <v>-0.85598795561837571</v>
      </c>
    </row>
    <row r="41" spans="1:20" x14ac:dyDescent="0.35">
      <c r="A41" s="117" t="s">
        <v>251</v>
      </c>
      <c r="B41" s="54">
        <f>_xlfn.XLOOKUP($A41,Inputs!$A:$A,Inputs!B:B,,0)</f>
        <v>26627.8</v>
      </c>
      <c r="C41" s="54">
        <f>_xlfn.XLOOKUP($A41,Inputs!$A:$A,Inputs!C:C,,0)</f>
        <v>22374.5</v>
      </c>
      <c r="D41" s="54">
        <f>_xlfn.XLOOKUP($A41,Inputs!$A:$A,Inputs!D:D,,0)</f>
        <v>13966.4</v>
      </c>
      <c r="E41" s="54">
        <f>_xlfn.XLOOKUP($A41,Inputs!$A:$A,Inputs!E:E,,0)</f>
        <v>7497.6</v>
      </c>
      <c r="F41" s="54">
        <f>_xlfn.XLOOKUP($A41,Inputs!$A:$A,Inputs!F:F,,0)</f>
        <v>6237.2</v>
      </c>
      <c r="G41" s="54">
        <f>_xlfn.XLOOKUP($A41,Inputs!$A:$A,Inputs!G:G,,0)</f>
        <v>4445.1000000000004</v>
      </c>
      <c r="H41" s="54">
        <f>_xlfn.XLOOKUP($A41,Inputs!$A:$A,Inputs!H:H,,0)</f>
        <v>5574.8</v>
      </c>
      <c r="I41" s="54">
        <f>_xlfn.XLOOKUP($A41,Inputs!$A:$A,Inputs!I:I,,0)</f>
        <v>6061.1</v>
      </c>
      <c r="J41" s="54">
        <f>_xlfn.XLOOKUP($A41,Inputs!$A:$A,Inputs!J:J,,0)</f>
        <v>4119.8</v>
      </c>
      <c r="K41" s="54">
        <f>_xlfn.XLOOKUP($A41,Inputs!$A:$A,Inputs!K:K,,0)</f>
        <v>3470.4</v>
      </c>
      <c r="L41" s="54">
        <f>_xlfn.XLOOKUP($A41,Inputs!$A:$A,Inputs!L:L,,0)</f>
        <v>2763.9</v>
      </c>
      <c r="M41" s="55">
        <f>_xlfn.XLOOKUP($A41,Inputs!$A:$A,Inputs!M:M,,0)</f>
        <v>2776.7</v>
      </c>
      <c r="N41" s="52">
        <f t="shared" si="80"/>
        <v>8826.2749999999996</v>
      </c>
      <c r="O41" s="52">
        <f t="shared" si="81"/>
        <v>20989.566666666669</v>
      </c>
      <c r="P41" s="52">
        <f t="shared" si="82"/>
        <v>15340.7</v>
      </c>
      <c r="Q41" s="52">
        <f t="shared" si="83"/>
        <v>12389.057142857144</v>
      </c>
      <c r="R41" s="52">
        <f t="shared" si="84"/>
        <v>10037.470000000001</v>
      </c>
      <c r="S41" s="788"/>
    </row>
    <row r="42" spans="1:20" x14ac:dyDescent="0.35">
      <c r="A42" s="115" t="s">
        <v>467</v>
      </c>
      <c r="B42" s="54">
        <f>_xlfn.XLOOKUP($A42,Inputs!$A:$A,Inputs!B:B,,0)</f>
        <v>40435.199999999997</v>
      </c>
      <c r="C42" s="54">
        <f>_xlfn.XLOOKUP($A42,Inputs!$A:$A,Inputs!C:C,,0)</f>
        <v>39338.800000000003</v>
      </c>
      <c r="D42" s="54">
        <f>_xlfn.XLOOKUP($A42,Inputs!$A:$A,Inputs!D:D,,0)</f>
        <v>35218.699999999997</v>
      </c>
      <c r="E42" s="54">
        <f>_xlfn.XLOOKUP($A42,Inputs!$A:$A,Inputs!E:E,,0)</f>
        <v>34632.6</v>
      </c>
      <c r="F42" s="54">
        <f>_xlfn.XLOOKUP($A42,Inputs!$A:$A,Inputs!F:F,,0)</f>
        <v>35038.699999999997</v>
      </c>
      <c r="G42" s="54">
        <f>_xlfn.XLOOKUP($A42,Inputs!$A:$A,Inputs!G:G,,0)</f>
        <v>36289.1</v>
      </c>
      <c r="H42" s="54">
        <f>_xlfn.XLOOKUP($A42,Inputs!$A:$A,Inputs!H:H,,0)</f>
        <v>35654.9</v>
      </c>
      <c r="I42" s="54">
        <f>_xlfn.XLOOKUP($A42,Inputs!$A:$A,Inputs!I:I,,0)</f>
        <v>32638.799999999999</v>
      </c>
      <c r="J42" s="54">
        <f>_xlfn.XLOOKUP($A42,Inputs!$A:$A,Inputs!J:J,,0)</f>
        <v>28446.1</v>
      </c>
      <c r="K42" s="54">
        <f>_xlfn.XLOOKUP($A42,Inputs!$A:$A,Inputs!K:K,,0)</f>
        <v>25283.5</v>
      </c>
      <c r="L42" s="54">
        <f>_xlfn.XLOOKUP($A42,Inputs!$A:$A,Inputs!L:L,,0)</f>
        <v>21037.200000000001</v>
      </c>
      <c r="M42" s="55">
        <f>_xlfn.XLOOKUP($A42,Inputs!$A:$A,Inputs!M:M,,0)</f>
        <v>16195.8</v>
      </c>
      <c r="N42" s="52">
        <f t="shared" si="80"/>
        <v>31684.116666666665</v>
      </c>
      <c r="O42" s="52">
        <f t="shared" si="81"/>
        <v>38330.9</v>
      </c>
      <c r="P42" s="52">
        <f t="shared" si="82"/>
        <v>36932.800000000003</v>
      </c>
      <c r="Q42" s="52">
        <f t="shared" si="83"/>
        <v>36658.285714285717</v>
      </c>
      <c r="R42" s="52">
        <f t="shared" si="84"/>
        <v>34297.64</v>
      </c>
      <c r="S42" s="788"/>
    </row>
    <row r="43" spans="1:20" x14ac:dyDescent="0.35">
      <c r="A43" s="117" t="s">
        <v>468</v>
      </c>
      <c r="B43" s="54">
        <f>_xlfn.XLOOKUP($A43,Inputs!$A:$A,Inputs!B:B,,0)</f>
        <v>82138.600000000006</v>
      </c>
      <c r="C43" s="54">
        <f>_xlfn.XLOOKUP($A43,Inputs!$A:$A,Inputs!C:C,,0)</f>
        <v>76523.699999999983</v>
      </c>
      <c r="D43" s="54">
        <f>_xlfn.XLOOKUP($A43,Inputs!$A:$A,Inputs!D:D,,0)</f>
        <v>77443.399999999994</v>
      </c>
      <c r="E43" s="54">
        <f>_xlfn.XLOOKUP($A43,Inputs!$A:$A,Inputs!E:E,,0)</f>
        <v>78797</v>
      </c>
      <c r="F43" s="54">
        <f>_xlfn.XLOOKUP($A43,Inputs!$A:$A,Inputs!F:F,,0)</f>
        <v>45758.899999999987</v>
      </c>
      <c r="G43" s="54">
        <f>_xlfn.XLOOKUP($A43,Inputs!$A:$A,Inputs!G:G,,0)</f>
        <v>50430.499999999993</v>
      </c>
      <c r="H43" s="54">
        <f>_xlfn.XLOOKUP($A43,Inputs!$A:$A,Inputs!H:H,,0)</f>
        <v>10596.599999999991</v>
      </c>
      <c r="I43" s="54">
        <f>_xlfn.XLOOKUP($A43,Inputs!$A:$A,Inputs!I:I,,0)</f>
        <v>6901.1999999999971</v>
      </c>
      <c r="J43" s="54">
        <f>_xlfn.XLOOKUP($A43,Inputs!$A:$A,Inputs!J:J,,0)</f>
        <v>6408.9000000000051</v>
      </c>
      <c r="K43" s="54">
        <f>_xlfn.XLOOKUP($A43,Inputs!$A:$A,Inputs!K:K,,0)</f>
        <v>5313.3000000000029</v>
      </c>
      <c r="L43" s="54">
        <f>_xlfn.XLOOKUP($A43,Inputs!$A:$A,Inputs!L:L,,0)</f>
        <v>5063.2000000000044</v>
      </c>
      <c r="M43" s="55">
        <f>_xlfn.XLOOKUP($A43,Inputs!$A:$A,Inputs!M:M,,0)</f>
        <v>2505.5</v>
      </c>
      <c r="N43" s="52">
        <f t="shared" si="80"/>
        <v>37323.399999999994</v>
      </c>
      <c r="O43" s="52">
        <f t="shared" si="81"/>
        <v>78701.899999999994</v>
      </c>
      <c r="P43" s="52">
        <f t="shared" si="82"/>
        <v>72132.319999999978</v>
      </c>
      <c r="Q43" s="52">
        <f t="shared" si="83"/>
        <v>60241.242857142839</v>
      </c>
      <c r="R43" s="52">
        <f t="shared" si="84"/>
        <v>44031.209999999992</v>
      </c>
      <c r="S43" s="788"/>
    </row>
    <row r="44" spans="1:20" ht="13.15" x14ac:dyDescent="0.4">
      <c r="A44" s="118" t="s">
        <v>29</v>
      </c>
      <c r="B44" s="60">
        <f>_xlfn.XLOOKUP($A44,Inputs!$A:$A,Inputs!B:B,,0)</f>
        <v>201270.3</v>
      </c>
      <c r="C44" s="60">
        <f>_xlfn.XLOOKUP($A44,Inputs!$A:$A,Inputs!C:C,,0)</f>
        <v>185357.3</v>
      </c>
      <c r="D44" s="60">
        <f>_xlfn.XLOOKUP($A44,Inputs!$A:$A,Inputs!D:D,,0)</f>
        <v>175408</v>
      </c>
      <c r="E44" s="60">
        <f>_xlfn.XLOOKUP($A44,Inputs!$A:$A,Inputs!E:E,,0)</f>
        <v>154011.5</v>
      </c>
      <c r="F44" s="60">
        <f>_xlfn.XLOOKUP($A44,Inputs!$A:$A,Inputs!F:F,,0)</f>
        <v>113096.4</v>
      </c>
      <c r="G44" s="60">
        <f>_xlfn.XLOOKUP($A44,Inputs!$A:$A,Inputs!G:G,,0)</f>
        <v>111800.4</v>
      </c>
      <c r="H44" s="60">
        <f>_xlfn.XLOOKUP($A44,Inputs!$A:$A,Inputs!H:H,,0)</f>
        <v>110547.4</v>
      </c>
      <c r="I44" s="60">
        <f>_xlfn.XLOOKUP($A44,Inputs!$A:$A,Inputs!I:I,,0)</f>
        <v>92309.2</v>
      </c>
      <c r="J44" s="60">
        <f>_xlfn.XLOOKUP($A44,Inputs!$A:$A,Inputs!J:J,,0)</f>
        <v>71910.600000000006</v>
      </c>
      <c r="K44" s="60">
        <f>_xlfn.XLOOKUP($A44,Inputs!$A:$A,Inputs!K:K,,0)</f>
        <v>61345.3</v>
      </c>
      <c r="L44" s="60">
        <f>_xlfn.XLOOKUP($A44,Inputs!$A:$A,Inputs!L:L,,0)</f>
        <v>52604.800000000003</v>
      </c>
      <c r="M44" s="60">
        <f>_xlfn.XLOOKUP($A44,Inputs!$A:$A,Inputs!M:M,,0)</f>
        <v>42569.4</v>
      </c>
      <c r="N44" s="52">
        <f t="shared" si="80"/>
        <v>114352.55</v>
      </c>
      <c r="O44" s="52">
        <f t="shared" si="81"/>
        <v>187345.19999999998</v>
      </c>
      <c r="P44" s="52">
        <f t="shared" si="82"/>
        <v>165828.70000000001</v>
      </c>
      <c r="Q44" s="52">
        <f t="shared" si="83"/>
        <v>150213.04285714286</v>
      </c>
      <c r="R44" s="52">
        <f t="shared" si="84"/>
        <v>127705.64000000001</v>
      </c>
      <c r="S44" s="788"/>
    </row>
    <row r="45" spans="1:20" x14ac:dyDescent="0.35">
      <c r="B45"/>
      <c r="C45"/>
      <c r="D45"/>
      <c r="E45"/>
      <c r="F45"/>
      <c r="G45"/>
      <c r="H45"/>
      <c r="I45"/>
      <c r="J45"/>
      <c r="K45"/>
      <c r="L45"/>
      <c r="M45"/>
    </row>
    <row r="46" spans="1:20" x14ac:dyDescent="0.35">
      <c r="B46"/>
      <c r="C46"/>
      <c r="D46"/>
      <c r="E46"/>
      <c r="F46"/>
      <c r="G46"/>
      <c r="H46"/>
      <c r="I46"/>
      <c r="J46"/>
      <c r="K46"/>
      <c r="L46"/>
      <c r="M46"/>
    </row>
    <row r="47" spans="1:20" ht="20.65" x14ac:dyDescent="0.6">
      <c r="A47" s="1108" t="s">
        <v>469</v>
      </c>
      <c r="B47" s="1108"/>
      <c r="C47" s="1108"/>
      <c r="D47" s="1108"/>
      <c r="E47" s="1108"/>
      <c r="F47" s="1108"/>
      <c r="G47" s="1108"/>
      <c r="H47" s="1108"/>
      <c r="I47" s="1108"/>
      <c r="J47" s="1108"/>
      <c r="K47" s="1108"/>
      <c r="L47" s="1108"/>
      <c r="M47" s="1108"/>
    </row>
    <row r="48" spans="1:20" ht="13.15" x14ac:dyDescent="0.4">
      <c r="A48" s="119" t="s">
        <v>255</v>
      </c>
      <c r="B48" s="60">
        <f>_xlfn.XLOOKUP($A48,Inputs!$A:$A,Inputs!B:B,,0)</f>
        <v>110835.1</v>
      </c>
      <c r="C48" s="60">
        <f>_xlfn.XLOOKUP($A48,Inputs!$A:$A,Inputs!C:C,,0)</f>
        <v>95802</v>
      </c>
      <c r="D48" s="60">
        <f>_xlfn.XLOOKUP($A48,Inputs!$A:$A,Inputs!D:D,,0)</f>
        <v>95597</v>
      </c>
      <c r="E48" s="60">
        <f>_xlfn.XLOOKUP($A48,Inputs!$A:$A,Inputs!E:E,,0)</f>
        <v>81165.7</v>
      </c>
      <c r="F48" s="60">
        <f>_xlfn.XLOOKUP($A48,Inputs!$A:$A,Inputs!F:F,,0)</f>
        <v>54599.8</v>
      </c>
      <c r="G48" s="60">
        <f>_xlfn.XLOOKUP($A48,Inputs!$A:$A,Inputs!G:G,,0)</f>
        <v>54379.4</v>
      </c>
      <c r="H48" s="60">
        <f>_xlfn.XLOOKUP($A48,Inputs!$A:$A,Inputs!H:H,,0)</f>
        <v>58881.2</v>
      </c>
      <c r="I48" s="60">
        <f>_xlfn.XLOOKUP($A48,Inputs!$A:$A,Inputs!I:I,,0)</f>
        <v>43252.2</v>
      </c>
      <c r="J48" s="60">
        <f>_xlfn.XLOOKUP($A48,Inputs!$A:$A,Inputs!J:J,,0)</f>
        <v>31786.400000000001</v>
      </c>
      <c r="K48" s="60">
        <f>_xlfn.XLOOKUP($A48,Inputs!$A:$A,Inputs!K:K,,0)</f>
        <v>26144.7</v>
      </c>
      <c r="L48" s="60">
        <f>_xlfn.XLOOKUP($A48,Inputs!$A:$A,Inputs!L:L,,0)</f>
        <v>22839.5</v>
      </c>
      <c r="M48" s="60">
        <f>_xlfn.XLOOKUP($A48,Inputs!$A:$A,Inputs!M:M,,0)</f>
        <v>19319.2</v>
      </c>
      <c r="N48" s="52">
        <f>AVERAGE(B48:M48)</f>
        <v>57883.516666666656</v>
      </c>
      <c r="O48" s="52">
        <f>AVERAGE(B48:D48)</f>
        <v>100744.7</v>
      </c>
      <c r="P48" s="52">
        <f>AVERAGE(B48:F48)</f>
        <v>87599.92</v>
      </c>
      <c r="Q48" s="52">
        <f>AVERAGE(B48:H48)</f>
        <v>78751.457142857136</v>
      </c>
      <c r="R48" s="52">
        <f>AVERAGE(B48:K48)</f>
        <v>65244.349999999991</v>
      </c>
      <c r="S48" s="788"/>
    </row>
    <row r="49" spans="1:19" x14ac:dyDescent="0.35">
      <c r="A49" s="120" t="s">
        <v>470</v>
      </c>
      <c r="B49" s="54">
        <f>_xlfn.XLOOKUP($A49,Inputs!$A:$A,Inputs!B:B,,0)</f>
        <v>40515.4</v>
      </c>
      <c r="C49" s="54">
        <f>_xlfn.XLOOKUP($A49,Inputs!$A:$A,Inputs!C:C,,0)</f>
        <v>40888.300000000003</v>
      </c>
      <c r="D49" s="54">
        <f>_xlfn.XLOOKUP($A49,Inputs!$A:$A,Inputs!D:D,,0)</f>
        <v>35681.599999999999</v>
      </c>
      <c r="E49" s="54">
        <f>_xlfn.XLOOKUP($A49,Inputs!$A:$A,Inputs!E:E,,0)</f>
        <v>27473.9</v>
      </c>
      <c r="F49" s="54">
        <f>_xlfn.XLOOKUP($A49,Inputs!$A:$A,Inputs!F:F,,0)</f>
        <v>16395.5</v>
      </c>
      <c r="G49" s="54">
        <f>_xlfn.XLOOKUP($A49,Inputs!$A:$A,Inputs!G:G,,0)</f>
        <v>17005.2</v>
      </c>
      <c r="H49" s="54">
        <f>_xlfn.XLOOKUP($A49,Inputs!$A:$A,Inputs!H:H,,0)</f>
        <v>16967.2</v>
      </c>
      <c r="I49" s="54">
        <f>_xlfn.XLOOKUP($A49,Inputs!$A:$A,Inputs!I:I,,0)</f>
        <v>4415</v>
      </c>
      <c r="J49" s="54">
        <f>_xlfn.XLOOKUP($A49,Inputs!$A:$A,Inputs!J:J,,0)</f>
        <v>5863.8</v>
      </c>
      <c r="K49" s="54">
        <f>_xlfn.XLOOKUP($A49,Inputs!$A:$A,Inputs!K:K,,0)</f>
        <v>4213.8</v>
      </c>
      <c r="L49" s="54">
        <f>_xlfn.XLOOKUP($A49,Inputs!$A:$A,Inputs!L:L,,0)</f>
        <v>4791</v>
      </c>
      <c r="M49" s="54">
        <f>_xlfn.XLOOKUP($A49,Inputs!$A:$A,Inputs!M:M,,0)</f>
        <v>4393.3999999999996</v>
      </c>
      <c r="N49" s="52">
        <f t="shared" ref="N49:N55" si="85">AVERAGE(B49:M49)</f>
        <v>18217.008333333335</v>
      </c>
      <c r="O49" s="52">
        <f t="shared" ref="O49:O64" si="86">AVERAGE(B49:D49)</f>
        <v>39028.433333333342</v>
      </c>
      <c r="P49" s="52">
        <f t="shared" ref="P49:P64" si="87">AVERAGE(B49:F49)</f>
        <v>32190.940000000002</v>
      </c>
      <c r="Q49" s="52">
        <f t="shared" ref="Q49:Q64" si="88">AVERAGE(B49:H49)</f>
        <v>27846.728571428575</v>
      </c>
      <c r="R49" s="52">
        <f t="shared" ref="R49:R64" si="89">AVERAGE(B49:K49)</f>
        <v>20941.97</v>
      </c>
      <c r="S49" s="788"/>
    </row>
    <row r="50" spans="1:19" x14ac:dyDescent="0.35">
      <c r="A50" s="114" t="s">
        <v>471</v>
      </c>
      <c r="B50" s="54">
        <f>_xlfn.XLOOKUP($A50,Inputs!$A:$A,Inputs!B:B,,0)</f>
        <v>0</v>
      </c>
      <c r="C50" s="54">
        <f>_xlfn.XLOOKUP($A50,Inputs!$A:$A,Inputs!C:C,,0)</f>
        <v>0</v>
      </c>
      <c r="D50" s="54">
        <f>_xlfn.XLOOKUP($A50,Inputs!$A:$A,Inputs!D:D,,0)</f>
        <v>0</v>
      </c>
      <c r="E50" s="54">
        <f>_xlfn.XLOOKUP($A50,Inputs!$A:$A,Inputs!E:E,,0)</f>
        <v>0</v>
      </c>
      <c r="F50" s="54">
        <f>_xlfn.XLOOKUP($A50,Inputs!$A:$A,Inputs!F:F,,0)</f>
        <v>0</v>
      </c>
      <c r="G50" s="54">
        <f>_xlfn.XLOOKUP($A50,Inputs!$A:$A,Inputs!G:G,,0)</f>
        <v>0</v>
      </c>
      <c r="H50" s="54">
        <f>_xlfn.XLOOKUP($A50,Inputs!$A:$A,Inputs!H:H,,0)</f>
        <v>0</v>
      </c>
      <c r="I50" s="54">
        <f>_xlfn.XLOOKUP($A50,Inputs!$A:$A,Inputs!I:I,,0)</f>
        <v>0</v>
      </c>
      <c r="J50" s="54">
        <f>_xlfn.XLOOKUP($A50,Inputs!$A:$A,Inputs!J:J,,0)</f>
        <v>0</v>
      </c>
      <c r="K50" s="54">
        <f>_xlfn.XLOOKUP($A50,Inputs!$A:$A,Inputs!K:K,,0)</f>
        <v>0</v>
      </c>
      <c r="L50" s="54">
        <f>_xlfn.XLOOKUP($A50,Inputs!$A:$A,Inputs!L:L,,0)</f>
        <v>0</v>
      </c>
      <c r="M50" s="54">
        <f>_xlfn.XLOOKUP($A50,Inputs!$A:$A,Inputs!M:M,,0)</f>
        <v>0</v>
      </c>
      <c r="N50" s="52">
        <f t="shared" si="85"/>
        <v>0</v>
      </c>
      <c r="O50" s="52">
        <f t="shared" si="86"/>
        <v>0</v>
      </c>
      <c r="P50" s="52">
        <f t="shared" si="87"/>
        <v>0</v>
      </c>
      <c r="Q50" s="52">
        <f t="shared" si="88"/>
        <v>0</v>
      </c>
      <c r="R50" s="52">
        <f t="shared" si="89"/>
        <v>0</v>
      </c>
    </row>
    <row r="51" spans="1:19" x14ac:dyDescent="0.35">
      <c r="A51" s="115" t="s">
        <v>472</v>
      </c>
      <c r="B51" s="54">
        <f>_xlfn.XLOOKUP($A51,Inputs!$A:$A,Inputs!B:B,,0)</f>
        <v>10825.4</v>
      </c>
      <c r="C51" s="54">
        <f>_xlfn.XLOOKUP($A51,Inputs!$A:$A,Inputs!C:C,,0)</f>
        <v>9936.1000000000058</v>
      </c>
      <c r="D51" s="54">
        <f>_xlfn.XLOOKUP($A51,Inputs!$A:$A,Inputs!D:D,,0)</f>
        <v>8269.2000000000116</v>
      </c>
      <c r="E51" s="54">
        <f>_xlfn.XLOOKUP($A51,Inputs!$A:$A,Inputs!E:E,,0)</f>
        <v>8715.8999999999942</v>
      </c>
      <c r="F51" s="54">
        <f>_xlfn.XLOOKUP($A51,Inputs!$A:$A,Inputs!F:F,,0)</f>
        <v>5029</v>
      </c>
      <c r="G51" s="54">
        <f>_xlfn.XLOOKUP($A51,Inputs!$A:$A,Inputs!G:G,,0)</f>
        <v>3638.0999999999985</v>
      </c>
      <c r="H51" s="54">
        <f>_xlfn.XLOOKUP($A51,Inputs!$A:$A,Inputs!H:H,,0)</f>
        <v>5755.8999999999942</v>
      </c>
      <c r="I51" s="54">
        <f>_xlfn.XLOOKUP($A51,Inputs!$A:$A,Inputs!I:I,,0)</f>
        <v>13829.899999999998</v>
      </c>
      <c r="J51" s="54">
        <f>_xlfn.XLOOKUP($A51,Inputs!$A:$A,Inputs!J:J,,0)</f>
        <v>10319.300000000003</v>
      </c>
      <c r="K51" s="54">
        <f>_xlfn.XLOOKUP($A51,Inputs!$A:$A,Inputs!K:K,,0)</f>
        <v>7837.7000000000007</v>
      </c>
      <c r="L51" s="54">
        <f>_xlfn.XLOOKUP($A51,Inputs!$A:$A,Inputs!L:L,,0)</f>
        <v>7336.2999999999993</v>
      </c>
      <c r="M51" s="54">
        <f>_xlfn.XLOOKUP($A51,Inputs!$A:$A,Inputs!M:M,,0)</f>
        <v>6228.4000000000015</v>
      </c>
      <c r="N51" s="52">
        <f t="shared" si="85"/>
        <v>8143.4333333333343</v>
      </c>
      <c r="O51" s="52">
        <f t="shared" si="86"/>
        <v>9676.9000000000069</v>
      </c>
      <c r="P51" s="52">
        <f t="shared" si="87"/>
        <v>8555.1200000000026</v>
      </c>
      <c r="Q51" s="52">
        <f t="shared" si="88"/>
        <v>7452.8000000000011</v>
      </c>
      <c r="R51" s="52">
        <f t="shared" si="89"/>
        <v>8415.65</v>
      </c>
      <c r="S51" s="788"/>
    </row>
    <row r="52" spans="1:19" ht="13.15" x14ac:dyDescent="0.4">
      <c r="A52" s="119" t="s">
        <v>473</v>
      </c>
      <c r="B52" s="60">
        <f>_xlfn.XLOOKUP($A52,Inputs!$A:$A,Inputs!B:B,,0)</f>
        <v>21926.399999999994</v>
      </c>
      <c r="C52" s="60">
        <f>_xlfn.XLOOKUP($A52,Inputs!$A:$A,Inputs!C:C,,0)</f>
        <v>24339.399999999994</v>
      </c>
      <c r="D52" s="60">
        <f>_xlfn.XLOOKUP($A52,Inputs!$A:$A,Inputs!D:D,,0)</f>
        <v>17682.5</v>
      </c>
      <c r="E52" s="60">
        <f>_xlfn.XLOOKUP($A52,Inputs!$A:$A,Inputs!E:E,,0)</f>
        <v>15504</v>
      </c>
      <c r="F52" s="60">
        <f>_xlfn.XLOOKUP($A52,Inputs!$A:$A,Inputs!F:F,,0)</f>
        <v>4097.3999999999942</v>
      </c>
      <c r="G52" s="60">
        <f>_xlfn.XLOOKUP($A52,Inputs!$A:$A,Inputs!G:G,,0)</f>
        <v>4732.3999999999942</v>
      </c>
      <c r="H52" s="60">
        <f>_xlfn.XLOOKUP($A52,Inputs!$A:$A,Inputs!H:H,,0)</f>
        <v>2407.9000000000015</v>
      </c>
      <c r="I52" s="60">
        <f>_xlfn.XLOOKUP($A52,Inputs!$A:$A,Inputs!I:I,,0)</f>
        <v>1703.3000000000029</v>
      </c>
      <c r="J52" s="60">
        <f>_xlfn.XLOOKUP($A52,Inputs!$A:$A,Inputs!J:J,,0)</f>
        <v>1737.2999999999956</v>
      </c>
      <c r="K52" s="60">
        <f>_xlfn.XLOOKUP($A52,Inputs!$A:$A,Inputs!K:K,,0)</f>
        <v>1682.0999999999985</v>
      </c>
      <c r="L52" s="60">
        <f>_xlfn.XLOOKUP($A52,Inputs!$A:$A,Inputs!L:L,,0)</f>
        <v>1757.2999999999993</v>
      </c>
      <c r="M52" s="60">
        <f>_xlfn.XLOOKUP($A52,Inputs!$A:$A,Inputs!M:M,,0)</f>
        <v>1606.7999999999993</v>
      </c>
      <c r="N52" s="52">
        <f t="shared" si="85"/>
        <v>8264.7333333333318</v>
      </c>
      <c r="O52" s="52">
        <f t="shared" si="86"/>
        <v>21316.099999999995</v>
      </c>
      <c r="P52" s="52">
        <f t="shared" si="87"/>
        <v>16709.939999999995</v>
      </c>
      <c r="Q52" s="52">
        <f t="shared" si="88"/>
        <v>12955.714285714281</v>
      </c>
      <c r="R52" s="52">
        <f t="shared" si="89"/>
        <v>9581.2699999999986</v>
      </c>
      <c r="S52" s="788"/>
    </row>
    <row r="53" spans="1:19" x14ac:dyDescent="0.35">
      <c r="A53" s="120" t="s">
        <v>474</v>
      </c>
      <c r="B53" s="54">
        <f>_xlfn.XLOOKUP($A53,Inputs!$A:$A,Inputs!B:B,,0)</f>
        <v>16749.099999999999</v>
      </c>
      <c r="C53" s="54">
        <f>_xlfn.XLOOKUP($A53,Inputs!$A:$A,Inputs!C:C,,0)</f>
        <v>18916.900000000001</v>
      </c>
      <c r="D53" s="54">
        <f>_xlfn.XLOOKUP($A53,Inputs!$A:$A,Inputs!D:D,,0)</f>
        <v>12132.4</v>
      </c>
      <c r="E53" s="54">
        <f>_xlfn.XLOOKUP($A53,Inputs!$A:$A,Inputs!E:E,,0)</f>
        <v>10777.2</v>
      </c>
      <c r="F53" s="54">
        <f>_xlfn.XLOOKUP($A53,Inputs!$A:$A,Inputs!F:F,,0)</f>
        <v>1205.7</v>
      </c>
      <c r="G53" s="54">
        <f>_xlfn.XLOOKUP($A53,Inputs!$A:$A,Inputs!G:G,,0)</f>
        <v>2157.8000000000002</v>
      </c>
      <c r="H53" s="54">
        <f>_xlfn.XLOOKUP($A53,Inputs!$A:$A,Inputs!H:H,,0)</f>
        <v>423.8</v>
      </c>
      <c r="I53" s="54">
        <f>_xlfn.XLOOKUP($A53,Inputs!$A:$A,Inputs!I:I,,0)</f>
        <v>49.8</v>
      </c>
      <c r="J53" s="54">
        <f>_xlfn.XLOOKUP($A53,Inputs!$A:$A,Inputs!J:J,,0)</f>
        <v>50</v>
      </c>
      <c r="K53" s="54">
        <f>_xlfn.XLOOKUP($A53,Inputs!$A:$A,Inputs!K:K,,0)</f>
        <v>0</v>
      </c>
      <c r="L53" s="54">
        <f>_xlfn.XLOOKUP($A53,Inputs!$A:$A,Inputs!L:L,,0)</f>
        <v>0</v>
      </c>
      <c r="M53" s="54">
        <f>_xlfn.XLOOKUP($A53,Inputs!$A:$A,Inputs!M:M,,0)</f>
        <v>0</v>
      </c>
      <c r="N53" s="52">
        <f t="shared" si="85"/>
        <v>5205.2250000000013</v>
      </c>
      <c r="O53" s="52">
        <f t="shared" si="86"/>
        <v>15932.800000000001</v>
      </c>
      <c r="P53" s="52">
        <f t="shared" si="87"/>
        <v>11956.26</v>
      </c>
      <c r="Q53" s="52">
        <f t="shared" si="88"/>
        <v>8908.9857142857163</v>
      </c>
      <c r="R53" s="52">
        <f t="shared" si="89"/>
        <v>6246.2700000000013</v>
      </c>
      <c r="S53" s="788"/>
    </row>
    <row r="54" spans="1:19" x14ac:dyDescent="0.35">
      <c r="A54" s="114" t="s">
        <v>475</v>
      </c>
      <c r="B54" s="54">
        <f>_xlfn.XLOOKUP($A54,Inputs!$A:$A,Inputs!B:B,,0)</f>
        <v>661.6</v>
      </c>
      <c r="C54" s="54">
        <f>_xlfn.XLOOKUP($A54,Inputs!$A:$A,Inputs!C:C,,0)</f>
        <v>978.7</v>
      </c>
      <c r="D54" s="54">
        <f>_xlfn.XLOOKUP($A54,Inputs!$A:$A,Inputs!D:D,,0)</f>
        <v>475.9</v>
      </c>
      <c r="E54" s="54">
        <f>_xlfn.XLOOKUP($A54,Inputs!$A:$A,Inputs!E:E,,0)</f>
        <v>495.3</v>
      </c>
      <c r="F54" s="54">
        <f>_xlfn.XLOOKUP($A54,Inputs!$A:$A,Inputs!F:F,,0)</f>
        <v>59.2</v>
      </c>
      <c r="G54" s="54">
        <f>_xlfn.XLOOKUP($A54,Inputs!$A:$A,Inputs!G:G,,0)</f>
        <v>0</v>
      </c>
      <c r="H54" s="54">
        <f>_xlfn.XLOOKUP($A54,Inputs!$A:$A,Inputs!H:H,,0)</f>
        <v>0</v>
      </c>
      <c r="I54" s="54">
        <f>_xlfn.XLOOKUP($A54,Inputs!$A:$A,Inputs!I:I,,0)</f>
        <v>0</v>
      </c>
      <c r="J54" s="54">
        <f>_xlfn.XLOOKUP($A54,Inputs!$A:$A,Inputs!J:J,,0)</f>
        <v>0</v>
      </c>
      <c r="K54" s="54">
        <f>_xlfn.XLOOKUP($A54,Inputs!$A:$A,Inputs!K:K,,0)</f>
        <v>0</v>
      </c>
      <c r="L54" s="54">
        <f>_xlfn.XLOOKUP($A54,Inputs!$A:$A,Inputs!L:L,,0)</f>
        <v>0</v>
      </c>
      <c r="M54" s="54">
        <f>_xlfn.XLOOKUP($A54,Inputs!$A:$A,Inputs!M:M,,0)</f>
        <v>0</v>
      </c>
      <c r="N54" s="52">
        <f t="shared" si="85"/>
        <v>222.55833333333337</v>
      </c>
      <c r="O54" s="52">
        <f t="shared" si="86"/>
        <v>705.40000000000009</v>
      </c>
      <c r="P54" s="52">
        <f t="shared" si="87"/>
        <v>534.1400000000001</v>
      </c>
      <c r="Q54" s="52">
        <f t="shared" si="88"/>
        <v>381.52857142857147</v>
      </c>
      <c r="R54" s="52">
        <f t="shared" si="89"/>
        <v>267.07000000000005</v>
      </c>
      <c r="S54" s="788"/>
    </row>
    <row r="55" spans="1:19" x14ac:dyDescent="0.35">
      <c r="A55" s="115" t="s">
        <v>476</v>
      </c>
      <c r="B55" s="54">
        <f>_xlfn.XLOOKUP($A55,Inputs!$A:$A,Inputs!B:B,,0)</f>
        <v>4515.6999999999971</v>
      </c>
      <c r="C55" s="54">
        <f>_xlfn.XLOOKUP($A55,Inputs!$A:$A,Inputs!C:C,,0)</f>
        <v>4443.799999999992</v>
      </c>
      <c r="D55" s="54">
        <f>_xlfn.XLOOKUP($A55,Inputs!$A:$A,Inputs!D:D,,0)</f>
        <v>5074.2000000000007</v>
      </c>
      <c r="E55" s="54">
        <f>_xlfn.XLOOKUP($A55,Inputs!$A:$A,Inputs!E:E,,0)</f>
        <v>4231.5</v>
      </c>
      <c r="F55" s="54">
        <f>_xlfn.XLOOKUP($A55,Inputs!$A:$A,Inputs!F:F,,0)</f>
        <v>2832.4999999999941</v>
      </c>
      <c r="G55" s="54">
        <f>_xlfn.XLOOKUP($A55,Inputs!$A:$A,Inputs!G:G,,0)</f>
        <v>2574.599999999994</v>
      </c>
      <c r="H55" s="54">
        <f>_xlfn.XLOOKUP($A55,Inputs!$A:$A,Inputs!H:H,,0)</f>
        <v>1984.1000000000015</v>
      </c>
      <c r="I55" s="54">
        <f>_xlfn.XLOOKUP($A55,Inputs!$A:$A,Inputs!I:I,,0)</f>
        <v>1653.500000000003</v>
      </c>
      <c r="J55" s="54">
        <f>_xlfn.XLOOKUP($A55,Inputs!$A:$A,Inputs!J:J,,0)</f>
        <v>1687.2999999999956</v>
      </c>
      <c r="K55" s="54">
        <f>_xlfn.XLOOKUP($A55,Inputs!$A:$A,Inputs!K:K,,0)</f>
        <v>1682.0999999999985</v>
      </c>
      <c r="L55" s="54">
        <f>_xlfn.XLOOKUP($A55,Inputs!$A:$A,Inputs!L:L,,0)</f>
        <v>1757.2999999999993</v>
      </c>
      <c r="M55" s="54">
        <f>_xlfn.XLOOKUP($A55,Inputs!$A:$A,Inputs!M:M,,0)</f>
        <v>1606.7999999999993</v>
      </c>
      <c r="N55" s="52">
        <f t="shared" si="85"/>
        <v>2836.9499999999985</v>
      </c>
      <c r="O55" s="52">
        <f t="shared" si="86"/>
        <v>4677.8999999999969</v>
      </c>
      <c r="P55" s="52">
        <f t="shared" si="87"/>
        <v>4219.5399999999963</v>
      </c>
      <c r="Q55" s="52">
        <f t="shared" si="88"/>
        <v>3665.1999999999971</v>
      </c>
      <c r="R55" s="52">
        <f t="shared" si="89"/>
        <v>3067.9299999999976</v>
      </c>
      <c r="S55" s="788"/>
    </row>
    <row r="56" spans="1:19" ht="13.15" x14ac:dyDescent="0.4">
      <c r="A56" s="119" t="s">
        <v>35</v>
      </c>
      <c r="B56" s="60">
        <f>_xlfn.XLOOKUP($A56,Inputs!$A:$A,Inputs!B:B,,0)</f>
        <v>132761.5</v>
      </c>
      <c r="C56" s="60">
        <f>_xlfn.XLOOKUP($A56,Inputs!$A:$A,Inputs!C:C,,0)</f>
        <v>120141.4</v>
      </c>
      <c r="D56" s="60">
        <f>_xlfn.XLOOKUP($A56,Inputs!$A:$A,Inputs!D:D,,0)</f>
        <v>113279.5</v>
      </c>
      <c r="E56" s="60">
        <f>_xlfn.XLOOKUP($A56,Inputs!$A:$A,Inputs!E:E,,0)</f>
        <v>96669.7</v>
      </c>
      <c r="F56" s="60">
        <f>_xlfn.XLOOKUP($A56,Inputs!$A:$A,Inputs!F:F,,0)</f>
        <v>58697.2</v>
      </c>
      <c r="G56" s="60">
        <f>_xlfn.XLOOKUP($A56,Inputs!$A:$A,Inputs!G:G,,0)</f>
        <v>59111.799999999996</v>
      </c>
      <c r="H56" s="60">
        <f>_xlfn.XLOOKUP($A56,Inputs!$A:$A,Inputs!H:H,,0)</f>
        <v>61289.1</v>
      </c>
      <c r="I56" s="60">
        <f>_xlfn.XLOOKUP($A56,Inputs!$A:$A,Inputs!I:I,,0)</f>
        <v>44955.5</v>
      </c>
      <c r="J56" s="60">
        <f>_xlfn.XLOOKUP($A56,Inputs!$A:$A,Inputs!J:J,,0)</f>
        <v>33523.699999999997</v>
      </c>
      <c r="K56" s="60">
        <f>_xlfn.XLOOKUP($A56,Inputs!$A:$A,Inputs!K:K,,0)</f>
        <v>27826.799999999999</v>
      </c>
      <c r="L56" s="60">
        <f>_xlfn.XLOOKUP($A56,Inputs!$A:$A,Inputs!L:L,,0)</f>
        <v>24596.799999999999</v>
      </c>
      <c r="M56" s="60">
        <f>_xlfn.XLOOKUP($A56,Inputs!$A:$A,Inputs!M:M,,0)</f>
        <v>20926</v>
      </c>
      <c r="N56" s="52">
        <f>AVERAGE(B56:M56)</f>
        <v>66148.250000000015</v>
      </c>
      <c r="O56" s="52">
        <f t="shared" si="86"/>
        <v>122060.8</v>
      </c>
      <c r="P56" s="52">
        <f t="shared" si="87"/>
        <v>104309.86000000002</v>
      </c>
      <c r="Q56" s="52">
        <f t="shared" si="88"/>
        <v>91707.171428571441</v>
      </c>
      <c r="R56" s="52">
        <f t="shared" si="89"/>
        <v>74825.62000000001</v>
      </c>
      <c r="S56" s="788"/>
    </row>
    <row r="57" spans="1:19" x14ac:dyDescent="0.35">
      <c r="B57"/>
      <c r="C57"/>
      <c r="D57"/>
      <c r="E57"/>
      <c r="F57"/>
      <c r="G57"/>
      <c r="H57"/>
      <c r="I57"/>
      <c r="J57"/>
      <c r="K57"/>
      <c r="L57"/>
      <c r="M57"/>
      <c r="N57" s="52"/>
      <c r="O57" s="52"/>
      <c r="P57" s="52"/>
      <c r="Q57" s="52"/>
      <c r="R57" s="52"/>
    </row>
    <row r="58" spans="1:19" ht="13.15" x14ac:dyDescent="0.4">
      <c r="A58" s="119" t="s">
        <v>256</v>
      </c>
      <c r="B58" s="60">
        <f>B49+B53+B50+B54</f>
        <v>57926.1</v>
      </c>
      <c r="C58" s="60">
        <f t="shared" ref="C58:M58" si="90">C49+C53+C50+C54</f>
        <v>60783.9</v>
      </c>
      <c r="D58" s="60">
        <f t="shared" si="90"/>
        <v>48289.9</v>
      </c>
      <c r="E58" s="60">
        <f t="shared" si="90"/>
        <v>38746.400000000009</v>
      </c>
      <c r="F58" s="60">
        <f t="shared" si="90"/>
        <v>17660.400000000001</v>
      </c>
      <c r="G58" s="60">
        <f t="shared" si="90"/>
        <v>19163</v>
      </c>
      <c r="H58" s="60">
        <f t="shared" si="90"/>
        <v>17391</v>
      </c>
      <c r="I58" s="60">
        <f t="shared" si="90"/>
        <v>4464.8</v>
      </c>
      <c r="J58" s="60">
        <f t="shared" si="90"/>
        <v>5913.8</v>
      </c>
      <c r="K58" s="60">
        <f t="shared" si="90"/>
        <v>4213.8</v>
      </c>
      <c r="L58" s="60">
        <f t="shared" si="90"/>
        <v>4791</v>
      </c>
      <c r="M58" s="60">
        <f t="shared" si="90"/>
        <v>4393.3999999999996</v>
      </c>
      <c r="N58" s="52">
        <f t="shared" ref="N58:N64" si="91">AVERAGE(B58:M58)</f>
        <v>23644.791666666668</v>
      </c>
      <c r="O58" s="52">
        <f t="shared" si="86"/>
        <v>55666.633333333331</v>
      </c>
      <c r="P58" s="52">
        <f t="shared" si="87"/>
        <v>44681.34</v>
      </c>
      <c r="Q58" s="52">
        <f t="shared" si="88"/>
        <v>37137.242857142854</v>
      </c>
      <c r="R58" s="52">
        <f t="shared" si="89"/>
        <v>27455.309999999998</v>
      </c>
      <c r="S58" s="788"/>
    </row>
    <row r="59" spans="1:19" ht="13.15" x14ac:dyDescent="0.4">
      <c r="A59" s="120" t="s">
        <v>56</v>
      </c>
      <c r="B59" s="56">
        <f>IFERROR(B58/B44,"-")</f>
        <v>0.28780252227974024</v>
      </c>
      <c r="C59" s="56">
        <f t="shared" ref="C59:M59" si="92">IFERROR(C58/C44,"-")</f>
        <v>0.32792827690088283</v>
      </c>
      <c r="D59" s="56">
        <f t="shared" si="92"/>
        <v>0.27530044239715407</v>
      </c>
      <c r="E59" s="56">
        <f t="shared" si="92"/>
        <v>0.25158121309123027</v>
      </c>
      <c r="F59" s="56">
        <f t="shared" si="92"/>
        <v>0.15615351151760801</v>
      </c>
      <c r="G59" s="56">
        <f t="shared" si="92"/>
        <v>0.17140368012994589</v>
      </c>
      <c r="H59" s="56">
        <f t="shared" si="92"/>
        <v>0.15731713274124948</v>
      </c>
      <c r="I59" s="56">
        <f t="shared" si="92"/>
        <v>4.8367876658014591E-2</v>
      </c>
      <c r="J59" s="56">
        <f t="shared" si="92"/>
        <v>8.2238223572046396E-2</v>
      </c>
      <c r="K59" s="56">
        <f t="shared" si="92"/>
        <v>6.8689858880794458E-2</v>
      </c>
      <c r="L59" s="56">
        <f t="shared" si="92"/>
        <v>9.1075339132550642E-2</v>
      </c>
      <c r="M59" s="56">
        <f t="shared" si="92"/>
        <v>0.10320558899115326</v>
      </c>
      <c r="N59" s="289">
        <f t="shared" si="91"/>
        <v>0.16842197219103086</v>
      </c>
      <c r="O59" s="289">
        <f t="shared" si="86"/>
        <v>0.29701041385925908</v>
      </c>
      <c r="P59" s="289">
        <f t="shared" si="87"/>
        <v>0.2597531932373231</v>
      </c>
      <c r="Q59" s="289">
        <f t="shared" si="88"/>
        <v>0.23249811129397299</v>
      </c>
      <c r="R59" s="289">
        <f t="shared" si="89"/>
        <v>0.18267827381686666</v>
      </c>
      <c r="S59" s="788"/>
    </row>
    <row r="60" spans="1:19" ht="13.15" x14ac:dyDescent="0.4">
      <c r="A60" s="119" t="s">
        <v>477</v>
      </c>
      <c r="B60" s="60">
        <f>B58-B39</f>
        <v>18541.5</v>
      </c>
      <c r="C60" s="60">
        <f t="shared" ref="C60:M60" si="93">C58-C39</f>
        <v>24922.9</v>
      </c>
      <c r="D60" s="60">
        <f t="shared" si="93"/>
        <v>6379.4000000000015</v>
      </c>
      <c r="E60" s="60">
        <f t="shared" si="93"/>
        <v>9956.1000000000095</v>
      </c>
      <c r="F60" s="60">
        <f t="shared" si="93"/>
        <v>-3915.7999999999993</v>
      </c>
      <c r="G60" s="60">
        <f t="shared" si="93"/>
        <v>8170.7000000000007</v>
      </c>
      <c r="H60" s="60">
        <f t="shared" si="93"/>
        <v>13180.9</v>
      </c>
      <c r="I60" s="60">
        <f t="shared" si="93"/>
        <v>1273</v>
      </c>
      <c r="J60" s="60">
        <f t="shared" si="93"/>
        <v>2405.4</v>
      </c>
      <c r="K60" s="60">
        <f t="shared" si="93"/>
        <v>1132.3000000000002</v>
      </c>
      <c r="L60" s="60">
        <f t="shared" si="93"/>
        <v>-731.60000000000036</v>
      </c>
      <c r="M60" s="60">
        <f t="shared" si="93"/>
        <v>-1202.1000000000004</v>
      </c>
      <c r="N60" s="52">
        <f t="shared" si="91"/>
        <v>6676.0583333333316</v>
      </c>
      <c r="O60" s="52">
        <f t="shared" si="86"/>
        <v>16614.600000000002</v>
      </c>
      <c r="P60" s="52">
        <f t="shared" si="87"/>
        <v>11176.820000000002</v>
      </c>
      <c r="Q60" s="52">
        <f t="shared" si="88"/>
        <v>11033.671428571428</v>
      </c>
      <c r="R60" s="52">
        <f t="shared" si="89"/>
        <v>8204.64</v>
      </c>
      <c r="S60" s="788"/>
    </row>
    <row r="61" spans="1:19" x14ac:dyDescent="0.35">
      <c r="B61"/>
      <c r="C61"/>
      <c r="D61"/>
      <c r="E61"/>
      <c r="F61"/>
      <c r="G61"/>
      <c r="H61"/>
      <c r="I61"/>
      <c r="J61"/>
      <c r="K61"/>
      <c r="L61"/>
      <c r="M61"/>
      <c r="N61" s="52"/>
      <c r="O61" s="52"/>
      <c r="P61" s="52"/>
      <c r="Q61" s="52"/>
      <c r="R61" s="52"/>
    </row>
    <row r="62" spans="1:19" s="47" customFormat="1" ht="13.15" x14ac:dyDescent="0.4">
      <c r="A62" s="119" t="s">
        <v>478</v>
      </c>
      <c r="B62" s="60">
        <f>_xlfn.XLOOKUP($A62,Inputs!$A:$A,Inputs!B:B,,0)</f>
        <v>8.1999999999999993</v>
      </c>
      <c r="C62" s="60">
        <f>_xlfn.XLOOKUP($A62,Inputs!$A:$A,Inputs!C:C,,0)</f>
        <v>14.7</v>
      </c>
      <c r="D62" s="60">
        <f>_xlfn.XLOOKUP($A62,Inputs!$A:$A,Inputs!D:D,,0)</f>
        <v>4.0999999999999996</v>
      </c>
      <c r="E62" s="60">
        <f>_xlfn.XLOOKUP($A62,Inputs!$A:$A,Inputs!E:E,,0)</f>
        <v>0</v>
      </c>
      <c r="F62" s="60">
        <f>_xlfn.XLOOKUP($A62,Inputs!$A:$A,Inputs!F:F,,0)</f>
        <v>0</v>
      </c>
      <c r="G62" s="60">
        <f>_xlfn.XLOOKUP($A62,Inputs!$A:$A,Inputs!G:G,,0)</f>
        <v>163.80000000000001</v>
      </c>
      <c r="H62" s="60">
        <f>_xlfn.XLOOKUP($A62,Inputs!$A:$A,Inputs!H:H,,0)</f>
        <v>123.4</v>
      </c>
      <c r="I62" s="60">
        <f>_xlfn.XLOOKUP($A62,Inputs!$A:$A,Inputs!I:I,,0)</f>
        <v>58.8</v>
      </c>
      <c r="J62" s="60">
        <f>_xlfn.XLOOKUP($A62,Inputs!$A:$A,Inputs!J:J,,0)</f>
        <v>56</v>
      </c>
      <c r="K62" s="60">
        <f>_xlfn.XLOOKUP($A62,Inputs!$A:$A,Inputs!K:K,,0)</f>
        <v>66.599999999999994</v>
      </c>
      <c r="L62" s="60">
        <f>_xlfn.XLOOKUP($A62,Inputs!$A:$A,Inputs!L:L,,0)</f>
        <v>12.1</v>
      </c>
      <c r="M62" s="60">
        <f>_xlfn.XLOOKUP($A62,Inputs!$A:$A,Inputs!M:M,,0)</f>
        <v>129.1</v>
      </c>
      <c r="N62" s="52">
        <f t="shared" si="91"/>
        <v>53.06666666666667</v>
      </c>
      <c r="O62" s="52">
        <f t="shared" si="86"/>
        <v>9</v>
      </c>
      <c r="P62" s="52">
        <f t="shared" si="87"/>
        <v>5.4</v>
      </c>
      <c r="Q62" s="52">
        <f t="shared" si="88"/>
        <v>44.885714285714293</v>
      </c>
      <c r="R62" s="52">
        <f t="shared" si="89"/>
        <v>49.56</v>
      </c>
      <c r="S62" s="800"/>
    </row>
    <row r="63" spans="1:19" x14ac:dyDescent="0.35">
      <c r="B63"/>
      <c r="C63"/>
      <c r="D63"/>
      <c r="E63"/>
      <c r="F63"/>
      <c r="G63"/>
      <c r="H63"/>
      <c r="I63"/>
      <c r="J63"/>
      <c r="K63"/>
      <c r="L63"/>
      <c r="M63"/>
      <c r="N63" s="52"/>
      <c r="O63" s="52"/>
      <c r="P63" s="52"/>
      <c r="Q63" s="52"/>
      <c r="R63" s="52"/>
    </row>
    <row r="64" spans="1:19" ht="13.15" x14ac:dyDescent="0.4">
      <c r="A64" s="119" t="s">
        <v>479</v>
      </c>
      <c r="B64" s="60">
        <f>_xlfn.XLOOKUP($A64,Inputs!$A:$A,Inputs!B:B,,0)</f>
        <v>68500.599999999991</v>
      </c>
      <c r="C64" s="60">
        <f>_xlfn.XLOOKUP($A64,Inputs!$A:$A,Inputs!C:C,,0)</f>
        <v>65201.2</v>
      </c>
      <c r="D64" s="60">
        <f>_xlfn.XLOOKUP($A64,Inputs!$A:$A,Inputs!D:D,,0)</f>
        <v>62124.4</v>
      </c>
      <c r="E64" s="60">
        <f>_xlfn.XLOOKUP($A64,Inputs!$A:$A,Inputs!E:E,,0)</f>
        <v>57341.8</v>
      </c>
      <c r="F64" s="60">
        <f>_xlfn.XLOOKUP($A64,Inputs!$A:$A,Inputs!F:F,,0)</f>
        <v>54399.199999999997</v>
      </c>
      <c r="G64" s="60">
        <f>_xlfn.XLOOKUP($A64,Inputs!$A:$A,Inputs!G:G,,0)</f>
        <v>52524.799999999996</v>
      </c>
      <c r="H64" s="60">
        <f>_xlfn.XLOOKUP($A64,Inputs!$A:$A,Inputs!H:H,,0)</f>
        <v>49134.899999999994</v>
      </c>
      <c r="I64" s="60">
        <f>_xlfn.XLOOKUP($A64,Inputs!$A:$A,Inputs!I:I,,0)</f>
        <v>47294.899999999994</v>
      </c>
      <c r="J64" s="60">
        <f>_xlfn.XLOOKUP($A64,Inputs!$A:$A,Inputs!J:J,,0)</f>
        <v>38330.900000000009</v>
      </c>
      <c r="K64" s="60">
        <f>_xlfn.XLOOKUP($A64,Inputs!$A:$A,Inputs!K:K,,0)</f>
        <v>33451.9</v>
      </c>
      <c r="L64" s="60">
        <f>_xlfn.XLOOKUP($A64,Inputs!$A:$A,Inputs!L:L,,0)</f>
        <v>27995.900000000005</v>
      </c>
      <c r="M64" s="60">
        <f>_xlfn.XLOOKUP($A64,Inputs!$A:$A,Inputs!M:M,,0)</f>
        <v>21514.300000000003</v>
      </c>
      <c r="N64" s="52">
        <f t="shared" si="91"/>
        <v>48151.233333333344</v>
      </c>
      <c r="O64" s="52">
        <f t="shared" si="86"/>
        <v>65275.399999999994</v>
      </c>
      <c r="P64" s="52">
        <f t="shared" si="87"/>
        <v>61513.440000000002</v>
      </c>
      <c r="Q64" s="52">
        <f t="shared" si="88"/>
        <v>58460.985714285714</v>
      </c>
      <c r="R64" s="52">
        <f t="shared" si="89"/>
        <v>52830.460000000006</v>
      </c>
      <c r="S64" s="788"/>
    </row>
    <row r="65" spans="1:235" x14ac:dyDescent="0.35">
      <c r="K65" s="43"/>
      <c r="L65" s="43"/>
      <c r="M65" s="43"/>
    </row>
    <row r="66" spans="1:235" ht="20.65" x14ac:dyDescent="0.6">
      <c r="A66" s="1108" t="s">
        <v>103</v>
      </c>
      <c r="B66" s="1108"/>
      <c r="C66" s="1108"/>
      <c r="D66" s="1108"/>
      <c r="E66" s="1108"/>
      <c r="F66" s="1108"/>
      <c r="G66" s="1108"/>
      <c r="H66" s="1108"/>
      <c r="I66" s="1108"/>
      <c r="J66" s="1108"/>
      <c r="K66" s="1108"/>
      <c r="L66" s="1108"/>
      <c r="M66" s="1108"/>
    </row>
    <row r="67" spans="1:235" ht="13.15" x14ac:dyDescent="0.4">
      <c r="A67" s="119" t="s">
        <v>104</v>
      </c>
      <c r="B67" s="60">
        <f>_xlfn.XLOOKUP($A67,Inputs!$A:$A,Inputs!B:B,,0)</f>
        <v>16025.5</v>
      </c>
      <c r="C67" s="60">
        <f>_xlfn.XLOOKUP($A67,Inputs!$A:$A,Inputs!C:C,,0)</f>
        <v>12206</v>
      </c>
      <c r="D67" s="60">
        <f>_xlfn.XLOOKUP($A67,Inputs!$A:$A,Inputs!D:D,,0)</f>
        <v>35327.699999999997</v>
      </c>
      <c r="E67" s="60">
        <f>_xlfn.XLOOKUP($A67,Inputs!$A:$A,Inputs!E:E,,0)</f>
        <v>5602.4</v>
      </c>
      <c r="F67" s="60">
        <f>_xlfn.XLOOKUP($A67,Inputs!$A:$A,Inputs!F:F,,0)</f>
        <v>13893.4</v>
      </c>
      <c r="G67" s="60">
        <f>_xlfn.XLOOKUP($A67,Inputs!$A:$A,Inputs!G:G,,0)</f>
        <v>19413</v>
      </c>
      <c r="H67" s="60">
        <f>_xlfn.XLOOKUP($A67,Inputs!$A:$A,Inputs!H:H,,0)</f>
        <v>-1090.7</v>
      </c>
      <c r="I67" s="60">
        <f>_xlfn.XLOOKUP($A67,Inputs!$A:$A,Inputs!I:I,,0)</f>
        <v>7134.5</v>
      </c>
      <c r="J67" s="60">
        <f>_xlfn.XLOOKUP($A67,Inputs!$A:$A,Inputs!J:J,,0)</f>
        <v>10138.700000000001</v>
      </c>
      <c r="K67" s="60">
        <f>_xlfn.XLOOKUP($A67,Inputs!$A:$A,Inputs!K:K,,0)</f>
        <v>6097.5</v>
      </c>
      <c r="L67" s="60">
        <f>_xlfn.XLOOKUP($A67,Inputs!$A:$A,Inputs!L:L,,0)</f>
        <v>9087.7000000000007</v>
      </c>
      <c r="M67" s="60">
        <f>_xlfn.XLOOKUP($A67,Inputs!$A:$A,Inputs!M:M,,0)</f>
        <v>4412.7</v>
      </c>
    </row>
    <row r="68" spans="1:235" ht="13.15" x14ac:dyDescent="0.4">
      <c r="A68" s="119" t="s">
        <v>105</v>
      </c>
      <c r="B68" s="60">
        <f>_xlfn.XLOOKUP($A68,Inputs!$A:$A,Inputs!B:B,,0)</f>
        <v>-11619.4</v>
      </c>
      <c r="C68" s="60">
        <f>_xlfn.XLOOKUP($A68,Inputs!$A:$A,Inputs!C:C,,0)</f>
        <v>-10983.9</v>
      </c>
      <c r="D68" s="60">
        <f>_xlfn.XLOOKUP($A68,Inputs!$A:$A,Inputs!D:D,,0)</f>
        <v>-11726.6</v>
      </c>
      <c r="E68" s="60">
        <f>_xlfn.XLOOKUP($A68,Inputs!$A:$A,Inputs!E:E,,0)</f>
        <v>-12254</v>
      </c>
      <c r="F68" s="60">
        <f>_xlfn.XLOOKUP($A68,Inputs!$A:$A,Inputs!F:F,,0)</f>
        <v>-15905.9</v>
      </c>
      <c r="G68" s="60">
        <f>_xlfn.XLOOKUP($A68,Inputs!$A:$A,Inputs!G:G,,0)</f>
        <v>-10246.1</v>
      </c>
      <c r="H68" s="60">
        <f>_xlfn.XLOOKUP($A68,Inputs!$A:$A,Inputs!H:H,,0)</f>
        <v>3192.5</v>
      </c>
      <c r="I68" s="60">
        <f>_xlfn.XLOOKUP($A68,Inputs!$A:$A,Inputs!I:I,,0)</f>
        <v>-8404.2999999999993</v>
      </c>
      <c r="J68" s="60">
        <f>_xlfn.XLOOKUP($A68,Inputs!$A:$A,Inputs!J:J,,0)</f>
        <v>-6626</v>
      </c>
      <c r="K68" s="60">
        <f>_xlfn.XLOOKUP($A68,Inputs!$A:$A,Inputs!K:K,,0)</f>
        <v>-7222.8</v>
      </c>
      <c r="L68" s="60">
        <f>_xlfn.XLOOKUP($A68,Inputs!$A:$A,Inputs!L:L,,0)</f>
        <v>-6739.5</v>
      </c>
      <c r="M68" s="60">
        <f>_xlfn.XLOOKUP($A68,Inputs!$A:$A,Inputs!M:M,,0)</f>
        <v>-3956.7</v>
      </c>
    </row>
    <row r="69" spans="1:235" x14ac:dyDescent="0.35">
      <c r="A69" s="115" t="s">
        <v>106</v>
      </c>
      <c r="B69" s="54">
        <f>_xlfn.XLOOKUP($A69,Inputs!$A:$A,Inputs!B:B,,0)</f>
        <v>-16229.1</v>
      </c>
      <c r="C69" s="54">
        <f>_xlfn.XLOOKUP($A69,Inputs!$A:$A,Inputs!C:C,,0)</f>
        <v>-15859.3</v>
      </c>
      <c r="D69" s="54">
        <f>_xlfn.XLOOKUP($A69,Inputs!$A:$A,Inputs!D:D,,0)</f>
        <v>-12473</v>
      </c>
      <c r="E69" s="54">
        <f>_xlfn.XLOOKUP($A69,Inputs!$A:$A,Inputs!E:E,,0)</f>
        <v>-7779.9</v>
      </c>
      <c r="F69" s="54">
        <f>_xlfn.XLOOKUP($A69,Inputs!$A:$A,Inputs!F:F,,0)</f>
        <v>-6785.1</v>
      </c>
      <c r="G69" s="54">
        <f>_xlfn.XLOOKUP($A69,Inputs!$A:$A,Inputs!G:G,,0)</f>
        <v>-6246.7</v>
      </c>
      <c r="H69" s="54">
        <f>_xlfn.XLOOKUP($A69,Inputs!$A:$A,Inputs!H:H,,0)</f>
        <v>-5757.3</v>
      </c>
      <c r="I69" s="54">
        <f>_xlfn.XLOOKUP($A69,Inputs!$A:$A,Inputs!I:I,,0)</f>
        <v>-6678.6</v>
      </c>
      <c r="J69" s="54">
        <f>_xlfn.XLOOKUP($A69,Inputs!$A:$A,Inputs!J:J,,0)</f>
        <v>-5838.4</v>
      </c>
      <c r="K69" s="54">
        <f>_xlfn.XLOOKUP($A69,Inputs!$A:$A,Inputs!K:K,,0)</f>
        <v>-7222.9</v>
      </c>
      <c r="L69" s="54">
        <f>_xlfn.XLOOKUP($A69,Inputs!$A:$A,Inputs!L:L,,0)</f>
        <v>-7057.5</v>
      </c>
      <c r="M69" s="54">
        <f>_xlfn.XLOOKUP($A69,Inputs!$A:$A,Inputs!M:M,,0)</f>
        <v>-4265.5</v>
      </c>
    </row>
    <row r="70" spans="1:235" x14ac:dyDescent="0.35">
      <c r="A70" s="115" t="s">
        <v>107</v>
      </c>
      <c r="B70" s="54">
        <f>_xlfn.XLOOKUP($A70,Inputs!$A:$A,Inputs!B:B,,0)</f>
        <v>0</v>
      </c>
      <c r="C70" s="54">
        <f>_xlfn.XLOOKUP($A70,Inputs!$A:$A,Inputs!C:C,,0)</f>
        <v>0</v>
      </c>
      <c r="D70" s="54">
        <f>_xlfn.XLOOKUP($A70,Inputs!$A:$A,Inputs!D:D,,0)</f>
        <v>0</v>
      </c>
      <c r="E70" s="54">
        <f>_xlfn.XLOOKUP($A70,Inputs!$A:$A,Inputs!E:E,,0)</f>
        <v>0</v>
      </c>
      <c r="F70" s="54">
        <f>_xlfn.XLOOKUP($A70,Inputs!$A:$A,Inputs!F:F,,0)</f>
        <v>-4818.3</v>
      </c>
      <c r="G70" s="54">
        <f>_xlfn.XLOOKUP($A70,Inputs!$A:$A,Inputs!G:G,,0)</f>
        <v>69.099999999999994</v>
      </c>
      <c r="H70" s="54">
        <f>_xlfn.XLOOKUP($A70,Inputs!$A:$A,Inputs!H:H,,0)</f>
        <v>0</v>
      </c>
      <c r="I70" s="54">
        <f>_xlfn.XLOOKUP($A70,Inputs!$A:$A,Inputs!I:I,,0)</f>
        <v>-12.1</v>
      </c>
      <c r="J70" s="54">
        <f>_xlfn.XLOOKUP($A70,Inputs!$A:$A,Inputs!J:J,,0)</f>
        <v>0</v>
      </c>
      <c r="K70" s="54">
        <f>_xlfn.XLOOKUP($A70,Inputs!$A:$A,Inputs!K:K,,0)</f>
        <v>0</v>
      </c>
      <c r="L70" s="54">
        <f>_xlfn.XLOOKUP($A70,Inputs!$A:$A,Inputs!L:L,,0)</f>
        <v>0</v>
      </c>
      <c r="M70" s="54">
        <f>_xlfn.XLOOKUP($A70,Inputs!$A:$A,Inputs!M:M,,0)</f>
        <v>0</v>
      </c>
      <c r="IA70" s="43"/>
    </row>
    <row r="71" spans="1:235" ht="13.15" x14ac:dyDescent="0.4">
      <c r="A71" s="119" t="s">
        <v>108</v>
      </c>
      <c r="B71" s="60">
        <f>_xlfn.XLOOKUP($A71,Inputs!$A:$A,Inputs!B:B,,0)</f>
        <v>3949</v>
      </c>
      <c r="C71" s="60">
        <f>_xlfn.XLOOKUP($A71,Inputs!$A:$A,Inputs!C:C,,0)</f>
        <v>-2548.6999999999998</v>
      </c>
      <c r="D71" s="60">
        <f>_xlfn.XLOOKUP($A71,Inputs!$A:$A,Inputs!D:D,,0)</f>
        <v>-9092.2000000000007</v>
      </c>
      <c r="E71" s="60">
        <f>_xlfn.XLOOKUP($A71,Inputs!$A:$A,Inputs!E:E,,0)</f>
        <v>11612.1</v>
      </c>
      <c r="F71" s="60">
        <f>_xlfn.XLOOKUP($A71,Inputs!$A:$A,Inputs!F:F,,0)</f>
        <v>4127.1000000000004</v>
      </c>
      <c r="G71" s="60">
        <f>_xlfn.XLOOKUP($A71,Inputs!$A:$A,Inputs!G:G,,0)</f>
        <v>-6010.3</v>
      </c>
      <c r="H71" s="60">
        <f>_xlfn.XLOOKUP($A71,Inputs!$A:$A,Inputs!H:H,,0)</f>
        <v>6240.2</v>
      </c>
      <c r="I71" s="60">
        <f>_xlfn.XLOOKUP($A71,Inputs!$A:$A,Inputs!I:I,,0)</f>
        <v>621.4</v>
      </c>
      <c r="J71" s="60">
        <f>_xlfn.XLOOKUP($A71,Inputs!$A:$A,Inputs!J:J,,0)</f>
        <v>-4107.8999999999996</v>
      </c>
      <c r="K71" s="60">
        <f>_xlfn.XLOOKUP($A71,Inputs!$A:$A,Inputs!K:K,,0)</f>
        <v>-1298</v>
      </c>
      <c r="L71" s="60">
        <f>_xlfn.XLOOKUP($A71,Inputs!$A:$A,Inputs!L:L,,0)</f>
        <v>-2410.1999999999998</v>
      </c>
      <c r="M71" s="60">
        <f>_xlfn.XLOOKUP($A71,Inputs!$A:$A,Inputs!M:M,,0)</f>
        <v>-1159</v>
      </c>
      <c r="IA71" s="43"/>
    </row>
    <row r="72" spans="1:235" x14ac:dyDescent="0.35">
      <c r="A72" s="115" t="s">
        <v>109</v>
      </c>
      <c r="B72" s="54">
        <f>_xlfn.XLOOKUP($A72,Inputs!$A:$A,Inputs!B:B,,0)</f>
        <v>-641.6</v>
      </c>
      <c r="C72" s="54">
        <f>_xlfn.XLOOKUP($A72,Inputs!$A:$A,Inputs!C:C,,0)</f>
        <v>-641.6</v>
      </c>
      <c r="D72" s="54">
        <f>_xlfn.XLOOKUP($A72,Inputs!$A:$A,Inputs!D:D,,0)</f>
        <v>-5338.1</v>
      </c>
      <c r="E72" s="54">
        <f>_xlfn.XLOOKUP($A72,Inputs!$A:$A,Inputs!E:E,,0)</f>
        <v>-2293.8000000000002</v>
      </c>
      <c r="F72" s="54">
        <f>_xlfn.XLOOKUP($A72,Inputs!$A:$A,Inputs!F:F,,0)</f>
        <v>-2646.9</v>
      </c>
      <c r="G72" s="54">
        <f>_xlfn.XLOOKUP($A72,Inputs!$A:$A,Inputs!G:G,,0)</f>
        <v>-1551.6</v>
      </c>
      <c r="H72" s="54">
        <f>_xlfn.XLOOKUP($A72,Inputs!$A:$A,Inputs!H:H,,0)</f>
        <v>-3194.5</v>
      </c>
      <c r="I72" s="54">
        <f>_xlfn.XLOOKUP($A72,Inputs!$A:$A,Inputs!I:I,,0)</f>
        <v>0</v>
      </c>
      <c r="J72" s="54">
        <f>_xlfn.XLOOKUP($A72,Inputs!$A:$A,Inputs!J:J,,0)</f>
        <v>-3194.7</v>
      </c>
      <c r="K72" s="54">
        <f>_xlfn.XLOOKUP($A72,Inputs!$A:$A,Inputs!K:K,,0)</f>
        <v>-2494.6</v>
      </c>
      <c r="L72" s="54">
        <f>_xlfn.XLOOKUP($A72,Inputs!$A:$A,Inputs!L:L,,0)</f>
        <v>-1734.2</v>
      </c>
      <c r="M72" s="54">
        <f>_xlfn.XLOOKUP($A72,Inputs!$A:$A,Inputs!M:M,,0)</f>
        <v>-972.3</v>
      </c>
      <c r="IA72" s="43"/>
    </row>
    <row r="73" spans="1:235" x14ac:dyDescent="0.35">
      <c r="A73" s="115" t="s">
        <v>461</v>
      </c>
      <c r="B73" s="54">
        <f>_xlfn.XLOOKUP($A73,Inputs!$A:$A,Inputs!B:B,,0)</f>
        <v>-681.6</v>
      </c>
      <c r="C73" s="54">
        <f>_xlfn.XLOOKUP($A73,Inputs!$A:$A,Inputs!C:C,,0)</f>
        <v>-357.3</v>
      </c>
      <c r="D73" s="54">
        <f>_xlfn.XLOOKUP($A73,Inputs!$A:$A,Inputs!D:D,,0)</f>
        <v>-807.3</v>
      </c>
      <c r="E73" s="54">
        <f>_xlfn.XLOOKUP($A73,Inputs!$A:$A,Inputs!E:E,,0)</f>
        <v>-215.5</v>
      </c>
      <c r="F73" s="54">
        <f>_xlfn.XLOOKUP($A73,Inputs!$A:$A,Inputs!F:F,,0)</f>
        <v>-20</v>
      </c>
      <c r="G73" s="54">
        <f>_xlfn.XLOOKUP($A73,Inputs!$A:$A,Inputs!G:G,,0)</f>
        <v>0</v>
      </c>
      <c r="H73" s="54">
        <f>_xlfn.XLOOKUP($A73,Inputs!$A:$A,Inputs!H:H,,0)</f>
        <v>65</v>
      </c>
      <c r="I73" s="54">
        <f>_xlfn.XLOOKUP($A73,Inputs!$A:$A,Inputs!I:I,,0)</f>
        <v>0</v>
      </c>
      <c r="J73" s="54">
        <f>_xlfn.XLOOKUP($A73,Inputs!$A:$A,Inputs!J:J,,0)</f>
        <v>0</v>
      </c>
      <c r="K73" s="54">
        <f>_xlfn.XLOOKUP($A73,Inputs!$A:$A,Inputs!K:K,,0)</f>
        <v>55</v>
      </c>
      <c r="L73" s="54">
        <f>_xlfn.XLOOKUP($A73,Inputs!$A:$A,Inputs!L:L,,0)</f>
        <v>0</v>
      </c>
      <c r="M73" s="54">
        <f>_xlfn.XLOOKUP($A73,Inputs!$A:$A,Inputs!M:M,,0)</f>
        <v>0</v>
      </c>
    </row>
    <row r="74" spans="1:235" ht="13.15" x14ac:dyDescent="0.4">
      <c r="A74" s="119" t="s">
        <v>112</v>
      </c>
      <c r="B74" s="60">
        <f>_xlfn.XLOOKUP($A74,Inputs!$A:$A,Inputs!B:B,,0)</f>
        <v>18.399999999999999</v>
      </c>
      <c r="C74" s="60">
        <f>_xlfn.XLOOKUP($A74,Inputs!$A:$A,Inputs!C:C,,0)</f>
        <v>317.39999999999998</v>
      </c>
      <c r="D74" s="60">
        <f>_xlfn.XLOOKUP($A74,Inputs!$A:$A,Inputs!D:D,,0)</f>
        <v>-192.5</v>
      </c>
      <c r="E74" s="60">
        <f>_xlfn.XLOOKUP($A74,Inputs!$A:$A,Inputs!E:E,,0)</f>
        <v>-146.19999999999999</v>
      </c>
      <c r="F74" s="60">
        <f>_xlfn.XLOOKUP($A74,Inputs!$A:$A,Inputs!F:F,,0)</f>
        <v>48.1</v>
      </c>
      <c r="G74" s="60">
        <f>_xlfn.XLOOKUP($A74,Inputs!$A:$A,Inputs!G:G,,0)</f>
        <v>-386</v>
      </c>
      <c r="H74" s="60">
        <f>_xlfn.XLOOKUP($A74,Inputs!$A:$A,Inputs!H:H,,0)</f>
        <v>-4.7</v>
      </c>
      <c r="I74" s="60">
        <f>_xlfn.XLOOKUP($A74,Inputs!$A:$A,Inputs!I:I,,0)</f>
        <v>81.900000000000006</v>
      </c>
      <c r="J74" s="60">
        <f>_xlfn.XLOOKUP($A74,Inputs!$A:$A,Inputs!J:J,,0)</f>
        <v>-27.9</v>
      </c>
      <c r="K74" s="60">
        <f>_xlfn.XLOOKUP($A74,Inputs!$A:$A,Inputs!K:K,,0)</f>
        <v>-17.8</v>
      </c>
      <c r="L74" s="60">
        <f>_xlfn.XLOOKUP($A74,Inputs!$A:$A,Inputs!L:L,,0)</f>
        <v>10.9</v>
      </c>
      <c r="M74" s="60">
        <f>_xlfn.XLOOKUP($A74,Inputs!$A:$A,Inputs!M:M,,0)</f>
        <v>-7.7</v>
      </c>
    </row>
    <row r="75" spans="1:235" ht="13.15" x14ac:dyDescent="0.4">
      <c r="A75" s="119" t="s">
        <v>480</v>
      </c>
      <c r="B75" s="60">
        <f>_xlfn.XLOOKUP($A75,Inputs!$A:$A,Inputs!B:B,,0)</f>
        <v>8373.5</v>
      </c>
      <c r="C75" s="60">
        <f>_xlfn.XLOOKUP($A75,Inputs!$A:$A,Inputs!C:C,,0)</f>
        <v>-1009.1999999999995</v>
      </c>
      <c r="D75" s="60">
        <f>_xlfn.XLOOKUP($A75,Inputs!$A:$A,Inputs!D:D,,0)</f>
        <v>14316.399999999998</v>
      </c>
      <c r="E75" s="60">
        <f>_xlfn.XLOOKUP($A75,Inputs!$A:$A,Inputs!E:E,,0)</f>
        <v>4814.3</v>
      </c>
      <c r="F75" s="60">
        <f>_xlfn.XLOOKUP($A75,Inputs!$A:$A,Inputs!F:F,,0)</f>
        <v>2162.7000000000003</v>
      </c>
      <c r="G75" s="60">
        <f>_xlfn.XLOOKUP($A75,Inputs!$A:$A,Inputs!G:G,,0)</f>
        <v>2770.5999999999995</v>
      </c>
      <c r="H75" s="60">
        <f>_xlfn.XLOOKUP($A75,Inputs!$A:$A,Inputs!H:H,,0)</f>
        <v>8337.2999999999993</v>
      </c>
      <c r="I75" s="60">
        <f>_xlfn.XLOOKUP($A75,Inputs!$A:$A,Inputs!I:I,,0)</f>
        <v>-566.49999999999932</v>
      </c>
      <c r="J75" s="60">
        <f>_xlfn.XLOOKUP($A75,Inputs!$A:$A,Inputs!J:J,,0)</f>
        <v>-623.09999999999889</v>
      </c>
      <c r="K75" s="60">
        <f>_xlfn.XLOOKUP($A75,Inputs!$A:$A,Inputs!K:K,,0)</f>
        <v>-2441.1000000000004</v>
      </c>
      <c r="L75" s="60">
        <f>_xlfn.XLOOKUP($A75,Inputs!$A:$A,Inputs!L:L,,0)</f>
        <v>-51.099999999999092</v>
      </c>
      <c r="M75" s="60">
        <f>_xlfn.XLOOKUP($A75,Inputs!$A:$A,Inputs!M:M,,0)</f>
        <v>-710.7</v>
      </c>
    </row>
    <row r="76" spans="1:235" x14ac:dyDescent="0.35">
      <c r="K76" s="43"/>
      <c r="L76" s="43"/>
      <c r="M76" s="43"/>
    </row>
    <row r="77" spans="1:235" ht="20.65" x14ac:dyDescent="0.6">
      <c r="A77" s="1108" t="s">
        <v>481</v>
      </c>
      <c r="B77" s="1108"/>
      <c r="C77" s="1108"/>
      <c r="D77" s="1108"/>
      <c r="E77" s="1108"/>
      <c r="F77" s="1108"/>
      <c r="G77" s="1108"/>
      <c r="H77" s="1108"/>
      <c r="I77" s="1108"/>
      <c r="J77" s="1108"/>
      <c r="K77" s="1108"/>
      <c r="L77" s="1108"/>
      <c r="M77" s="1108"/>
    </row>
    <row r="78" spans="1:235" x14ac:dyDescent="0.35">
      <c r="A78" s="114" t="s">
        <v>482</v>
      </c>
      <c r="B78" s="54" t="e">
        <f>_xlfn.XLOOKUP($A78,Inputs!$A:$A,Inputs!B:B,,0)</f>
        <v>#N/A</v>
      </c>
      <c r="C78" s="54" t="e">
        <f>_xlfn.XLOOKUP($A78,Inputs!$A:$A,Inputs!C:C,,0)</f>
        <v>#N/A</v>
      </c>
      <c r="D78" s="54" t="e">
        <f>_xlfn.XLOOKUP($A78,Inputs!$A:$A,Inputs!D:D,,0)</f>
        <v>#N/A</v>
      </c>
      <c r="E78" s="54" t="e">
        <f>_xlfn.XLOOKUP($A78,Inputs!$A:$A,Inputs!E:E,,0)</f>
        <v>#N/A</v>
      </c>
      <c r="F78" s="54" t="e">
        <f>_xlfn.XLOOKUP($A78,Inputs!$A:$A,Inputs!F:F,,0)</f>
        <v>#N/A</v>
      </c>
      <c r="G78" s="54" t="e">
        <f>_xlfn.XLOOKUP($A78,Inputs!$A:$A,Inputs!G:G,,0)</f>
        <v>#N/A</v>
      </c>
      <c r="H78" s="54" t="e">
        <f>_xlfn.XLOOKUP($A78,Inputs!$A:$A,Inputs!H:H,,0)</f>
        <v>#N/A</v>
      </c>
      <c r="I78" s="54" t="e">
        <f>_xlfn.XLOOKUP($A78,Inputs!$A:$A,Inputs!I:I,,0)</f>
        <v>#N/A</v>
      </c>
      <c r="J78" s="54" t="e">
        <f>_xlfn.XLOOKUP($A78,Inputs!$A:$A,Inputs!J:J,,0)</f>
        <v>#N/A</v>
      </c>
      <c r="K78" s="54" t="e">
        <f>_xlfn.XLOOKUP($A78,Inputs!$A:$A,Inputs!K:K,,0)</f>
        <v>#N/A</v>
      </c>
      <c r="L78" s="54" t="e">
        <f>_xlfn.XLOOKUP($A78,Inputs!$A:$A,Inputs!L:L,,0)</f>
        <v>#N/A</v>
      </c>
      <c r="M78" s="54" t="e">
        <f>_xlfn.XLOOKUP($A78,Inputs!$A:$A,Inputs!M:M,,0)</f>
        <v>#N/A</v>
      </c>
    </row>
    <row r="79" spans="1:235" x14ac:dyDescent="0.35">
      <c r="A79" s="120" t="s">
        <v>483</v>
      </c>
      <c r="B79" s="54" t="e">
        <f>_xlfn.XLOOKUP($A79,Inputs!$A:$A,Inputs!B:B,,0)</f>
        <v>#N/A</v>
      </c>
      <c r="C79" s="54" t="e">
        <f>_xlfn.XLOOKUP($A79,Inputs!$A:$A,Inputs!C:C,,0)</f>
        <v>#N/A</v>
      </c>
      <c r="D79" s="54" t="e">
        <f>_xlfn.XLOOKUP($A79,Inputs!$A:$A,Inputs!D:D,,0)</f>
        <v>#N/A</v>
      </c>
      <c r="E79" s="54" t="e">
        <f>_xlfn.XLOOKUP($A79,Inputs!$A:$A,Inputs!E:E,,0)</f>
        <v>#N/A</v>
      </c>
      <c r="F79" s="54" t="e">
        <f>_xlfn.XLOOKUP($A79,Inputs!$A:$A,Inputs!F:F,,0)</f>
        <v>#N/A</v>
      </c>
      <c r="G79" s="54" t="e">
        <f>_xlfn.XLOOKUP($A79,Inputs!$A:$A,Inputs!G:G,,0)</f>
        <v>#N/A</v>
      </c>
      <c r="H79" s="54" t="e">
        <f>_xlfn.XLOOKUP($A79,Inputs!$A:$A,Inputs!H:H,,0)</f>
        <v>#N/A</v>
      </c>
      <c r="I79" s="54" t="e">
        <f>_xlfn.XLOOKUP($A79,Inputs!$A:$A,Inputs!I:I,,0)</f>
        <v>#N/A</v>
      </c>
      <c r="J79" s="54" t="e">
        <f>_xlfn.XLOOKUP($A79,Inputs!$A:$A,Inputs!J:J,,0)</f>
        <v>#N/A</v>
      </c>
      <c r="K79" s="54" t="e">
        <f>_xlfn.XLOOKUP($A79,Inputs!$A:$A,Inputs!K:K,,0)</f>
        <v>#N/A</v>
      </c>
      <c r="L79" s="54" t="e">
        <f>_xlfn.XLOOKUP($A79,Inputs!$A:$A,Inputs!L:L,,0)</f>
        <v>#N/A</v>
      </c>
      <c r="M79" s="54" t="e">
        <f>_xlfn.XLOOKUP($A79,Inputs!$A:$A,Inputs!M:M,,0)</f>
        <v>#N/A</v>
      </c>
    </row>
    <row r="80" spans="1:235" x14ac:dyDescent="0.35">
      <c r="A80" s="114" t="s">
        <v>33</v>
      </c>
      <c r="B80" s="54">
        <f>_xlfn.XLOOKUP($A80,Inputs!$A:$A,Inputs!B:B,,0)</f>
        <v>0</v>
      </c>
      <c r="C80" s="54" t="str">
        <f>_xlfn.XLOOKUP($A80,Inputs!$A:$A,Inputs!C:C,,0)</f>
        <v>Yahoo finance</v>
      </c>
      <c r="D80" s="54">
        <f>_xlfn.XLOOKUP($A80,Inputs!$A:$A,Inputs!D:D,,0)</f>
        <v>0</v>
      </c>
      <c r="E80" s="54">
        <f>_xlfn.XLOOKUP($A80,Inputs!$A:$A,Inputs!E:E,,0)</f>
        <v>0</v>
      </c>
      <c r="F80" s="54">
        <f>_xlfn.XLOOKUP($A80,Inputs!$A:$A,Inputs!F:F,,0)</f>
        <v>0</v>
      </c>
      <c r="G80" s="54">
        <f>_xlfn.XLOOKUP($A80,Inputs!$A:$A,Inputs!G:G,,0)</f>
        <v>0</v>
      </c>
      <c r="H80" s="54">
        <f>_xlfn.XLOOKUP($A80,Inputs!$A:$A,Inputs!H:H,,0)</f>
        <v>0</v>
      </c>
      <c r="I80" s="54">
        <f>_xlfn.XLOOKUP($A80,Inputs!$A:$A,Inputs!I:I,,0)</f>
        <v>0</v>
      </c>
      <c r="J80" s="54">
        <f>_xlfn.XLOOKUP($A80,Inputs!$A:$A,Inputs!J:J,,0)</f>
        <v>0</v>
      </c>
      <c r="K80" s="54">
        <f>_xlfn.XLOOKUP($A80,Inputs!$A:$A,Inputs!K:K,,0)</f>
        <v>0</v>
      </c>
      <c r="L80" s="54">
        <f>_xlfn.XLOOKUP($A80,Inputs!$A:$A,Inputs!L:L,,0)</f>
        <v>0</v>
      </c>
      <c r="M80" s="54">
        <f>_xlfn.XLOOKUP($A80,Inputs!$A:$A,Inputs!M:M,,0)</f>
        <v>0</v>
      </c>
    </row>
    <row r="81" spans="1:13" x14ac:dyDescent="0.35">
      <c r="A81" s="120" t="s">
        <v>37</v>
      </c>
      <c r="B81" s="54">
        <f>_xlfn.XLOOKUP($A81,Inputs!$A:$A,Inputs!B:B,,0)</f>
        <v>0</v>
      </c>
      <c r="C81" s="54" t="str">
        <f>_xlfn.XLOOKUP($A81,Inputs!$A:$A,Inputs!C:C,,0)</f>
        <v>Yahoo finance</v>
      </c>
      <c r="D81" s="54">
        <f>_xlfn.XLOOKUP($A81,Inputs!$A:$A,Inputs!D:D,,0)</f>
        <v>0</v>
      </c>
      <c r="E81" s="54">
        <f>_xlfn.XLOOKUP($A81,Inputs!$A:$A,Inputs!E:E,,0)</f>
        <v>0</v>
      </c>
      <c r="F81" s="54">
        <f>_xlfn.XLOOKUP($A81,Inputs!$A:$A,Inputs!F:F,,0)</f>
        <v>0</v>
      </c>
      <c r="G81" s="54">
        <f>_xlfn.XLOOKUP($A81,Inputs!$A:$A,Inputs!G:G,,0)</f>
        <v>0</v>
      </c>
      <c r="H81" s="54">
        <f>_xlfn.XLOOKUP($A81,Inputs!$A:$A,Inputs!H:H,,0)</f>
        <v>0</v>
      </c>
      <c r="I81" s="54">
        <f>_xlfn.XLOOKUP($A81,Inputs!$A:$A,Inputs!I:I,,0)</f>
        <v>0</v>
      </c>
      <c r="J81" s="54">
        <f>_xlfn.XLOOKUP($A81,Inputs!$A:$A,Inputs!J:J,,0)</f>
        <v>0</v>
      </c>
      <c r="K81" s="54">
        <f>_xlfn.XLOOKUP($A81,Inputs!$A:$A,Inputs!K:K,,0)</f>
        <v>0</v>
      </c>
      <c r="L81" s="54">
        <f>_xlfn.XLOOKUP($A81,Inputs!$A:$A,Inputs!L:L,,0)</f>
        <v>0</v>
      </c>
      <c r="M81" s="54">
        <f>_xlfn.XLOOKUP($A81,Inputs!$A:$A,Inputs!M:M,,0)</f>
        <v>0</v>
      </c>
    </row>
    <row r="82" spans="1:13" x14ac:dyDescent="0.35">
      <c r="A82" s="114" t="s">
        <v>484</v>
      </c>
      <c r="B82" s="54">
        <f>_xlfn.XLOOKUP($A82,Inputs!$A:$A,Inputs!B:B,,0)</f>
        <v>0</v>
      </c>
      <c r="C82" s="54" t="str">
        <f>_xlfn.XLOOKUP($A82,Inputs!$A:$A,Inputs!C:C,,0)</f>
        <v>10-K</v>
      </c>
      <c r="D82" s="54">
        <f>_xlfn.XLOOKUP($A82,Inputs!$A:$A,Inputs!D:D,,0)</f>
        <v>0</v>
      </c>
      <c r="E82" s="54">
        <f>_xlfn.XLOOKUP($A82,Inputs!$A:$A,Inputs!E:E,,0)</f>
        <v>0</v>
      </c>
      <c r="F82" s="54">
        <f>_xlfn.XLOOKUP($A82,Inputs!$A:$A,Inputs!F:F,,0)</f>
        <v>0</v>
      </c>
      <c r="G82" s="54">
        <f>_xlfn.XLOOKUP($A82,Inputs!$A:$A,Inputs!G:G,,0)</f>
        <v>0</v>
      </c>
      <c r="H82" s="54">
        <f>_xlfn.XLOOKUP($A82,Inputs!$A:$A,Inputs!H:H,,0)</f>
        <v>0</v>
      </c>
      <c r="I82" s="54">
        <f>_xlfn.XLOOKUP($A82,Inputs!$A:$A,Inputs!I:I,,0)</f>
        <v>0</v>
      </c>
      <c r="J82" s="54">
        <f>_xlfn.XLOOKUP($A82,Inputs!$A:$A,Inputs!J:J,,0)</f>
        <v>0</v>
      </c>
      <c r="K82" s="54">
        <f>_xlfn.XLOOKUP($A82,Inputs!$A:$A,Inputs!K:K,,0)</f>
        <v>0</v>
      </c>
      <c r="L82" s="54">
        <f>_xlfn.XLOOKUP($A82,Inputs!$A:$A,Inputs!L:L,,0)</f>
        <v>0</v>
      </c>
      <c r="M82" s="54">
        <f>_xlfn.XLOOKUP($A82,Inputs!$A:$A,Inputs!M:M,,0)</f>
        <v>0</v>
      </c>
    </row>
    <row r="83" spans="1:13" x14ac:dyDescent="0.35">
      <c r="A83" s="114" t="s">
        <v>485</v>
      </c>
      <c r="B83" s="54" t="e">
        <f>_xlfn.XLOOKUP($A83,Inputs!$A:$A,Inputs!B:B,,0)</f>
        <v>#N/A</v>
      </c>
      <c r="C83" s="54" t="e">
        <f>_xlfn.XLOOKUP($A83,Inputs!$A:$A,Inputs!C:C,,0)</f>
        <v>#N/A</v>
      </c>
      <c r="D83" s="54" t="e">
        <f>_xlfn.XLOOKUP($A83,Inputs!$A:$A,Inputs!D:D,,0)</f>
        <v>#N/A</v>
      </c>
      <c r="E83" s="54" t="e">
        <f>_xlfn.XLOOKUP($A83,Inputs!$A:$A,Inputs!E:E,,0)</f>
        <v>#N/A</v>
      </c>
      <c r="F83" s="54" t="e">
        <f>_xlfn.XLOOKUP($A83,Inputs!$A:$A,Inputs!F:F,,0)</f>
        <v>#N/A</v>
      </c>
      <c r="G83" s="54" t="e">
        <f>_xlfn.XLOOKUP($A83,Inputs!$A:$A,Inputs!G:G,,0)</f>
        <v>#N/A</v>
      </c>
      <c r="H83" s="54" t="e">
        <f>_xlfn.XLOOKUP($A83,Inputs!$A:$A,Inputs!H:H,,0)</f>
        <v>#N/A</v>
      </c>
      <c r="I83" s="54" t="e">
        <f>_xlfn.XLOOKUP($A83,Inputs!$A:$A,Inputs!I:I,,0)</f>
        <v>#N/A</v>
      </c>
      <c r="J83" s="54" t="e">
        <f>_xlfn.XLOOKUP($A83,Inputs!$A:$A,Inputs!J:J,,0)</f>
        <v>#N/A</v>
      </c>
      <c r="K83" s="54" t="e">
        <f>_xlfn.XLOOKUP($A83,Inputs!$A:$A,Inputs!K:K,,0)</f>
        <v>#N/A</v>
      </c>
      <c r="L83" s="54" t="e">
        <f>_xlfn.XLOOKUP($A83,Inputs!$A:$A,Inputs!L:L,,0)</f>
        <v>#N/A</v>
      </c>
      <c r="M83" s="54" t="e">
        <f>_xlfn.XLOOKUP($A83,Inputs!$A:$A,Inputs!M:M,,0)</f>
        <v>#N/A</v>
      </c>
    </row>
    <row r="84" spans="1:13" x14ac:dyDescent="0.35">
      <c r="A84" s="120" t="s">
        <v>486</v>
      </c>
      <c r="B84" s="54">
        <f>_xlfn.XLOOKUP($A84,Inputs!$A:$A,Inputs!B:B,,0)</f>
        <v>0</v>
      </c>
      <c r="C84" s="54" t="str">
        <f>_xlfn.XLOOKUP($A84,Inputs!$A:$A,Inputs!C:C,,0)</f>
        <v>Yahoo Finance</v>
      </c>
      <c r="D84" s="54">
        <f>_xlfn.XLOOKUP($A84,Inputs!$A:$A,Inputs!D:D,,0)</f>
        <v>0</v>
      </c>
      <c r="E84" s="54">
        <f>_xlfn.XLOOKUP($A84,Inputs!$A:$A,Inputs!E:E,,0)</f>
        <v>0</v>
      </c>
      <c r="F84" s="54">
        <f>_xlfn.XLOOKUP($A84,Inputs!$A:$A,Inputs!F:F,,0)</f>
        <v>0</v>
      </c>
      <c r="G84" s="54">
        <f>_xlfn.XLOOKUP($A84,Inputs!$A:$A,Inputs!G:G,,0)</f>
        <v>0</v>
      </c>
      <c r="H84" s="54">
        <f>_xlfn.XLOOKUP($A84,Inputs!$A:$A,Inputs!H:H,,0)</f>
        <v>0</v>
      </c>
      <c r="I84" s="54">
        <f>_xlfn.XLOOKUP($A84,Inputs!$A:$A,Inputs!I:I,,0)</f>
        <v>0</v>
      </c>
      <c r="J84" s="54">
        <f>_xlfn.XLOOKUP($A84,Inputs!$A:$A,Inputs!J:J,,0)</f>
        <v>0</v>
      </c>
      <c r="K84" s="54">
        <f>_xlfn.XLOOKUP($A84,Inputs!$A:$A,Inputs!K:K,,0)</f>
        <v>0</v>
      </c>
      <c r="L84" s="54">
        <f>_xlfn.XLOOKUP($A84,Inputs!$A:$A,Inputs!L:L,,0)</f>
        <v>0</v>
      </c>
      <c r="M84" s="54">
        <f>_xlfn.XLOOKUP($A84,Inputs!$A:$A,Inputs!M:M,,0)</f>
        <v>0</v>
      </c>
    </row>
    <row r="85" spans="1:13" x14ac:dyDescent="0.35">
      <c r="B85" s="45"/>
      <c r="C85" s="45"/>
      <c r="D85" s="45"/>
      <c r="E85" s="45"/>
      <c r="F85" s="45"/>
      <c r="G85" s="45"/>
      <c r="H85" s="45"/>
      <c r="I85" s="45"/>
      <c r="J85" s="45"/>
      <c r="K85" s="45"/>
      <c r="L85" s="45"/>
      <c r="M85" s="45"/>
    </row>
    <row r="86" spans="1:13" x14ac:dyDescent="0.35">
      <c r="B86" s="44">
        <v>2020</v>
      </c>
      <c r="C86" s="44">
        <v>2021</v>
      </c>
      <c r="D86" s="44">
        <v>2022</v>
      </c>
      <c r="G86" s="44"/>
      <c r="H86" s="45"/>
      <c r="I86" s="45"/>
      <c r="J86" s="45"/>
      <c r="K86" s="45"/>
      <c r="L86" s="45"/>
      <c r="M86" s="45"/>
    </row>
    <row r="87" spans="1:13" x14ac:dyDescent="0.35">
      <c r="A87" s="114" t="s">
        <v>487</v>
      </c>
      <c r="B87" s="58">
        <v>0</v>
      </c>
      <c r="C87" s="58">
        <v>0</v>
      </c>
      <c r="D87" s="59">
        <v>0</v>
      </c>
      <c r="G87" s="45"/>
      <c r="H87" s="45"/>
      <c r="I87" s="45"/>
      <c r="J87" s="45"/>
      <c r="K87" s="45"/>
      <c r="L87" s="45"/>
      <c r="M87" s="45"/>
    </row>
    <row r="88" spans="1:13" x14ac:dyDescent="0.35">
      <c r="A88" s="120" t="s">
        <v>58</v>
      </c>
      <c r="B88" s="58">
        <v>0</v>
      </c>
      <c r="C88" s="58">
        <v>0</v>
      </c>
      <c r="D88" s="59">
        <v>0</v>
      </c>
    </row>
    <row r="90" spans="1:13" ht="13.15" x14ac:dyDescent="0.4">
      <c r="A90" s="13" t="s">
        <v>488</v>
      </c>
      <c r="B90" s="44" t="s">
        <v>489</v>
      </c>
      <c r="C90" s="44" t="s">
        <v>490</v>
      </c>
      <c r="D90" s="44" t="s">
        <v>491</v>
      </c>
      <c r="E90" s="44" t="s">
        <v>492</v>
      </c>
      <c r="G90" s="44"/>
    </row>
    <row r="91" spans="1:13" x14ac:dyDescent="0.35">
      <c r="B91" s="61" t="e">
        <f>VLOOKUP($A91,Inputs!$A$5:$M$98,MATCH(B$4,Inputs!$B$5:$M$5,0)+1,FALSE)</f>
        <v>#N/A</v>
      </c>
      <c r="C91" s="61" t="e">
        <f>VLOOKUP($A91,Inputs!$A$5:$M$98,MATCH(C$4,Inputs!$B$5:$M$5,0)+1,FALSE)</f>
        <v>#N/A</v>
      </c>
      <c r="D91" s="61" t="e">
        <f>VLOOKUP($A91,Inputs!$A$5:$M$98,MATCH(D$4,Inputs!$B$5:$M$5,0)+1,FALSE)</f>
        <v>#N/A</v>
      </c>
      <c r="E91" s="61" t="e">
        <f>VLOOKUP($A91,Inputs!$A$5:$M$98,MATCH(E$4,Inputs!$B$5:$M$5,0)+1,FALSE)</f>
        <v>#N/A</v>
      </c>
    </row>
    <row r="92" spans="1:13" x14ac:dyDescent="0.35">
      <c r="B92" s="62"/>
      <c r="C92" s="62"/>
      <c r="D92" s="2"/>
      <c r="E92" s="62"/>
      <c r="F92" s="2"/>
    </row>
    <row r="93" spans="1:13" x14ac:dyDescent="0.35">
      <c r="B93" s="62"/>
      <c r="C93" s="62"/>
      <c r="D93" s="2"/>
      <c r="E93" s="62"/>
      <c r="F93" s="2"/>
    </row>
    <row r="94" spans="1:13" x14ac:dyDescent="0.35">
      <c r="B94" s="62"/>
      <c r="C94" s="62"/>
      <c r="D94" s="2"/>
      <c r="E94" s="62"/>
      <c r="F94" s="2"/>
    </row>
    <row r="95" spans="1:13" x14ac:dyDescent="0.35">
      <c r="B95" s="62"/>
      <c r="C95" s="62"/>
      <c r="D95" s="2"/>
      <c r="E95" s="62"/>
      <c r="F95" s="2"/>
    </row>
    <row r="96" spans="1:13" x14ac:dyDescent="0.35">
      <c r="B96" s="62"/>
      <c r="C96" s="62"/>
      <c r="D96" s="2"/>
      <c r="E96" s="62"/>
      <c r="F96" s="2"/>
    </row>
    <row r="97" spans="2:6" x14ac:dyDescent="0.35">
      <c r="B97" s="62"/>
      <c r="C97" s="62"/>
      <c r="D97" s="2"/>
      <c r="E97" s="62"/>
      <c r="F97" s="2"/>
    </row>
    <row r="98" spans="2:6" x14ac:dyDescent="0.35">
      <c r="B98" s="62"/>
      <c r="C98" s="62"/>
      <c r="D98" s="2"/>
      <c r="E98" s="62"/>
      <c r="F98" s="2"/>
    </row>
    <row r="99" spans="2:6" x14ac:dyDescent="0.35">
      <c r="B99" s="62"/>
      <c r="C99" s="62"/>
      <c r="D99" s="2"/>
      <c r="E99" s="62"/>
      <c r="F99" s="2"/>
    </row>
  </sheetData>
  <mergeCells count="7">
    <mergeCell ref="A2:G2"/>
    <mergeCell ref="A1:G1"/>
    <mergeCell ref="A77:M77"/>
    <mergeCell ref="A38:M38"/>
    <mergeCell ref="A47:M47"/>
    <mergeCell ref="A66:M66"/>
    <mergeCell ref="A3:G3"/>
  </mergeCells>
  <conditionalFormatting sqref="N62">
    <cfRule type="colorScale" priority="3">
      <colorScale>
        <cfvo type="min"/>
        <cfvo type="percentile" val="50"/>
        <cfvo type="max"/>
        <color rgb="FFF8696B"/>
        <color rgb="FFFFEB84"/>
        <color rgb="FF63BE7B"/>
      </colorScale>
    </cfRule>
  </conditionalFormatting>
  <conditionalFormatting sqref="N5:R5">
    <cfRule type="colorScale" priority="53">
      <colorScale>
        <cfvo type="min"/>
        <cfvo type="percentile" val="50"/>
        <cfvo type="max"/>
        <color rgb="FFF8696B"/>
        <color rgb="FFFFEB84"/>
        <color rgb="FF63BE7B"/>
      </colorScale>
    </cfRule>
  </conditionalFormatting>
  <conditionalFormatting sqref="N6:R6">
    <cfRule type="colorScale" priority="52">
      <colorScale>
        <cfvo type="min"/>
        <cfvo type="percentile" val="50"/>
        <cfvo type="max"/>
        <color rgb="FFF8696B"/>
        <color rgb="FFFFEB84"/>
        <color rgb="FF63BE7B"/>
      </colorScale>
    </cfRule>
  </conditionalFormatting>
  <conditionalFormatting sqref="N7:R7">
    <cfRule type="colorScale" priority="51">
      <colorScale>
        <cfvo type="min"/>
        <cfvo type="percentile" val="50"/>
        <cfvo type="max"/>
        <color rgb="FFF8696B"/>
        <color rgb="FFFFEB84"/>
        <color rgb="FF63BE7B"/>
      </colorScale>
    </cfRule>
  </conditionalFormatting>
  <conditionalFormatting sqref="N8:R8">
    <cfRule type="colorScale" priority="50">
      <colorScale>
        <cfvo type="min"/>
        <cfvo type="percentile" val="50"/>
        <cfvo type="max"/>
        <color rgb="FFF8696B"/>
        <color rgb="FFFFEB84"/>
        <color rgb="FF63BE7B"/>
      </colorScale>
    </cfRule>
  </conditionalFormatting>
  <conditionalFormatting sqref="N9:R9">
    <cfRule type="colorScale" priority="49">
      <colorScale>
        <cfvo type="min"/>
        <cfvo type="percentile" val="50"/>
        <cfvo type="max"/>
        <color rgb="FFF8696B"/>
        <color rgb="FFFFEB84"/>
        <color rgb="FF63BE7B"/>
      </colorScale>
    </cfRule>
  </conditionalFormatting>
  <conditionalFormatting sqref="N10:R10">
    <cfRule type="colorScale" priority="48">
      <colorScale>
        <cfvo type="min"/>
        <cfvo type="percentile" val="50"/>
        <cfvo type="max"/>
        <color rgb="FFF8696B"/>
        <color rgb="FFFFEB84"/>
        <color rgb="FF63BE7B"/>
      </colorScale>
    </cfRule>
  </conditionalFormatting>
  <conditionalFormatting sqref="N11:R11">
    <cfRule type="colorScale" priority="46">
      <colorScale>
        <cfvo type="min"/>
        <cfvo type="percentile" val="50"/>
        <cfvo type="max"/>
        <color rgb="FFF8696B"/>
        <color rgb="FFFFEB84"/>
        <color rgb="FF63BE7B"/>
      </colorScale>
    </cfRule>
  </conditionalFormatting>
  <conditionalFormatting sqref="N12:R12">
    <cfRule type="colorScale" priority="45">
      <colorScale>
        <cfvo type="min"/>
        <cfvo type="percentile" val="50"/>
        <cfvo type="max"/>
        <color rgb="FFF8696B"/>
        <color rgb="FFFFEB84"/>
        <color rgb="FF63BE7B"/>
      </colorScale>
    </cfRule>
  </conditionalFormatting>
  <conditionalFormatting sqref="N13:R13">
    <cfRule type="colorScale" priority="44">
      <colorScale>
        <cfvo type="min"/>
        <cfvo type="percentile" val="50"/>
        <cfvo type="max"/>
        <color rgb="FFF8696B"/>
        <color rgb="FFFFEB84"/>
        <color rgb="FF63BE7B"/>
      </colorScale>
    </cfRule>
  </conditionalFormatting>
  <conditionalFormatting sqref="N14:R14">
    <cfRule type="colorScale" priority="43">
      <colorScale>
        <cfvo type="min"/>
        <cfvo type="percentile" val="50"/>
        <cfvo type="max"/>
        <color rgb="FFF8696B"/>
        <color rgb="FFFFEB84"/>
        <color rgb="FF63BE7B"/>
      </colorScale>
    </cfRule>
  </conditionalFormatting>
  <conditionalFormatting sqref="N15:R15">
    <cfRule type="colorScale" priority="42">
      <colorScale>
        <cfvo type="min"/>
        <cfvo type="percentile" val="50"/>
        <cfvo type="max"/>
        <color rgb="FFF8696B"/>
        <color rgb="FFFFEB84"/>
        <color rgb="FF63BE7B"/>
      </colorScale>
    </cfRule>
  </conditionalFormatting>
  <conditionalFormatting sqref="N16:R16">
    <cfRule type="colorScale" priority="41">
      <colorScale>
        <cfvo type="min"/>
        <cfvo type="percentile" val="50"/>
        <cfvo type="max"/>
        <color rgb="FFF8696B"/>
        <color rgb="FFFFEB84"/>
        <color rgb="FF63BE7B"/>
      </colorScale>
    </cfRule>
  </conditionalFormatting>
  <conditionalFormatting sqref="N17:R17">
    <cfRule type="colorScale" priority="40">
      <colorScale>
        <cfvo type="min"/>
        <cfvo type="percentile" val="50"/>
        <cfvo type="max"/>
        <color rgb="FFF8696B"/>
        <color rgb="FFFFEB84"/>
        <color rgb="FF63BE7B"/>
      </colorScale>
    </cfRule>
  </conditionalFormatting>
  <conditionalFormatting sqref="N18:R18">
    <cfRule type="colorScale" priority="39">
      <colorScale>
        <cfvo type="min"/>
        <cfvo type="percentile" val="50"/>
        <cfvo type="max"/>
        <color rgb="FFF8696B"/>
        <color rgb="FFFFEB84"/>
        <color rgb="FF63BE7B"/>
      </colorScale>
    </cfRule>
  </conditionalFormatting>
  <conditionalFormatting sqref="N19:R19">
    <cfRule type="colorScale" priority="38">
      <colorScale>
        <cfvo type="min"/>
        <cfvo type="percentile" val="50"/>
        <cfvo type="max"/>
        <color rgb="FFF8696B"/>
        <color rgb="FFFFEB84"/>
        <color rgb="FF63BE7B"/>
      </colorScale>
    </cfRule>
  </conditionalFormatting>
  <conditionalFormatting sqref="N20:R20">
    <cfRule type="colorScale" priority="37">
      <colorScale>
        <cfvo type="min"/>
        <cfvo type="percentile" val="50"/>
        <cfvo type="max"/>
        <color rgb="FFF8696B"/>
        <color rgb="FFFFEB84"/>
        <color rgb="FF63BE7B"/>
      </colorScale>
    </cfRule>
  </conditionalFormatting>
  <conditionalFormatting sqref="N21:R21">
    <cfRule type="colorScale" priority="36">
      <colorScale>
        <cfvo type="min"/>
        <cfvo type="percentile" val="50"/>
        <cfvo type="max"/>
        <color rgb="FFF8696B"/>
        <color rgb="FFFFEB84"/>
        <color rgb="FF63BE7B"/>
      </colorScale>
    </cfRule>
  </conditionalFormatting>
  <conditionalFormatting sqref="N22:R22">
    <cfRule type="colorScale" priority="35">
      <colorScale>
        <cfvo type="min"/>
        <cfvo type="percentile" val="50"/>
        <cfvo type="max"/>
        <color rgb="FFF8696B"/>
        <color rgb="FFFFEB84"/>
        <color rgb="FF63BE7B"/>
      </colorScale>
    </cfRule>
  </conditionalFormatting>
  <conditionalFormatting sqref="N23:R23">
    <cfRule type="colorScale" priority="34">
      <colorScale>
        <cfvo type="min"/>
        <cfvo type="percentile" val="50"/>
        <cfvo type="max"/>
        <color rgb="FFF8696B"/>
        <color rgb="FFFFEB84"/>
        <color rgb="FF63BE7B"/>
      </colorScale>
    </cfRule>
  </conditionalFormatting>
  <conditionalFormatting sqref="N24:R24">
    <cfRule type="colorScale" priority="33">
      <colorScale>
        <cfvo type="min"/>
        <cfvo type="percentile" val="50"/>
        <cfvo type="max"/>
        <color rgb="FFF8696B"/>
        <color rgb="FFFFEB84"/>
        <color rgb="FF63BE7B"/>
      </colorScale>
    </cfRule>
  </conditionalFormatting>
  <conditionalFormatting sqref="N25:R25">
    <cfRule type="colorScale" priority="32">
      <colorScale>
        <cfvo type="min"/>
        <cfvo type="percentile" val="50"/>
        <cfvo type="max"/>
        <color rgb="FFF8696B"/>
        <color rgb="FFFFEB84"/>
        <color rgb="FF63BE7B"/>
      </colorScale>
    </cfRule>
  </conditionalFormatting>
  <conditionalFormatting sqref="N26:R26">
    <cfRule type="colorScale" priority="31">
      <colorScale>
        <cfvo type="min"/>
        <cfvo type="percentile" val="50"/>
        <cfvo type="max"/>
        <color rgb="FFF8696B"/>
        <color rgb="FFFFEB84"/>
        <color rgb="FF63BE7B"/>
      </colorScale>
    </cfRule>
  </conditionalFormatting>
  <conditionalFormatting sqref="N27:R27">
    <cfRule type="colorScale" priority="30">
      <colorScale>
        <cfvo type="min"/>
        <cfvo type="percentile" val="50"/>
        <cfvo type="max"/>
        <color rgb="FFF8696B"/>
        <color rgb="FFFFEB84"/>
        <color rgb="FF63BE7B"/>
      </colorScale>
    </cfRule>
  </conditionalFormatting>
  <conditionalFormatting sqref="N28:R28">
    <cfRule type="colorScale" priority="29">
      <colorScale>
        <cfvo type="min"/>
        <cfvo type="percentile" val="50"/>
        <cfvo type="max"/>
        <color rgb="FFF8696B"/>
        <color rgb="FFFFEB84"/>
        <color rgb="FF63BE7B"/>
      </colorScale>
    </cfRule>
  </conditionalFormatting>
  <conditionalFormatting sqref="N29:R29">
    <cfRule type="colorScale" priority="28">
      <colorScale>
        <cfvo type="min"/>
        <cfvo type="percentile" val="50"/>
        <cfvo type="max"/>
        <color rgb="FFF8696B"/>
        <color rgb="FFFFEB84"/>
        <color rgb="FF63BE7B"/>
      </colorScale>
    </cfRule>
  </conditionalFormatting>
  <conditionalFormatting sqref="N30:R30">
    <cfRule type="colorScale" priority="27">
      <colorScale>
        <cfvo type="min"/>
        <cfvo type="percentile" val="50"/>
        <cfvo type="max"/>
        <color rgb="FFF8696B"/>
        <color rgb="FFFFEB84"/>
        <color rgb="FF63BE7B"/>
      </colorScale>
    </cfRule>
  </conditionalFormatting>
  <conditionalFormatting sqref="N31:R31">
    <cfRule type="colorScale" priority="26">
      <colorScale>
        <cfvo type="min"/>
        <cfvo type="percentile" val="50"/>
        <cfvo type="max"/>
        <color rgb="FFF8696B"/>
        <color rgb="FFFFEB84"/>
        <color rgb="FF63BE7B"/>
      </colorScale>
    </cfRule>
  </conditionalFormatting>
  <conditionalFormatting sqref="N32:R32">
    <cfRule type="colorScale" priority="25">
      <colorScale>
        <cfvo type="min"/>
        <cfvo type="percentile" val="50"/>
        <cfvo type="max"/>
        <color rgb="FFF8696B"/>
        <color rgb="FFFFEB84"/>
        <color rgb="FF63BE7B"/>
      </colorScale>
    </cfRule>
  </conditionalFormatting>
  <conditionalFormatting sqref="N33:R33">
    <cfRule type="colorScale" priority="24">
      <colorScale>
        <cfvo type="min"/>
        <cfvo type="percentile" val="50"/>
        <cfvo type="max"/>
        <color rgb="FFF8696B"/>
        <color rgb="FFFFEB84"/>
        <color rgb="FF63BE7B"/>
      </colorScale>
    </cfRule>
  </conditionalFormatting>
  <conditionalFormatting sqref="N34:R34">
    <cfRule type="colorScale" priority="23">
      <colorScale>
        <cfvo type="min"/>
        <cfvo type="percentile" val="50"/>
        <cfvo type="max"/>
        <color rgb="FFF8696B"/>
        <color rgb="FFFFEB84"/>
        <color rgb="FF63BE7B"/>
      </colorScale>
    </cfRule>
  </conditionalFormatting>
  <conditionalFormatting sqref="N35:R35">
    <cfRule type="colorScale" priority="22">
      <colorScale>
        <cfvo type="min"/>
        <cfvo type="percentile" val="50"/>
        <cfvo type="max"/>
        <color rgb="FFF8696B"/>
        <color rgb="FFFFEB84"/>
        <color rgb="FF63BE7B"/>
      </colorScale>
    </cfRule>
  </conditionalFormatting>
  <conditionalFormatting sqref="N36:R36">
    <cfRule type="colorScale" priority="21">
      <colorScale>
        <cfvo type="min"/>
        <cfvo type="percentile" val="50"/>
        <cfvo type="max"/>
        <color rgb="FFF8696B"/>
        <color rgb="FFFFEB84"/>
        <color rgb="FF63BE7B"/>
      </colorScale>
    </cfRule>
  </conditionalFormatting>
  <conditionalFormatting sqref="N39:R39">
    <cfRule type="colorScale" priority="20">
      <colorScale>
        <cfvo type="min"/>
        <cfvo type="percentile" val="50"/>
        <cfvo type="max"/>
        <color rgb="FFF8696B"/>
        <color rgb="FFFFEB84"/>
        <color rgb="FF63BE7B"/>
      </colorScale>
    </cfRule>
  </conditionalFormatting>
  <conditionalFormatting sqref="N40:R40">
    <cfRule type="colorScale" priority="19">
      <colorScale>
        <cfvo type="min"/>
        <cfvo type="percentile" val="50"/>
        <cfvo type="max"/>
        <color rgb="FFF8696B"/>
        <color rgb="FFFFEB84"/>
        <color rgb="FF63BE7B"/>
      </colorScale>
    </cfRule>
  </conditionalFormatting>
  <conditionalFormatting sqref="N41:R41">
    <cfRule type="colorScale" priority="18">
      <colorScale>
        <cfvo type="min"/>
        <cfvo type="percentile" val="50"/>
        <cfvo type="max"/>
        <color rgb="FFF8696B"/>
        <color rgb="FFFFEB84"/>
        <color rgb="FF63BE7B"/>
      </colorScale>
    </cfRule>
  </conditionalFormatting>
  <conditionalFormatting sqref="N42:R42">
    <cfRule type="colorScale" priority="17">
      <colorScale>
        <cfvo type="min"/>
        <cfvo type="percentile" val="50"/>
        <cfvo type="max"/>
        <color rgb="FFF8696B"/>
        <color rgb="FFFFEB84"/>
        <color rgb="FF63BE7B"/>
      </colorScale>
    </cfRule>
  </conditionalFormatting>
  <conditionalFormatting sqref="N43:R43">
    <cfRule type="colorScale" priority="16">
      <colorScale>
        <cfvo type="min"/>
        <cfvo type="percentile" val="50"/>
        <cfvo type="max"/>
        <color rgb="FFF8696B"/>
        <color rgb="FFFFEB84"/>
        <color rgb="FF63BE7B"/>
      </colorScale>
    </cfRule>
  </conditionalFormatting>
  <conditionalFormatting sqref="N44:R44">
    <cfRule type="colorScale" priority="15">
      <colorScale>
        <cfvo type="min"/>
        <cfvo type="percentile" val="50"/>
        <cfvo type="max"/>
        <color rgb="FFF8696B"/>
        <color rgb="FFFFEB84"/>
        <color rgb="FF63BE7B"/>
      </colorScale>
    </cfRule>
  </conditionalFormatting>
  <conditionalFormatting sqref="N48:R48">
    <cfRule type="colorScale" priority="14">
      <colorScale>
        <cfvo type="min"/>
        <cfvo type="percentile" val="50"/>
        <cfvo type="max"/>
        <color rgb="FFF8696B"/>
        <color rgb="FFFFEB84"/>
        <color rgb="FF63BE7B"/>
      </colorScale>
    </cfRule>
  </conditionalFormatting>
  <conditionalFormatting sqref="N49:R49">
    <cfRule type="colorScale" priority="13">
      <colorScale>
        <cfvo type="min"/>
        <cfvo type="percentile" val="50"/>
        <cfvo type="max"/>
        <color rgb="FFF8696B"/>
        <color rgb="FFFFEB84"/>
        <color rgb="FF63BE7B"/>
      </colorScale>
    </cfRule>
  </conditionalFormatting>
  <conditionalFormatting sqref="N51:R51">
    <cfRule type="colorScale" priority="12">
      <colorScale>
        <cfvo type="min"/>
        <cfvo type="percentile" val="50"/>
        <cfvo type="max"/>
        <color rgb="FFF8696B"/>
        <color rgb="FFFFEB84"/>
        <color rgb="FF63BE7B"/>
      </colorScale>
    </cfRule>
  </conditionalFormatting>
  <conditionalFormatting sqref="N52:R52">
    <cfRule type="colorScale" priority="11">
      <colorScale>
        <cfvo type="min"/>
        <cfvo type="percentile" val="50"/>
        <cfvo type="max"/>
        <color rgb="FFF8696B"/>
        <color rgb="FFFFEB84"/>
        <color rgb="FF63BE7B"/>
      </colorScale>
    </cfRule>
  </conditionalFormatting>
  <conditionalFormatting sqref="N53:R53">
    <cfRule type="colorScale" priority="10">
      <colorScale>
        <cfvo type="min"/>
        <cfvo type="percentile" val="50"/>
        <cfvo type="max"/>
        <color rgb="FFF8696B"/>
        <color rgb="FFFFEB84"/>
        <color rgb="FF63BE7B"/>
      </colorScale>
    </cfRule>
  </conditionalFormatting>
  <conditionalFormatting sqref="N54:R54">
    <cfRule type="colorScale" priority="9">
      <colorScale>
        <cfvo type="min"/>
        <cfvo type="percentile" val="50"/>
        <cfvo type="max"/>
        <color rgb="FFF8696B"/>
        <color rgb="FFFFEB84"/>
        <color rgb="FF63BE7B"/>
      </colorScale>
    </cfRule>
  </conditionalFormatting>
  <conditionalFormatting sqref="N55:R55">
    <cfRule type="colorScale" priority="8">
      <colorScale>
        <cfvo type="min"/>
        <cfvo type="percentile" val="50"/>
        <cfvo type="max"/>
        <color rgb="FFF8696B"/>
        <color rgb="FFFFEB84"/>
        <color rgb="FF63BE7B"/>
      </colorScale>
    </cfRule>
  </conditionalFormatting>
  <conditionalFormatting sqref="N56:R56">
    <cfRule type="colorScale" priority="7">
      <colorScale>
        <cfvo type="min"/>
        <cfvo type="percentile" val="50"/>
        <cfvo type="max"/>
        <color rgb="FFF8696B"/>
        <color rgb="FFFFEB84"/>
        <color rgb="FF63BE7B"/>
      </colorScale>
    </cfRule>
  </conditionalFormatting>
  <conditionalFormatting sqref="N58:R58">
    <cfRule type="colorScale" priority="6">
      <colorScale>
        <cfvo type="min"/>
        <cfvo type="percentile" val="50"/>
        <cfvo type="max"/>
        <color rgb="FFF8696B"/>
        <color rgb="FFFFEB84"/>
        <color rgb="FF63BE7B"/>
      </colorScale>
    </cfRule>
  </conditionalFormatting>
  <conditionalFormatting sqref="N59:R59">
    <cfRule type="colorScale" priority="5">
      <colorScale>
        <cfvo type="min"/>
        <cfvo type="percentile" val="50"/>
        <cfvo type="max"/>
        <color rgb="FFF8696B"/>
        <color rgb="FFFFEB84"/>
        <color rgb="FF63BE7B"/>
      </colorScale>
    </cfRule>
  </conditionalFormatting>
  <conditionalFormatting sqref="N60:R60">
    <cfRule type="colorScale" priority="4">
      <colorScale>
        <cfvo type="min"/>
        <cfvo type="percentile" val="50"/>
        <cfvo type="max"/>
        <color rgb="FFF8696B"/>
        <color rgb="FFFFEB84"/>
        <color rgb="FF63BE7B"/>
      </colorScale>
    </cfRule>
  </conditionalFormatting>
  <conditionalFormatting sqref="N62:R62">
    <cfRule type="colorScale" priority="2">
      <colorScale>
        <cfvo type="min"/>
        <cfvo type="percentile" val="50"/>
        <cfvo type="max"/>
        <color rgb="FFF8696B"/>
        <color rgb="FFFFEB84"/>
        <color rgb="FF63BE7B"/>
      </colorScale>
    </cfRule>
  </conditionalFormatting>
  <conditionalFormatting sqref="N64:R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election activeCell="Q46" sqref="Q46"/>
    </sheetView>
  </sheetViews>
  <sheetFormatPr defaultColWidth="8.86328125" defaultRowHeight="12.75" x14ac:dyDescent="0.35"/>
  <cols>
    <col min="1" max="9" width="0" hidden="1" customWidth="1"/>
    <col min="11" max="11" width="21.86328125" bestFit="1" customWidth="1"/>
  </cols>
  <sheetData>
    <row r="2" spans="2:27" ht="13.15" x14ac:dyDescent="0.4">
      <c r="E2" s="10" t="s">
        <v>493</v>
      </c>
      <c r="F2" s="10" t="s">
        <v>494</v>
      </c>
      <c r="H2" s="10" t="s">
        <v>315</v>
      </c>
      <c r="K2" s="1109" t="s">
        <v>493</v>
      </c>
      <c r="L2" s="1111" t="s">
        <v>495</v>
      </c>
      <c r="M2" s="1112"/>
      <c r="N2" s="1112"/>
      <c r="O2" s="1112"/>
      <c r="P2" s="1113"/>
      <c r="Q2" s="1112" t="s">
        <v>286</v>
      </c>
      <c r="R2" s="1112"/>
      <c r="S2" s="1112"/>
      <c r="T2" s="1112"/>
      <c r="U2" s="1112"/>
      <c r="V2" s="1112"/>
      <c r="W2" s="1112"/>
      <c r="X2" s="1112"/>
      <c r="Y2" s="1112"/>
      <c r="Z2" s="1112"/>
      <c r="AA2" s="1113"/>
    </row>
    <row r="3" spans="2:27" ht="13.15" x14ac:dyDescent="0.4">
      <c r="E3" t="s">
        <v>496</v>
      </c>
      <c r="F3" t="s">
        <v>497</v>
      </c>
      <c r="H3" s="10" t="s">
        <v>280</v>
      </c>
      <c r="K3" s="1110"/>
      <c r="L3" s="71" t="s">
        <v>498</v>
      </c>
      <c r="M3" s="88" t="s">
        <v>499</v>
      </c>
      <c r="N3" s="88" t="s">
        <v>500</v>
      </c>
      <c r="O3" s="88" t="s">
        <v>501</v>
      </c>
      <c r="P3" s="89" t="s">
        <v>502</v>
      </c>
      <c r="Q3" s="88" t="s">
        <v>503</v>
      </c>
      <c r="R3" s="88" t="s">
        <v>504</v>
      </c>
      <c r="S3" s="88" t="s">
        <v>292</v>
      </c>
      <c r="T3" s="88" t="s">
        <v>505</v>
      </c>
      <c r="U3" s="88" t="s">
        <v>506</v>
      </c>
      <c r="V3" s="88" t="s">
        <v>507</v>
      </c>
      <c r="W3" s="88" t="s">
        <v>508</v>
      </c>
      <c r="X3" s="88" t="s">
        <v>509</v>
      </c>
      <c r="Y3" s="88" t="s">
        <v>510</v>
      </c>
      <c r="Z3" s="88" t="s">
        <v>511</v>
      </c>
      <c r="AA3" s="89" t="s">
        <v>307</v>
      </c>
    </row>
    <row r="4" spans="2:27" ht="13.15" x14ac:dyDescent="0.4">
      <c r="B4" s="72"/>
      <c r="E4" t="s">
        <v>496</v>
      </c>
      <c r="F4" t="s">
        <v>512</v>
      </c>
      <c r="H4" s="10" t="s">
        <v>321</v>
      </c>
      <c r="K4" s="90" t="s">
        <v>496</v>
      </c>
      <c r="L4" s="91" t="s">
        <v>315</v>
      </c>
      <c r="M4" t="s">
        <v>315</v>
      </c>
      <c r="N4" t="s">
        <v>280</v>
      </c>
      <c r="O4" t="s">
        <v>315</v>
      </c>
      <c r="P4" s="92" t="s">
        <v>315</v>
      </c>
      <c r="Q4" t="s">
        <v>280</v>
      </c>
      <c r="R4" t="s">
        <v>280</v>
      </c>
      <c r="S4" t="s">
        <v>315</v>
      </c>
      <c r="T4" t="s">
        <v>315</v>
      </c>
      <c r="U4" t="s">
        <v>321</v>
      </c>
      <c r="V4" t="s">
        <v>315</v>
      </c>
      <c r="W4" t="s">
        <v>315</v>
      </c>
      <c r="X4" t="s">
        <v>315</v>
      </c>
      <c r="Y4" t="s">
        <v>315</v>
      </c>
      <c r="Z4" t="s">
        <v>315</v>
      </c>
      <c r="AA4" s="92" t="s">
        <v>280</v>
      </c>
    </row>
    <row r="5" spans="2:27" ht="13.9" x14ac:dyDescent="0.4">
      <c r="B5" s="84" t="s">
        <v>273</v>
      </c>
      <c r="E5" t="s">
        <v>496</v>
      </c>
      <c r="F5" t="s">
        <v>513</v>
      </c>
      <c r="H5" s="10" t="s">
        <v>514</v>
      </c>
      <c r="K5" s="90" t="s">
        <v>259</v>
      </c>
      <c r="L5" s="91" t="s">
        <v>315</v>
      </c>
      <c r="M5" t="s">
        <v>315</v>
      </c>
      <c r="N5" t="s">
        <v>280</v>
      </c>
      <c r="O5" t="s">
        <v>280</v>
      </c>
      <c r="P5" s="92" t="s">
        <v>315</v>
      </c>
      <c r="Q5" t="s">
        <v>280</v>
      </c>
      <c r="R5" t="s">
        <v>280</v>
      </c>
      <c r="S5" t="s">
        <v>315</v>
      </c>
      <c r="T5" t="s">
        <v>315</v>
      </c>
      <c r="U5" t="s">
        <v>280</v>
      </c>
      <c r="V5" t="s">
        <v>280</v>
      </c>
      <c r="W5" t="s">
        <v>280</v>
      </c>
      <c r="X5" t="s">
        <v>321</v>
      </c>
      <c r="Y5" t="s">
        <v>315</v>
      </c>
      <c r="Z5" t="s">
        <v>321</v>
      </c>
      <c r="AA5" s="92" t="s">
        <v>315</v>
      </c>
    </row>
    <row r="6" spans="2:27" x14ac:dyDescent="0.35">
      <c r="B6" s="86" t="s">
        <v>515</v>
      </c>
      <c r="E6" t="s">
        <v>496</v>
      </c>
      <c r="F6" t="s">
        <v>516</v>
      </c>
      <c r="K6" s="90" t="s">
        <v>517</v>
      </c>
      <c r="L6" s="91" t="s">
        <v>321</v>
      </c>
      <c r="M6" t="s">
        <v>514</v>
      </c>
      <c r="N6" t="s">
        <v>321</v>
      </c>
      <c r="O6" t="s">
        <v>321</v>
      </c>
      <c r="P6" s="92" t="s">
        <v>321</v>
      </c>
      <c r="Q6" t="s">
        <v>280</v>
      </c>
      <c r="R6" t="s">
        <v>321</v>
      </c>
      <c r="S6" t="s">
        <v>321</v>
      </c>
      <c r="T6" t="s">
        <v>315</v>
      </c>
      <c r="U6" t="s">
        <v>280</v>
      </c>
      <c r="V6" t="s">
        <v>280</v>
      </c>
      <c r="W6" t="s">
        <v>315</v>
      </c>
      <c r="X6" t="s">
        <v>321</v>
      </c>
      <c r="Y6" t="s">
        <v>315</v>
      </c>
      <c r="Z6" t="s">
        <v>514</v>
      </c>
      <c r="AA6" s="92" t="s">
        <v>315</v>
      </c>
    </row>
    <row r="7" spans="2:27" x14ac:dyDescent="0.35">
      <c r="B7" s="86" t="s">
        <v>518</v>
      </c>
      <c r="E7" t="s">
        <v>496</v>
      </c>
      <c r="F7" t="s">
        <v>519</v>
      </c>
      <c r="K7" s="90" t="s">
        <v>500</v>
      </c>
      <c r="L7" s="91" t="s">
        <v>514</v>
      </c>
      <c r="M7" t="s">
        <v>514</v>
      </c>
      <c r="N7" t="s">
        <v>280</v>
      </c>
      <c r="O7" t="s">
        <v>514</v>
      </c>
      <c r="P7" s="92" t="s">
        <v>321</v>
      </c>
      <c r="Q7" t="s">
        <v>321</v>
      </c>
      <c r="R7" t="s">
        <v>280</v>
      </c>
      <c r="S7" t="s">
        <v>280</v>
      </c>
      <c r="T7" t="s">
        <v>280</v>
      </c>
      <c r="U7" t="s">
        <v>280</v>
      </c>
      <c r="V7" t="s">
        <v>321</v>
      </c>
      <c r="W7" t="s">
        <v>280</v>
      </c>
      <c r="X7" t="s">
        <v>280</v>
      </c>
      <c r="Y7" t="s">
        <v>321</v>
      </c>
      <c r="Z7" t="s">
        <v>321</v>
      </c>
      <c r="AA7" s="92" t="s">
        <v>315</v>
      </c>
    </row>
    <row r="8" spans="2:27" x14ac:dyDescent="0.35">
      <c r="B8" s="86"/>
      <c r="K8" s="90" t="s">
        <v>520</v>
      </c>
      <c r="L8" s="91" t="s">
        <v>315</v>
      </c>
      <c r="M8" t="s">
        <v>315</v>
      </c>
      <c r="N8" t="s">
        <v>315</v>
      </c>
      <c r="O8" t="s">
        <v>280</v>
      </c>
      <c r="P8" s="92" t="s">
        <v>280</v>
      </c>
      <c r="Q8" t="s">
        <v>315</v>
      </c>
      <c r="R8" t="s">
        <v>280</v>
      </c>
      <c r="S8" t="s">
        <v>280</v>
      </c>
      <c r="T8" t="s">
        <v>321</v>
      </c>
      <c r="U8" t="s">
        <v>280</v>
      </c>
      <c r="V8" t="s">
        <v>315</v>
      </c>
      <c r="W8" t="s">
        <v>315</v>
      </c>
      <c r="X8" t="s">
        <v>280</v>
      </c>
      <c r="Y8" t="s">
        <v>280</v>
      </c>
      <c r="Z8" t="s">
        <v>321</v>
      </c>
      <c r="AA8" s="92" t="s">
        <v>315</v>
      </c>
    </row>
    <row r="9" spans="2:27" x14ac:dyDescent="0.35">
      <c r="B9" s="86" t="s">
        <v>279</v>
      </c>
      <c r="E9" t="s">
        <v>496</v>
      </c>
      <c r="F9" t="s">
        <v>521</v>
      </c>
      <c r="K9" s="90" t="s">
        <v>522</v>
      </c>
      <c r="L9" s="91" t="s">
        <v>315</v>
      </c>
      <c r="M9" t="s">
        <v>315</v>
      </c>
      <c r="N9" t="s">
        <v>315</v>
      </c>
      <c r="O9" t="s">
        <v>315</v>
      </c>
      <c r="P9" s="92" t="s">
        <v>315</v>
      </c>
      <c r="Q9" t="s">
        <v>315</v>
      </c>
      <c r="R9" t="s">
        <v>315</v>
      </c>
      <c r="S9" t="s">
        <v>280</v>
      </c>
      <c r="T9" t="s">
        <v>321</v>
      </c>
      <c r="U9" t="s">
        <v>280</v>
      </c>
      <c r="V9" t="s">
        <v>315</v>
      </c>
      <c r="W9" t="s">
        <v>315</v>
      </c>
      <c r="X9" t="s">
        <v>315</v>
      </c>
      <c r="Y9" t="s">
        <v>315</v>
      </c>
      <c r="Z9" t="s">
        <v>280</v>
      </c>
      <c r="AA9" s="92" t="s">
        <v>315</v>
      </c>
    </row>
    <row r="10" spans="2:27" x14ac:dyDescent="0.35">
      <c r="B10" s="86"/>
      <c r="K10" s="90" t="s">
        <v>523</v>
      </c>
      <c r="L10" s="91" t="s">
        <v>315</v>
      </c>
      <c r="M10" t="s">
        <v>280</v>
      </c>
      <c r="N10" t="s">
        <v>315</v>
      </c>
      <c r="O10" t="s">
        <v>280</v>
      </c>
      <c r="P10" s="92" t="s">
        <v>321</v>
      </c>
      <c r="Q10" t="s">
        <v>315</v>
      </c>
      <c r="R10" t="s">
        <v>315</v>
      </c>
      <c r="S10" t="s">
        <v>315</v>
      </c>
      <c r="T10" t="s">
        <v>315</v>
      </c>
      <c r="U10" t="s">
        <v>315</v>
      </c>
      <c r="V10" t="s">
        <v>315</v>
      </c>
      <c r="W10" t="s">
        <v>315</v>
      </c>
      <c r="X10" t="s">
        <v>315</v>
      </c>
      <c r="Y10" t="s">
        <v>280</v>
      </c>
      <c r="Z10" t="s">
        <v>315</v>
      </c>
      <c r="AA10" s="92" t="s">
        <v>315</v>
      </c>
    </row>
    <row r="11" spans="2:27" x14ac:dyDescent="0.35">
      <c r="B11" s="86" t="s">
        <v>282</v>
      </c>
      <c r="E11" t="s">
        <v>496</v>
      </c>
      <c r="F11" t="s">
        <v>524</v>
      </c>
      <c r="K11" s="90" t="s">
        <v>525</v>
      </c>
      <c r="L11" s="91" t="s">
        <v>315</v>
      </c>
      <c r="M11" t="s">
        <v>280</v>
      </c>
      <c r="N11" t="s">
        <v>315</v>
      </c>
      <c r="O11" t="s">
        <v>315</v>
      </c>
      <c r="P11" s="92" t="s">
        <v>315</v>
      </c>
      <c r="Q11" t="s">
        <v>315</v>
      </c>
      <c r="R11" t="s">
        <v>315</v>
      </c>
      <c r="S11" t="s">
        <v>280</v>
      </c>
      <c r="T11" t="s">
        <v>315</v>
      </c>
      <c r="U11" t="s">
        <v>321</v>
      </c>
      <c r="V11" t="s">
        <v>315</v>
      </c>
      <c r="W11" t="s">
        <v>315</v>
      </c>
      <c r="X11" t="s">
        <v>315</v>
      </c>
      <c r="Y11" t="s">
        <v>315</v>
      </c>
      <c r="Z11" t="s">
        <v>315</v>
      </c>
      <c r="AA11" s="92" t="s">
        <v>315</v>
      </c>
    </row>
    <row r="12" spans="2:27" x14ac:dyDescent="0.35">
      <c r="B12" s="85" t="s">
        <v>526</v>
      </c>
      <c r="E12" t="s">
        <v>496</v>
      </c>
      <c r="F12" t="s">
        <v>527</v>
      </c>
      <c r="K12" s="90" t="s">
        <v>528</v>
      </c>
      <c r="L12" s="91" t="s">
        <v>514</v>
      </c>
      <c r="M12" t="s">
        <v>514</v>
      </c>
      <c r="N12" t="s">
        <v>514</v>
      </c>
      <c r="O12" t="s">
        <v>321</v>
      </c>
      <c r="P12" s="92" t="s">
        <v>321</v>
      </c>
      <c r="Q12" t="s">
        <v>315</v>
      </c>
      <c r="R12" t="s">
        <v>280</v>
      </c>
      <c r="S12" t="s">
        <v>321</v>
      </c>
      <c r="T12" t="s">
        <v>514</v>
      </c>
      <c r="U12" t="s">
        <v>280</v>
      </c>
      <c r="V12" t="s">
        <v>514</v>
      </c>
      <c r="W12" t="s">
        <v>280</v>
      </c>
      <c r="X12" t="s">
        <v>514</v>
      </c>
      <c r="Y12" t="s">
        <v>514</v>
      </c>
      <c r="Z12" t="s">
        <v>514</v>
      </c>
      <c r="AA12" s="92" t="s">
        <v>321</v>
      </c>
    </row>
    <row r="13" spans="2:27" ht="13.9" x14ac:dyDescent="0.4">
      <c r="B13" s="84" t="s">
        <v>286</v>
      </c>
      <c r="E13" t="s">
        <v>496</v>
      </c>
      <c r="F13" t="s">
        <v>529</v>
      </c>
      <c r="K13" s="90" t="s">
        <v>530</v>
      </c>
      <c r="L13" s="91" t="s">
        <v>280</v>
      </c>
      <c r="M13" t="s">
        <v>315</v>
      </c>
      <c r="N13" t="s">
        <v>321</v>
      </c>
      <c r="O13" t="s">
        <v>315</v>
      </c>
      <c r="P13" s="92" t="s">
        <v>315</v>
      </c>
      <c r="Q13" t="s">
        <v>315</v>
      </c>
      <c r="R13" t="s">
        <v>315</v>
      </c>
      <c r="S13" t="s">
        <v>315</v>
      </c>
      <c r="T13" t="s">
        <v>315</v>
      </c>
      <c r="U13" t="s">
        <v>321</v>
      </c>
      <c r="V13" t="s">
        <v>315</v>
      </c>
      <c r="W13" t="s">
        <v>315</v>
      </c>
      <c r="X13" t="s">
        <v>315</v>
      </c>
      <c r="Y13" t="s">
        <v>315</v>
      </c>
      <c r="Z13" t="s">
        <v>280</v>
      </c>
      <c r="AA13" s="92" t="s">
        <v>514</v>
      </c>
    </row>
    <row r="14" spans="2:27" x14ac:dyDescent="0.35">
      <c r="B14" s="76" t="s">
        <v>531</v>
      </c>
      <c r="E14" t="s">
        <v>496</v>
      </c>
      <c r="F14" t="s">
        <v>532</v>
      </c>
      <c r="K14" s="90" t="s">
        <v>533</v>
      </c>
      <c r="L14" s="91" t="s">
        <v>514</v>
      </c>
      <c r="M14" t="s">
        <v>514</v>
      </c>
      <c r="N14" t="s">
        <v>514</v>
      </c>
      <c r="O14" t="s">
        <v>514</v>
      </c>
      <c r="P14" s="92" t="s">
        <v>321</v>
      </c>
      <c r="Q14" t="s">
        <v>321</v>
      </c>
      <c r="R14" t="s">
        <v>321</v>
      </c>
      <c r="S14" t="s">
        <v>280</v>
      </c>
      <c r="T14" t="s">
        <v>321</v>
      </c>
      <c r="U14" t="s">
        <v>315</v>
      </c>
      <c r="V14" t="s">
        <v>514</v>
      </c>
      <c r="W14" t="s">
        <v>280</v>
      </c>
      <c r="X14" t="s">
        <v>280</v>
      </c>
      <c r="Y14" t="s">
        <v>514</v>
      </c>
      <c r="Z14" t="s">
        <v>321</v>
      </c>
      <c r="AA14" s="92" t="s">
        <v>280</v>
      </c>
    </row>
    <row r="15" spans="2:27" x14ac:dyDescent="0.35">
      <c r="B15" s="76" t="s">
        <v>534</v>
      </c>
      <c r="E15" t="s">
        <v>259</v>
      </c>
      <c r="F15" t="s">
        <v>535</v>
      </c>
      <c r="K15" s="90" t="s">
        <v>536</v>
      </c>
      <c r="L15" s="91" t="s">
        <v>315</v>
      </c>
      <c r="M15" t="s">
        <v>315</v>
      </c>
      <c r="N15" t="s">
        <v>280</v>
      </c>
      <c r="O15" t="s">
        <v>315</v>
      </c>
      <c r="P15" s="92" t="s">
        <v>315</v>
      </c>
      <c r="Q15" t="s">
        <v>280</v>
      </c>
      <c r="R15" t="s">
        <v>315</v>
      </c>
      <c r="S15" t="s">
        <v>315</v>
      </c>
      <c r="T15" t="s">
        <v>315</v>
      </c>
      <c r="U15" t="s">
        <v>321</v>
      </c>
      <c r="V15" t="s">
        <v>315</v>
      </c>
      <c r="W15" t="s">
        <v>280</v>
      </c>
      <c r="X15" t="s">
        <v>315</v>
      </c>
      <c r="Y15" t="s">
        <v>280</v>
      </c>
      <c r="Z15" t="s">
        <v>315</v>
      </c>
      <c r="AA15" s="92" t="s">
        <v>315</v>
      </c>
    </row>
    <row r="16" spans="2:27" x14ac:dyDescent="0.35">
      <c r="B16" s="79" t="s">
        <v>537</v>
      </c>
      <c r="E16" t="s">
        <v>259</v>
      </c>
      <c r="F16" t="s">
        <v>538</v>
      </c>
      <c r="K16" s="93" t="s">
        <v>539</v>
      </c>
      <c r="L16" s="94" t="s">
        <v>514</v>
      </c>
      <c r="M16" s="95" t="s">
        <v>321</v>
      </c>
      <c r="N16" s="95" t="s">
        <v>321</v>
      </c>
      <c r="O16" s="95" t="s">
        <v>280</v>
      </c>
      <c r="P16" s="96" t="s">
        <v>321</v>
      </c>
      <c r="Q16" s="95" t="s">
        <v>315</v>
      </c>
      <c r="R16" s="95" t="s">
        <v>280</v>
      </c>
      <c r="S16" s="95" t="s">
        <v>280</v>
      </c>
      <c r="T16" s="95" t="s">
        <v>315</v>
      </c>
      <c r="U16" s="95" t="s">
        <v>280</v>
      </c>
      <c r="V16" s="95" t="s">
        <v>280</v>
      </c>
      <c r="W16" s="95" t="s">
        <v>280</v>
      </c>
      <c r="X16" s="95" t="s">
        <v>280</v>
      </c>
      <c r="Y16" s="95" t="s">
        <v>315</v>
      </c>
      <c r="Z16" s="95" t="s">
        <v>280</v>
      </c>
      <c r="AA16" s="96" t="s">
        <v>315</v>
      </c>
    </row>
    <row r="17" spans="2:22" x14ac:dyDescent="0.35">
      <c r="B17" s="79" t="s">
        <v>540</v>
      </c>
      <c r="E17" t="s">
        <v>259</v>
      </c>
      <c r="F17" t="s">
        <v>541</v>
      </c>
    </row>
    <row r="18" spans="2:22" hidden="1" x14ac:dyDescent="0.35">
      <c r="B18" s="76" t="s">
        <v>542</v>
      </c>
      <c r="E18" t="s">
        <v>259</v>
      </c>
      <c r="F18" t="s">
        <v>543</v>
      </c>
    </row>
    <row r="19" spans="2:22" ht="13.15" hidden="1" x14ac:dyDescent="0.4">
      <c r="B19" s="76" t="s">
        <v>544</v>
      </c>
      <c r="E19" t="s">
        <v>259</v>
      </c>
      <c r="F19" t="s">
        <v>545</v>
      </c>
      <c r="L19" s="97" t="s">
        <v>496</v>
      </c>
      <c r="M19" s="98" t="s">
        <v>259</v>
      </c>
      <c r="N19" s="98" t="s">
        <v>517</v>
      </c>
      <c r="O19" s="98" t="s">
        <v>500</v>
      </c>
      <c r="P19" s="98" t="s">
        <v>522</v>
      </c>
      <c r="Q19" s="98" t="s">
        <v>525</v>
      </c>
      <c r="R19" s="98" t="s">
        <v>528</v>
      </c>
      <c r="S19" s="98" t="s">
        <v>530</v>
      </c>
      <c r="T19" s="98" t="s">
        <v>533</v>
      </c>
      <c r="U19" s="98" t="s">
        <v>536</v>
      </c>
      <c r="V19" s="99" t="s">
        <v>539</v>
      </c>
    </row>
    <row r="20" spans="2:22" hidden="1" x14ac:dyDescent="0.35">
      <c r="B20" s="76" t="s">
        <v>300</v>
      </c>
      <c r="E20" t="s">
        <v>259</v>
      </c>
      <c r="F20" t="s">
        <v>546</v>
      </c>
      <c r="L20" s="91" t="s">
        <v>497</v>
      </c>
      <c r="M20" t="s">
        <v>535</v>
      </c>
      <c r="N20" t="s">
        <v>547</v>
      </c>
      <c r="O20" t="s">
        <v>548</v>
      </c>
      <c r="P20" t="s">
        <v>549</v>
      </c>
      <c r="Q20" t="s">
        <v>550</v>
      </c>
      <c r="R20" t="s">
        <v>551</v>
      </c>
      <c r="S20" t="s">
        <v>552</v>
      </c>
      <c r="T20" t="s">
        <v>553</v>
      </c>
      <c r="U20" t="s">
        <v>554</v>
      </c>
      <c r="V20" s="92" t="s">
        <v>555</v>
      </c>
    </row>
    <row r="21" spans="2:22" hidden="1" x14ac:dyDescent="0.35">
      <c r="B21" s="76" t="s">
        <v>302</v>
      </c>
      <c r="E21" t="s">
        <v>259</v>
      </c>
      <c r="F21" t="s">
        <v>556</v>
      </c>
      <c r="L21" s="91" t="s">
        <v>512</v>
      </c>
      <c r="M21" t="s">
        <v>538</v>
      </c>
      <c r="N21" t="s">
        <v>557</v>
      </c>
      <c r="O21" t="s">
        <v>558</v>
      </c>
      <c r="P21" t="s">
        <v>559</v>
      </c>
      <c r="Q21" t="s">
        <v>560</v>
      </c>
      <c r="R21" t="s">
        <v>561</v>
      </c>
      <c r="S21" t="s">
        <v>562</v>
      </c>
      <c r="T21" t="s">
        <v>563</v>
      </c>
      <c r="U21" t="s">
        <v>564</v>
      </c>
      <c r="V21" s="92" t="s">
        <v>565</v>
      </c>
    </row>
    <row r="22" spans="2:22" hidden="1" x14ac:dyDescent="0.35">
      <c r="B22" s="76" t="s">
        <v>304</v>
      </c>
      <c r="E22" t="s">
        <v>259</v>
      </c>
      <c r="F22" t="s">
        <v>566</v>
      </c>
      <c r="L22" s="91" t="s">
        <v>513</v>
      </c>
      <c r="M22" t="s">
        <v>541</v>
      </c>
      <c r="N22" t="s">
        <v>567</v>
      </c>
      <c r="O22" t="s">
        <v>568</v>
      </c>
      <c r="P22" t="s">
        <v>569</v>
      </c>
      <c r="Q22" t="s">
        <v>570</v>
      </c>
      <c r="R22" t="s">
        <v>571</v>
      </c>
      <c r="S22" t="s">
        <v>572</v>
      </c>
      <c r="T22" t="s">
        <v>573</v>
      </c>
      <c r="U22" t="s">
        <v>574</v>
      </c>
      <c r="V22" s="92" t="s">
        <v>575</v>
      </c>
    </row>
    <row r="23" spans="2:22" hidden="1" x14ac:dyDescent="0.35">
      <c r="B23" s="76" t="s">
        <v>306</v>
      </c>
      <c r="E23" t="s">
        <v>259</v>
      </c>
      <c r="F23" t="s">
        <v>576</v>
      </c>
      <c r="L23" s="91" t="s">
        <v>516</v>
      </c>
      <c r="M23" t="s">
        <v>543</v>
      </c>
      <c r="N23" t="s">
        <v>577</v>
      </c>
      <c r="O23" t="s">
        <v>578</v>
      </c>
      <c r="P23" t="s">
        <v>579</v>
      </c>
      <c r="Q23" t="s">
        <v>580</v>
      </c>
      <c r="R23" t="s">
        <v>581</v>
      </c>
      <c r="S23" t="s">
        <v>582</v>
      </c>
      <c r="T23" t="s">
        <v>583</v>
      </c>
      <c r="U23" t="s">
        <v>584</v>
      </c>
      <c r="V23" s="92" t="s">
        <v>585</v>
      </c>
    </row>
    <row r="24" spans="2:22" hidden="1" x14ac:dyDescent="0.35">
      <c r="B24" s="78" t="s">
        <v>307</v>
      </c>
      <c r="E24" t="s">
        <v>259</v>
      </c>
      <c r="F24" t="s">
        <v>586</v>
      </c>
      <c r="L24" s="91" t="s">
        <v>519</v>
      </c>
      <c r="M24" t="s">
        <v>545</v>
      </c>
      <c r="N24" t="s">
        <v>587</v>
      </c>
      <c r="O24" t="s">
        <v>588</v>
      </c>
      <c r="P24" t="s">
        <v>589</v>
      </c>
      <c r="Q24" t="s">
        <v>590</v>
      </c>
      <c r="R24" t="s">
        <v>591</v>
      </c>
      <c r="S24" t="s">
        <v>592</v>
      </c>
      <c r="T24" t="s">
        <v>593</v>
      </c>
      <c r="U24" t="s">
        <v>594</v>
      </c>
      <c r="V24" s="92" t="s">
        <v>595</v>
      </c>
    </row>
    <row r="25" spans="2:22" hidden="1" x14ac:dyDescent="0.35">
      <c r="E25" t="s">
        <v>259</v>
      </c>
      <c r="F25" t="s">
        <v>596</v>
      </c>
      <c r="L25" s="91" t="s">
        <v>521</v>
      </c>
      <c r="M25" t="s">
        <v>546</v>
      </c>
      <c r="N25" t="s">
        <v>597</v>
      </c>
      <c r="P25" t="s">
        <v>598</v>
      </c>
      <c r="Q25" t="s">
        <v>599</v>
      </c>
      <c r="R25" t="s">
        <v>600</v>
      </c>
      <c r="S25" t="s">
        <v>601</v>
      </c>
      <c r="T25" t="s">
        <v>602</v>
      </c>
      <c r="U25" t="s">
        <v>603</v>
      </c>
      <c r="V25" s="92"/>
    </row>
    <row r="26" spans="2:22" hidden="1" x14ac:dyDescent="0.35">
      <c r="E26" t="s">
        <v>259</v>
      </c>
      <c r="F26" t="s">
        <v>604</v>
      </c>
      <c r="L26" s="91" t="s">
        <v>524</v>
      </c>
      <c r="M26" t="s">
        <v>556</v>
      </c>
      <c r="N26" t="s">
        <v>605</v>
      </c>
      <c r="P26" t="s">
        <v>606</v>
      </c>
      <c r="Q26" t="s">
        <v>607</v>
      </c>
      <c r="R26" t="s">
        <v>608</v>
      </c>
      <c r="S26" t="s">
        <v>609</v>
      </c>
      <c r="T26" t="s">
        <v>610</v>
      </c>
      <c r="U26" t="s">
        <v>611</v>
      </c>
      <c r="V26" s="92"/>
    </row>
    <row r="27" spans="2:22" hidden="1" x14ac:dyDescent="0.35">
      <c r="E27" t="s">
        <v>259</v>
      </c>
      <c r="F27" t="s">
        <v>612</v>
      </c>
      <c r="L27" s="91" t="s">
        <v>527</v>
      </c>
      <c r="M27" t="s">
        <v>566</v>
      </c>
      <c r="N27" t="s">
        <v>613</v>
      </c>
      <c r="P27" t="s">
        <v>614</v>
      </c>
      <c r="Q27" t="s">
        <v>615</v>
      </c>
      <c r="R27" t="s">
        <v>616</v>
      </c>
      <c r="S27" t="s">
        <v>617</v>
      </c>
      <c r="T27" t="s">
        <v>618</v>
      </c>
      <c r="U27" t="s">
        <v>619</v>
      </c>
      <c r="V27" s="92"/>
    </row>
    <row r="28" spans="2:22" hidden="1" x14ac:dyDescent="0.35">
      <c r="E28" t="s">
        <v>259</v>
      </c>
      <c r="F28" t="s">
        <v>620</v>
      </c>
      <c r="L28" s="91" t="s">
        <v>529</v>
      </c>
      <c r="M28" t="s">
        <v>576</v>
      </c>
      <c r="N28" t="s">
        <v>621</v>
      </c>
      <c r="P28" t="s">
        <v>622</v>
      </c>
      <c r="Q28" t="s">
        <v>623</v>
      </c>
      <c r="R28" t="s">
        <v>624</v>
      </c>
      <c r="S28" t="s">
        <v>625</v>
      </c>
      <c r="T28" t="s">
        <v>626</v>
      </c>
      <c r="V28" s="92"/>
    </row>
    <row r="29" spans="2:22" hidden="1" x14ac:dyDescent="0.35">
      <c r="E29" t="s">
        <v>259</v>
      </c>
      <c r="F29" t="s">
        <v>627</v>
      </c>
      <c r="L29" s="94" t="s">
        <v>532</v>
      </c>
      <c r="M29" s="95" t="s">
        <v>586</v>
      </c>
      <c r="N29" s="95" t="s">
        <v>628</v>
      </c>
      <c r="O29" s="95"/>
      <c r="P29" s="95" t="s">
        <v>629</v>
      </c>
      <c r="Q29" s="95" t="s">
        <v>630</v>
      </c>
      <c r="R29" s="95" t="s">
        <v>631</v>
      </c>
      <c r="S29" s="95" t="s">
        <v>632</v>
      </c>
      <c r="T29" s="95" t="s">
        <v>633</v>
      </c>
      <c r="U29" s="95"/>
      <c r="V29" s="96"/>
    </row>
    <row r="30" spans="2:22" hidden="1" x14ac:dyDescent="0.35">
      <c r="E30" t="s">
        <v>259</v>
      </c>
      <c r="F30" t="s">
        <v>634</v>
      </c>
      <c r="M30" t="s">
        <v>596</v>
      </c>
      <c r="N30" t="s">
        <v>635</v>
      </c>
      <c r="P30" t="s">
        <v>636</v>
      </c>
      <c r="R30" t="s">
        <v>637</v>
      </c>
      <c r="S30" t="s">
        <v>638</v>
      </c>
      <c r="T30" t="s">
        <v>639</v>
      </c>
    </row>
    <row r="31" spans="2:22" hidden="1" x14ac:dyDescent="0.35">
      <c r="E31" t="s">
        <v>259</v>
      </c>
      <c r="F31" t="s">
        <v>640</v>
      </c>
      <c r="M31" t="s">
        <v>604</v>
      </c>
      <c r="N31" t="s">
        <v>641</v>
      </c>
      <c r="P31" t="s">
        <v>642</v>
      </c>
      <c r="R31" t="s">
        <v>643</v>
      </c>
      <c r="S31" t="s">
        <v>644</v>
      </c>
    </row>
    <row r="32" spans="2:22" hidden="1" x14ac:dyDescent="0.35">
      <c r="E32" t="s">
        <v>259</v>
      </c>
      <c r="F32" t="s">
        <v>645</v>
      </c>
      <c r="M32" t="s">
        <v>612</v>
      </c>
      <c r="P32" t="s">
        <v>646</v>
      </c>
      <c r="R32" t="s">
        <v>647</v>
      </c>
      <c r="S32" t="s">
        <v>648</v>
      </c>
    </row>
    <row r="33" spans="5:18" hidden="1" x14ac:dyDescent="0.35">
      <c r="E33" t="s">
        <v>259</v>
      </c>
      <c r="F33" t="s">
        <v>649</v>
      </c>
      <c r="M33" t="s">
        <v>620</v>
      </c>
      <c r="R33" t="s">
        <v>650</v>
      </c>
    </row>
    <row r="34" spans="5:18" hidden="1" x14ac:dyDescent="0.35">
      <c r="E34" t="s">
        <v>259</v>
      </c>
      <c r="F34" t="s">
        <v>651</v>
      </c>
      <c r="M34" t="s">
        <v>627</v>
      </c>
      <c r="R34" t="s">
        <v>652</v>
      </c>
    </row>
    <row r="35" spans="5:18" hidden="1" x14ac:dyDescent="0.35">
      <c r="E35" t="s">
        <v>517</v>
      </c>
      <c r="F35" t="s">
        <v>547</v>
      </c>
      <c r="M35" t="s">
        <v>634</v>
      </c>
      <c r="R35" t="s">
        <v>653</v>
      </c>
    </row>
    <row r="36" spans="5:18" hidden="1" x14ac:dyDescent="0.35">
      <c r="E36" t="s">
        <v>517</v>
      </c>
      <c r="F36" t="s">
        <v>557</v>
      </c>
      <c r="M36" t="s">
        <v>640</v>
      </c>
      <c r="R36" t="s">
        <v>654</v>
      </c>
    </row>
    <row r="37" spans="5:18" hidden="1" x14ac:dyDescent="0.35">
      <c r="E37" t="s">
        <v>517</v>
      </c>
      <c r="F37" t="s">
        <v>567</v>
      </c>
      <c r="M37" t="s">
        <v>645</v>
      </c>
    </row>
    <row r="38" spans="5:18" hidden="1" x14ac:dyDescent="0.35">
      <c r="E38" t="s">
        <v>517</v>
      </c>
      <c r="F38" t="s">
        <v>577</v>
      </c>
      <c r="M38" t="s">
        <v>649</v>
      </c>
    </row>
    <row r="39" spans="5:18" hidden="1" x14ac:dyDescent="0.35">
      <c r="E39" t="s">
        <v>517</v>
      </c>
      <c r="F39" t="s">
        <v>587</v>
      </c>
      <c r="M39" t="s">
        <v>651</v>
      </c>
    </row>
    <row r="40" spans="5:18" hidden="1" x14ac:dyDescent="0.35">
      <c r="E40" t="s">
        <v>517</v>
      </c>
      <c r="F40" t="s">
        <v>597</v>
      </c>
    </row>
    <row r="41" spans="5:18" hidden="1" x14ac:dyDescent="0.35">
      <c r="E41" t="s">
        <v>517</v>
      </c>
      <c r="F41" t="s">
        <v>605</v>
      </c>
    </row>
    <row r="42" spans="5:18" x14ac:dyDescent="0.35">
      <c r="E42" t="s">
        <v>517</v>
      </c>
      <c r="F42" t="s">
        <v>613</v>
      </c>
    </row>
    <row r="43" spans="5:18" x14ac:dyDescent="0.35">
      <c r="E43" t="s">
        <v>517</v>
      </c>
      <c r="F43" t="s">
        <v>621</v>
      </c>
    </row>
    <row r="44" spans="5:18" x14ac:dyDescent="0.35">
      <c r="E44" t="s">
        <v>517</v>
      </c>
      <c r="F44" t="s">
        <v>628</v>
      </c>
    </row>
    <row r="45" spans="5:18" x14ac:dyDescent="0.35">
      <c r="E45" t="s">
        <v>517</v>
      </c>
      <c r="F45" t="s">
        <v>635</v>
      </c>
    </row>
    <row r="46" spans="5:18" x14ac:dyDescent="0.35">
      <c r="E46" t="s">
        <v>517</v>
      </c>
      <c r="F46" t="s">
        <v>641</v>
      </c>
    </row>
    <row r="47" spans="5:18" x14ac:dyDescent="0.35">
      <c r="E47" t="s">
        <v>500</v>
      </c>
      <c r="F47" t="s">
        <v>548</v>
      </c>
    </row>
    <row r="48" spans="5:18" x14ac:dyDescent="0.35">
      <c r="E48" t="s">
        <v>500</v>
      </c>
      <c r="F48" t="s">
        <v>558</v>
      </c>
    </row>
    <row r="49" spans="5:6" x14ac:dyDescent="0.35">
      <c r="E49" t="s">
        <v>500</v>
      </c>
      <c r="F49" t="s">
        <v>568</v>
      </c>
    </row>
    <row r="50" spans="5:6" x14ac:dyDescent="0.35">
      <c r="E50" t="s">
        <v>500</v>
      </c>
      <c r="F50" t="s">
        <v>578</v>
      </c>
    </row>
    <row r="51" spans="5:6" x14ac:dyDescent="0.35">
      <c r="E51" t="s">
        <v>500</v>
      </c>
      <c r="F51" t="s">
        <v>588</v>
      </c>
    </row>
    <row r="52" spans="5:6" x14ac:dyDescent="0.35">
      <c r="E52" t="s">
        <v>522</v>
      </c>
      <c r="F52" t="s">
        <v>549</v>
      </c>
    </row>
    <row r="53" spans="5:6" x14ac:dyDescent="0.35">
      <c r="E53" t="s">
        <v>522</v>
      </c>
      <c r="F53" t="s">
        <v>559</v>
      </c>
    </row>
    <row r="54" spans="5:6" x14ac:dyDescent="0.35">
      <c r="E54" t="s">
        <v>522</v>
      </c>
      <c r="F54" t="s">
        <v>569</v>
      </c>
    </row>
    <row r="55" spans="5:6" x14ac:dyDescent="0.35">
      <c r="E55" t="s">
        <v>522</v>
      </c>
      <c r="F55" t="s">
        <v>579</v>
      </c>
    </row>
    <row r="56" spans="5:6" x14ac:dyDescent="0.35">
      <c r="E56" t="s">
        <v>522</v>
      </c>
      <c r="F56" t="s">
        <v>589</v>
      </c>
    </row>
    <row r="57" spans="5:6" x14ac:dyDescent="0.35">
      <c r="E57" t="s">
        <v>522</v>
      </c>
      <c r="F57" t="s">
        <v>598</v>
      </c>
    </row>
    <row r="58" spans="5:6" x14ac:dyDescent="0.35">
      <c r="E58" t="s">
        <v>522</v>
      </c>
      <c r="F58" t="s">
        <v>606</v>
      </c>
    </row>
    <row r="59" spans="5:6" x14ac:dyDescent="0.35">
      <c r="E59" t="s">
        <v>522</v>
      </c>
      <c r="F59" t="s">
        <v>614</v>
      </c>
    </row>
    <row r="60" spans="5:6" x14ac:dyDescent="0.35">
      <c r="E60" t="s">
        <v>522</v>
      </c>
      <c r="F60" t="s">
        <v>622</v>
      </c>
    </row>
    <row r="61" spans="5:6" x14ac:dyDescent="0.35">
      <c r="E61" t="s">
        <v>522</v>
      </c>
      <c r="F61" t="s">
        <v>629</v>
      </c>
    </row>
    <row r="62" spans="5:6" x14ac:dyDescent="0.35">
      <c r="E62" t="s">
        <v>522</v>
      </c>
      <c r="F62" t="s">
        <v>636</v>
      </c>
    </row>
    <row r="63" spans="5:6" x14ac:dyDescent="0.35">
      <c r="E63" t="s">
        <v>522</v>
      </c>
      <c r="F63" t="s">
        <v>642</v>
      </c>
    </row>
    <row r="64" spans="5:6" x14ac:dyDescent="0.35">
      <c r="E64" t="s">
        <v>522</v>
      </c>
      <c r="F64" t="s">
        <v>646</v>
      </c>
    </row>
    <row r="65" spans="5:6" x14ac:dyDescent="0.35">
      <c r="E65" t="s">
        <v>525</v>
      </c>
      <c r="F65" t="s">
        <v>550</v>
      </c>
    </row>
    <row r="66" spans="5:6" x14ac:dyDescent="0.35">
      <c r="E66" t="s">
        <v>525</v>
      </c>
      <c r="F66" t="s">
        <v>560</v>
      </c>
    </row>
    <row r="67" spans="5:6" x14ac:dyDescent="0.35">
      <c r="E67" t="s">
        <v>525</v>
      </c>
      <c r="F67" t="s">
        <v>570</v>
      </c>
    </row>
    <row r="68" spans="5:6" x14ac:dyDescent="0.35">
      <c r="E68" t="s">
        <v>525</v>
      </c>
      <c r="F68" t="s">
        <v>580</v>
      </c>
    </row>
    <row r="69" spans="5:6" x14ac:dyDescent="0.35">
      <c r="E69" t="s">
        <v>525</v>
      </c>
      <c r="F69" t="s">
        <v>590</v>
      </c>
    </row>
    <row r="70" spans="5:6" x14ac:dyDescent="0.35">
      <c r="E70" t="s">
        <v>525</v>
      </c>
      <c r="F70" t="s">
        <v>599</v>
      </c>
    </row>
    <row r="71" spans="5:6" x14ac:dyDescent="0.35">
      <c r="E71" t="s">
        <v>525</v>
      </c>
      <c r="F71" t="s">
        <v>607</v>
      </c>
    </row>
    <row r="72" spans="5:6" x14ac:dyDescent="0.35">
      <c r="E72" t="s">
        <v>525</v>
      </c>
      <c r="F72" t="s">
        <v>615</v>
      </c>
    </row>
    <row r="73" spans="5:6" x14ac:dyDescent="0.35">
      <c r="E73" t="s">
        <v>525</v>
      </c>
      <c r="F73" t="s">
        <v>623</v>
      </c>
    </row>
    <row r="74" spans="5:6" x14ac:dyDescent="0.35">
      <c r="E74" t="s">
        <v>525</v>
      </c>
      <c r="F74" t="s">
        <v>630</v>
      </c>
    </row>
    <row r="75" spans="5:6" x14ac:dyDescent="0.35">
      <c r="E75" t="s">
        <v>528</v>
      </c>
      <c r="F75" t="s">
        <v>551</v>
      </c>
    </row>
    <row r="76" spans="5:6" x14ac:dyDescent="0.35">
      <c r="E76" t="s">
        <v>528</v>
      </c>
      <c r="F76" t="s">
        <v>561</v>
      </c>
    </row>
    <row r="77" spans="5:6" x14ac:dyDescent="0.35">
      <c r="E77" t="s">
        <v>528</v>
      </c>
      <c r="F77" t="s">
        <v>571</v>
      </c>
    </row>
    <row r="78" spans="5:6" x14ac:dyDescent="0.35">
      <c r="E78" t="s">
        <v>528</v>
      </c>
      <c r="F78" t="s">
        <v>581</v>
      </c>
    </row>
    <row r="79" spans="5:6" x14ac:dyDescent="0.35">
      <c r="E79" t="s">
        <v>528</v>
      </c>
      <c r="F79" t="s">
        <v>591</v>
      </c>
    </row>
    <row r="80" spans="5:6" x14ac:dyDescent="0.35">
      <c r="E80" t="s">
        <v>528</v>
      </c>
      <c r="F80" t="s">
        <v>600</v>
      </c>
    </row>
    <row r="81" spans="5:6" x14ac:dyDescent="0.35">
      <c r="E81" t="s">
        <v>528</v>
      </c>
      <c r="F81" t="s">
        <v>608</v>
      </c>
    </row>
    <row r="82" spans="5:6" x14ac:dyDescent="0.35">
      <c r="E82" t="s">
        <v>528</v>
      </c>
      <c r="F82" t="s">
        <v>616</v>
      </c>
    </row>
    <row r="83" spans="5:6" x14ac:dyDescent="0.35">
      <c r="E83" t="s">
        <v>528</v>
      </c>
      <c r="F83" t="s">
        <v>624</v>
      </c>
    </row>
    <row r="84" spans="5:6" x14ac:dyDescent="0.35">
      <c r="E84" t="s">
        <v>528</v>
      </c>
      <c r="F84" t="s">
        <v>631</v>
      </c>
    </row>
    <row r="85" spans="5:6" x14ac:dyDescent="0.35">
      <c r="E85" t="s">
        <v>528</v>
      </c>
      <c r="F85" t="s">
        <v>637</v>
      </c>
    </row>
    <row r="86" spans="5:6" x14ac:dyDescent="0.35">
      <c r="E86" t="s">
        <v>528</v>
      </c>
      <c r="F86" t="s">
        <v>643</v>
      </c>
    </row>
    <row r="87" spans="5:6" x14ac:dyDescent="0.35">
      <c r="E87" t="s">
        <v>528</v>
      </c>
      <c r="F87" t="s">
        <v>647</v>
      </c>
    </row>
    <row r="88" spans="5:6" x14ac:dyDescent="0.35">
      <c r="E88" t="s">
        <v>528</v>
      </c>
      <c r="F88" t="s">
        <v>650</v>
      </c>
    </row>
    <row r="89" spans="5:6" x14ac:dyDescent="0.35">
      <c r="E89" t="s">
        <v>528</v>
      </c>
      <c r="F89" t="s">
        <v>652</v>
      </c>
    </row>
    <row r="90" spans="5:6" x14ac:dyDescent="0.35">
      <c r="E90" t="s">
        <v>528</v>
      </c>
      <c r="F90" t="s">
        <v>653</v>
      </c>
    </row>
    <row r="91" spans="5:6" x14ac:dyDescent="0.35">
      <c r="E91" t="s">
        <v>528</v>
      </c>
      <c r="F91" t="s">
        <v>654</v>
      </c>
    </row>
    <row r="92" spans="5:6" x14ac:dyDescent="0.35">
      <c r="E92" t="s">
        <v>530</v>
      </c>
      <c r="F92" t="s">
        <v>552</v>
      </c>
    </row>
    <row r="93" spans="5:6" x14ac:dyDescent="0.35">
      <c r="E93" t="s">
        <v>530</v>
      </c>
      <c r="F93" t="s">
        <v>562</v>
      </c>
    </row>
    <row r="94" spans="5:6" x14ac:dyDescent="0.35">
      <c r="E94" t="s">
        <v>530</v>
      </c>
      <c r="F94" t="s">
        <v>572</v>
      </c>
    </row>
    <row r="95" spans="5:6" x14ac:dyDescent="0.35">
      <c r="E95" t="s">
        <v>530</v>
      </c>
      <c r="F95" t="s">
        <v>582</v>
      </c>
    </row>
    <row r="96" spans="5:6" x14ac:dyDescent="0.35">
      <c r="E96" t="s">
        <v>530</v>
      </c>
      <c r="F96" t="s">
        <v>592</v>
      </c>
    </row>
    <row r="97" spans="5:6" x14ac:dyDescent="0.35">
      <c r="E97" t="s">
        <v>530</v>
      </c>
      <c r="F97" t="s">
        <v>601</v>
      </c>
    </row>
    <row r="98" spans="5:6" x14ac:dyDescent="0.35">
      <c r="E98" t="s">
        <v>530</v>
      </c>
      <c r="F98" t="s">
        <v>609</v>
      </c>
    </row>
    <row r="99" spans="5:6" x14ac:dyDescent="0.35">
      <c r="E99" t="s">
        <v>530</v>
      </c>
      <c r="F99" t="s">
        <v>617</v>
      </c>
    </row>
    <row r="100" spans="5:6" x14ac:dyDescent="0.35">
      <c r="E100" t="s">
        <v>530</v>
      </c>
      <c r="F100" t="s">
        <v>625</v>
      </c>
    </row>
    <row r="101" spans="5:6" x14ac:dyDescent="0.35">
      <c r="E101" t="s">
        <v>530</v>
      </c>
      <c r="F101" t="s">
        <v>632</v>
      </c>
    </row>
    <row r="102" spans="5:6" x14ac:dyDescent="0.35">
      <c r="E102" t="s">
        <v>530</v>
      </c>
      <c r="F102" t="s">
        <v>638</v>
      </c>
    </row>
    <row r="103" spans="5:6" x14ac:dyDescent="0.35">
      <c r="E103" t="s">
        <v>530</v>
      </c>
      <c r="F103" t="s">
        <v>644</v>
      </c>
    </row>
    <row r="104" spans="5:6" x14ac:dyDescent="0.35">
      <c r="E104" t="s">
        <v>530</v>
      </c>
      <c r="F104" t="s">
        <v>648</v>
      </c>
    </row>
    <row r="105" spans="5:6" x14ac:dyDescent="0.35">
      <c r="E105" t="s">
        <v>533</v>
      </c>
      <c r="F105" t="s">
        <v>553</v>
      </c>
    </row>
    <row r="106" spans="5:6" x14ac:dyDescent="0.35">
      <c r="E106" t="s">
        <v>533</v>
      </c>
      <c r="F106" t="s">
        <v>563</v>
      </c>
    </row>
    <row r="107" spans="5:6" x14ac:dyDescent="0.35">
      <c r="E107" t="s">
        <v>533</v>
      </c>
      <c r="F107" t="s">
        <v>573</v>
      </c>
    </row>
    <row r="108" spans="5:6" x14ac:dyDescent="0.35">
      <c r="E108" t="s">
        <v>533</v>
      </c>
      <c r="F108" t="s">
        <v>583</v>
      </c>
    </row>
    <row r="109" spans="5:6" x14ac:dyDescent="0.35">
      <c r="E109" t="s">
        <v>533</v>
      </c>
      <c r="F109" t="s">
        <v>593</v>
      </c>
    </row>
    <row r="110" spans="5:6" x14ac:dyDescent="0.35">
      <c r="E110" t="s">
        <v>533</v>
      </c>
      <c r="F110" t="s">
        <v>602</v>
      </c>
    </row>
    <row r="111" spans="5:6" x14ac:dyDescent="0.35">
      <c r="E111" t="s">
        <v>533</v>
      </c>
      <c r="F111" t="s">
        <v>610</v>
      </c>
    </row>
    <row r="112" spans="5:6" x14ac:dyDescent="0.35">
      <c r="E112" t="s">
        <v>533</v>
      </c>
      <c r="F112" t="s">
        <v>618</v>
      </c>
    </row>
    <row r="113" spans="5:6" x14ac:dyDescent="0.35">
      <c r="E113" t="s">
        <v>533</v>
      </c>
      <c r="F113" t="s">
        <v>626</v>
      </c>
    </row>
    <row r="114" spans="5:6" x14ac:dyDescent="0.35">
      <c r="E114" t="s">
        <v>533</v>
      </c>
      <c r="F114" t="s">
        <v>633</v>
      </c>
    </row>
    <row r="115" spans="5:6" x14ac:dyDescent="0.35">
      <c r="E115" t="s">
        <v>533</v>
      </c>
      <c r="F115" t="s">
        <v>639</v>
      </c>
    </row>
    <row r="116" spans="5:6" x14ac:dyDescent="0.35">
      <c r="E116" t="s">
        <v>536</v>
      </c>
      <c r="F116" t="s">
        <v>554</v>
      </c>
    </row>
    <row r="117" spans="5:6" x14ac:dyDescent="0.35">
      <c r="E117" t="s">
        <v>536</v>
      </c>
      <c r="F117" t="s">
        <v>564</v>
      </c>
    </row>
    <row r="118" spans="5:6" x14ac:dyDescent="0.35">
      <c r="E118" t="s">
        <v>536</v>
      </c>
      <c r="F118" t="s">
        <v>574</v>
      </c>
    </row>
    <row r="119" spans="5:6" x14ac:dyDescent="0.35">
      <c r="E119" t="s">
        <v>536</v>
      </c>
      <c r="F119" t="s">
        <v>584</v>
      </c>
    </row>
    <row r="120" spans="5:6" x14ac:dyDescent="0.35">
      <c r="E120" t="s">
        <v>536</v>
      </c>
      <c r="F120" t="s">
        <v>594</v>
      </c>
    </row>
    <row r="121" spans="5:6" x14ac:dyDescent="0.35">
      <c r="E121" t="s">
        <v>536</v>
      </c>
      <c r="F121" t="s">
        <v>603</v>
      </c>
    </row>
    <row r="122" spans="5:6" x14ac:dyDescent="0.35">
      <c r="E122" t="s">
        <v>536</v>
      </c>
      <c r="F122" t="s">
        <v>611</v>
      </c>
    </row>
    <row r="123" spans="5:6" x14ac:dyDescent="0.35">
      <c r="E123" t="s">
        <v>536</v>
      </c>
      <c r="F123" t="s">
        <v>619</v>
      </c>
    </row>
    <row r="124" spans="5:6" x14ac:dyDescent="0.35">
      <c r="E124" t="s">
        <v>539</v>
      </c>
      <c r="F124" t="s">
        <v>555</v>
      </c>
    </row>
    <row r="125" spans="5:6" x14ac:dyDescent="0.35">
      <c r="E125" t="s">
        <v>539</v>
      </c>
      <c r="F125" t="s">
        <v>565</v>
      </c>
    </row>
    <row r="126" spans="5:6" x14ac:dyDescent="0.35">
      <c r="E126" t="s">
        <v>539</v>
      </c>
      <c r="F126" t="s">
        <v>575</v>
      </c>
    </row>
    <row r="127" spans="5:6" x14ac:dyDescent="0.35">
      <c r="E127" t="s">
        <v>539</v>
      </c>
      <c r="F127" t="s">
        <v>585</v>
      </c>
    </row>
    <row r="128" spans="5:6" x14ac:dyDescent="0.35">
      <c r="E128" t="s">
        <v>539</v>
      </c>
      <c r="F128" t="s">
        <v>595</v>
      </c>
    </row>
  </sheetData>
  <mergeCells count="3">
    <mergeCell ref="K2:K3"/>
    <mergeCell ref="L2:P2"/>
    <mergeCell ref="Q2:AA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zoomScale="78" zoomScaleNormal="85" workbookViewId="0">
      <selection activeCell="D73" sqref="D73"/>
    </sheetView>
  </sheetViews>
  <sheetFormatPr defaultColWidth="10.3984375" defaultRowHeight="13.5" x14ac:dyDescent="0.35"/>
  <cols>
    <col min="1" max="1" width="28.3984375" style="21" customWidth="1"/>
    <col min="2" max="5" width="13.3984375" style="21" customWidth="1"/>
    <col min="6" max="6" width="13.1328125" style="21" customWidth="1"/>
    <col min="7" max="9" width="13.86328125" style="21" customWidth="1"/>
    <col min="10" max="10" width="14.1328125" style="21" customWidth="1"/>
    <col min="11" max="11" width="15.1328125" style="23" customWidth="1"/>
    <col min="12" max="12" width="17" style="23" customWidth="1"/>
    <col min="13" max="13" width="14.1328125" style="21" customWidth="1"/>
    <col min="14" max="14" width="21.3984375" style="21" bestFit="1" customWidth="1"/>
    <col min="15" max="15" width="32.1328125" style="21" customWidth="1"/>
    <col min="16" max="16" width="11.3984375" style="21" customWidth="1"/>
    <col min="17" max="23" width="0" style="21" hidden="1" customWidth="1"/>
    <col min="24" max="24" width="15.3984375" style="21" bestFit="1" customWidth="1"/>
    <col min="25" max="25" width="17.3984375" style="21" bestFit="1" customWidth="1"/>
    <col min="26" max="33" width="0" style="21" hidden="1" customWidth="1"/>
    <col min="34" max="16384" width="10.3984375" style="21"/>
  </cols>
  <sheetData>
    <row r="1" spans="1:33" ht="13.9" x14ac:dyDescent="0.4">
      <c r="B1" s="49"/>
      <c r="C1" s="49"/>
      <c r="D1" s="49"/>
      <c r="E1" s="49"/>
      <c r="F1" s="49"/>
      <c r="G1" s="49"/>
      <c r="H1" s="49"/>
      <c r="I1" s="49"/>
      <c r="J1" s="49"/>
      <c r="K1" s="49"/>
      <c r="L1" s="49"/>
      <c r="M1" s="49"/>
      <c r="N1"/>
      <c r="O1"/>
    </row>
    <row r="2" spans="1:33" x14ac:dyDescent="0.35">
      <c r="C2" s="1114" t="s">
        <v>655</v>
      </c>
      <c r="D2" s="1114"/>
      <c r="E2" s="1114"/>
      <c r="F2" s="1114"/>
      <c r="K2" s="24"/>
      <c r="L2" s="24"/>
      <c r="M2" s="24"/>
      <c r="N2" s="24"/>
      <c r="O2" s="24"/>
    </row>
    <row r="3" spans="1:33" x14ac:dyDescent="0.35">
      <c r="C3" s="21" t="s">
        <v>656</v>
      </c>
      <c r="D3" s="21" t="e" vm="1">
        <v>#VALUE!</v>
      </c>
      <c r="F3" s="23"/>
      <c r="G3" s="23"/>
      <c r="M3"/>
      <c r="N3"/>
      <c r="O3"/>
    </row>
    <row r="4" spans="1:33" x14ac:dyDescent="0.35">
      <c r="A4" s="21" t="s">
        <v>341</v>
      </c>
      <c r="B4" s="1114" t="s">
        <v>657</v>
      </c>
      <c r="C4" s="1114"/>
      <c r="D4" s="1114"/>
      <c r="E4" s="1114"/>
      <c r="F4" s="1114"/>
      <c r="G4" s="1114"/>
      <c r="K4" s="21"/>
      <c r="L4" s="21"/>
      <c r="N4"/>
      <c r="O4"/>
    </row>
    <row r="5" spans="1:33" ht="13.9" x14ac:dyDescent="0.4">
      <c r="A5" s="49" t="s">
        <v>450</v>
      </c>
      <c r="B5" s="364">
        <v>2023</v>
      </c>
      <c r="C5" s="364">
        <f>B5-1</f>
        <v>2022</v>
      </c>
      <c r="D5" s="364">
        <f t="shared" ref="D5:M5" si="0">C5-1</f>
        <v>2021</v>
      </c>
      <c r="E5" s="364">
        <f t="shared" si="0"/>
        <v>2020</v>
      </c>
      <c r="F5" s="364">
        <f t="shared" si="0"/>
        <v>2019</v>
      </c>
      <c r="G5" s="364">
        <f t="shared" si="0"/>
        <v>2018</v>
      </c>
      <c r="H5" s="364">
        <f t="shared" si="0"/>
        <v>2017</v>
      </c>
      <c r="I5" s="364">
        <f t="shared" si="0"/>
        <v>2016</v>
      </c>
      <c r="J5" s="364">
        <f t="shared" si="0"/>
        <v>2015</v>
      </c>
      <c r="K5" s="364">
        <f t="shared" si="0"/>
        <v>2014</v>
      </c>
      <c r="L5" s="364">
        <f t="shared" si="0"/>
        <v>2013</v>
      </c>
      <c r="M5" s="364">
        <f t="shared" si="0"/>
        <v>2012</v>
      </c>
      <c r="N5"/>
      <c r="O5"/>
      <c r="Q5" s="9" t="s">
        <v>658</v>
      </c>
      <c r="R5" s="1115" t="s">
        <v>659</v>
      </c>
      <c r="S5" s="1115"/>
      <c r="T5" s="21" t="s">
        <v>660</v>
      </c>
      <c r="Z5" s="49">
        <v>2016</v>
      </c>
      <c r="AA5" s="49">
        <v>2015</v>
      </c>
      <c r="AB5" s="49">
        <v>2014</v>
      </c>
      <c r="AC5" s="49">
        <v>2013</v>
      </c>
      <c r="AD5" s="49">
        <v>2012</v>
      </c>
      <c r="AE5" s="49">
        <v>2011</v>
      </c>
      <c r="AF5" s="49">
        <v>2010</v>
      </c>
      <c r="AG5" s="49">
        <v>2009</v>
      </c>
    </row>
    <row r="6" spans="1:33" x14ac:dyDescent="0.35">
      <c r="A6" s="25" t="s">
        <v>98</v>
      </c>
      <c r="B6" s="278">
        <v>173212.07675797</v>
      </c>
      <c r="C6" s="278">
        <v>137339.98518776</v>
      </c>
      <c r="D6" s="278">
        <v>136404.70000000001</v>
      </c>
      <c r="E6" s="278">
        <v>103307.6</v>
      </c>
      <c r="F6" s="278">
        <v>96210.7</v>
      </c>
      <c r="G6" s="278">
        <v>99230</v>
      </c>
      <c r="H6" s="365">
        <v>101169.48880000001</v>
      </c>
      <c r="I6" s="278">
        <v>98615.702400000009</v>
      </c>
      <c r="J6" s="278">
        <v>76033.142500000002</v>
      </c>
      <c r="K6" s="278">
        <v>62599.104200000002</v>
      </c>
      <c r="L6" s="278">
        <v>56784.314299999998</v>
      </c>
      <c r="M6" s="278">
        <v>43159.9666</v>
      </c>
      <c r="N6" s="27" t="s">
        <v>661</v>
      </c>
      <c r="O6" t="s">
        <v>662</v>
      </c>
      <c r="P6"/>
      <c r="Q6" s="21" t="s">
        <v>663</v>
      </c>
      <c r="R6" s="21" t="s">
        <v>663</v>
      </c>
      <c r="X6" s="28"/>
      <c r="Y6" s="28"/>
      <c r="Z6" s="26">
        <v>38537</v>
      </c>
      <c r="AA6" s="26">
        <v>47011</v>
      </c>
      <c r="AB6" s="26">
        <v>55184</v>
      </c>
      <c r="AC6" s="26">
        <v>55656</v>
      </c>
      <c r="AD6" s="26">
        <v>65875</v>
      </c>
      <c r="AE6" s="26">
        <v>60138</v>
      </c>
      <c r="AF6" s="26">
        <v>42588</v>
      </c>
      <c r="AG6" s="26">
        <v>32396</v>
      </c>
    </row>
    <row r="7" spans="1:33" x14ac:dyDescent="0.35">
      <c r="A7" s="25" t="s">
        <v>452</v>
      </c>
      <c r="B7" s="278">
        <v>32438.9</v>
      </c>
      <c r="C7" s="278">
        <v>26600.7</v>
      </c>
      <c r="D7" s="278">
        <v>22037.200000000001</v>
      </c>
      <c r="E7" s="278">
        <v>17776.599999999999</v>
      </c>
      <c r="F7" s="278">
        <v>16187.6</v>
      </c>
      <c r="G7" s="278">
        <v>17366.099999999999</v>
      </c>
      <c r="H7" s="366">
        <v>19122.887416669997</v>
      </c>
      <c r="I7" s="367">
        <v>24238.35365415</v>
      </c>
      <c r="J7" s="278">
        <v>19162.21728347</v>
      </c>
      <c r="K7" s="278">
        <v>17339.011536279999</v>
      </c>
      <c r="L7" s="278">
        <v>16246.319682179999</v>
      </c>
      <c r="M7" s="278">
        <v>10003.700000000001</v>
      </c>
      <c r="N7" s="27" t="s">
        <v>661</v>
      </c>
      <c r="O7" t="str">
        <f>+A7</f>
        <v>Gross Profit</v>
      </c>
      <c r="P7"/>
      <c r="Q7" s="21" t="s">
        <v>663</v>
      </c>
      <c r="R7" s="21" t="s">
        <v>664</v>
      </c>
      <c r="Z7" s="30">
        <f>Z6-28044</f>
        <v>10493</v>
      </c>
      <c r="AA7" s="30">
        <f>AA6-33546</f>
        <v>13465</v>
      </c>
      <c r="AB7" s="30">
        <f>AB6-40718</f>
        <v>14466</v>
      </c>
      <c r="AC7" s="30">
        <f>AC6-40727</f>
        <v>14929</v>
      </c>
      <c r="AD7" s="31">
        <f>+AD6-47055</f>
        <v>18820</v>
      </c>
      <c r="AE7" s="31">
        <f>+AE6-43578</f>
        <v>16560</v>
      </c>
      <c r="AF7" s="31">
        <f>+AF6-30367</f>
        <v>12221</v>
      </c>
      <c r="AG7" s="31">
        <f>+AG6-23886</f>
        <v>8510</v>
      </c>
    </row>
    <row r="8" spans="1:33" x14ac:dyDescent="0.35">
      <c r="A8" s="25" t="s">
        <v>244</v>
      </c>
      <c r="B8" s="278">
        <v>6314.1</v>
      </c>
      <c r="C8" s="278">
        <v>4808</v>
      </c>
      <c r="D8" s="278">
        <v>4811.3999999999996</v>
      </c>
      <c r="E8" s="278">
        <v>5192.2</v>
      </c>
      <c r="F8" s="278">
        <v>4410.3</v>
      </c>
      <c r="G8" s="278">
        <v>5518.9</v>
      </c>
      <c r="H8" s="366">
        <v>5868.5</v>
      </c>
      <c r="I8" s="367">
        <v>12226.5</v>
      </c>
      <c r="J8" s="367">
        <v>9321.7000000000007</v>
      </c>
      <c r="K8" s="367">
        <v>9082.5</v>
      </c>
      <c r="L8" s="367">
        <v>9525</v>
      </c>
      <c r="M8" s="367">
        <v>6538.8</v>
      </c>
      <c r="N8" s="27" t="s">
        <v>661</v>
      </c>
      <c r="O8" t="s">
        <v>244</v>
      </c>
      <c r="P8"/>
      <c r="Q8" s="21" t="s">
        <v>663</v>
      </c>
      <c r="R8" s="32" t="s">
        <v>665</v>
      </c>
      <c r="Z8" s="30">
        <f>Z7-4383</f>
        <v>6110</v>
      </c>
      <c r="AA8" s="30">
        <f>AA7-4951</f>
        <v>8514</v>
      </c>
      <c r="AB8" s="30">
        <f>AB7-6529</f>
        <v>7937</v>
      </c>
      <c r="AC8" s="30">
        <f>AC7-5547</f>
        <v>9382</v>
      </c>
      <c r="AD8" s="31">
        <f>AD7-5919-2466-797-580-485</f>
        <v>8573</v>
      </c>
      <c r="AE8" s="31">
        <f>+AE7-5203-2297-826-1081</f>
        <v>7153</v>
      </c>
      <c r="AF8" s="31">
        <f>+AF7-4248-1905-914-1191</f>
        <v>3963</v>
      </c>
      <c r="AG8" s="31">
        <f>+AG7-3645-1421-1045-1822</f>
        <v>577</v>
      </c>
    </row>
    <row r="9" spans="1:33" x14ac:dyDescent="0.35">
      <c r="A9" s="25" t="s">
        <v>456</v>
      </c>
      <c r="B9" s="278">
        <f>-1.2</f>
        <v>-1.2</v>
      </c>
      <c r="C9" s="278">
        <f>13.1</f>
        <v>13.1</v>
      </c>
      <c r="D9" s="278">
        <f>-1</f>
        <v>-1</v>
      </c>
      <c r="E9" s="278">
        <f>0</f>
        <v>0</v>
      </c>
      <c r="F9" s="278">
        <f>-33.8</f>
        <v>-33.799999999999997</v>
      </c>
      <c r="G9" s="278">
        <f>-40.4</f>
        <v>-40.4</v>
      </c>
      <c r="H9" s="278">
        <f>-16.3</f>
        <v>-16.3</v>
      </c>
      <c r="I9" s="278">
        <f>-2.8</f>
        <v>-2.8</v>
      </c>
      <c r="J9" s="278">
        <f>-1.1</f>
        <v>-1.1000000000000001</v>
      </c>
      <c r="K9" s="278">
        <f>-0.3</f>
        <v>-0.3</v>
      </c>
      <c r="L9" s="278">
        <f>-8.5</f>
        <v>-8.5</v>
      </c>
      <c r="M9" s="278">
        <f>-29.7</f>
        <v>-29.7</v>
      </c>
      <c r="N9" s="27" t="s">
        <v>661</v>
      </c>
      <c r="O9" t="s">
        <v>666</v>
      </c>
      <c r="P9"/>
      <c r="Q9" s="21" t="s">
        <v>663</v>
      </c>
      <c r="R9" s="21" t="s">
        <v>667</v>
      </c>
      <c r="S9" s="21" t="s">
        <v>668</v>
      </c>
      <c r="T9" s="21" t="s">
        <v>669</v>
      </c>
      <c r="U9" s="21" t="s">
        <v>670</v>
      </c>
      <c r="V9" s="21" t="s">
        <v>671</v>
      </c>
      <c r="Z9" s="30">
        <f>1853+596+595+1904+6+8</f>
        <v>4962</v>
      </c>
      <c r="AA9" s="30">
        <f>2119+587+2023+11</f>
        <v>4740</v>
      </c>
      <c r="AB9" s="30">
        <f>2380+624+1619-8+16</f>
        <v>4631</v>
      </c>
      <c r="AC9" s="30">
        <f>2046+727+981+6+14</f>
        <v>3774</v>
      </c>
      <c r="AD9" s="31">
        <f>-14+41</f>
        <v>27</v>
      </c>
      <c r="AE9" s="30">
        <v>53</v>
      </c>
      <c r="AF9" s="30">
        <f>58+24</f>
        <v>82</v>
      </c>
      <c r="AG9" s="30">
        <f>12-68</f>
        <v>-56</v>
      </c>
    </row>
    <row r="10" spans="1:33" x14ac:dyDescent="0.35">
      <c r="A10" s="25" t="s">
        <v>245</v>
      </c>
      <c r="B10" s="278">
        <f>1509.9</f>
        <v>1509.9</v>
      </c>
      <c r="C10" s="278">
        <f>3998.6</f>
        <v>3998.6</v>
      </c>
      <c r="D10" s="278">
        <v>2670.8</v>
      </c>
      <c r="E10" s="278">
        <v>1035.0999999999999</v>
      </c>
      <c r="F10" s="278">
        <v>690.2</v>
      </c>
      <c r="G10" s="278">
        <v>958.2</v>
      </c>
      <c r="H10" s="366">
        <v>364.4</v>
      </c>
      <c r="I10" s="367">
        <v>256.60000000000002</v>
      </c>
      <c r="J10" s="278">
        <v>366.9</v>
      </c>
      <c r="K10" s="278">
        <v>557.6</v>
      </c>
      <c r="L10" s="278">
        <v>394.7</v>
      </c>
      <c r="M10" s="278">
        <v>302.3</v>
      </c>
      <c r="N10" s="27" t="s">
        <v>661</v>
      </c>
      <c r="O10" t="s">
        <v>672</v>
      </c>
      <c r="P10"/>
      <c r="Q10" s="21" t="s">
        <v>663</v>
      </c>
      <c r="R10" s="21" t="s">
        <v>673</v>
      </c>
      <c r="Z10" s="30">
        <f>505+518</f>
        <v>1023</v>
      </c>
      <c r="AA10" s="30">
        <f>507-161</f>
        <v>346</v>
      </c>
      <c r="AB10" s="30">
        <f>484-322</f>
        <v>162</v>
      </c>
      <c r="AC10" s="30">
        <f>465+35</f>
        <v>500</v>
      </c>
      <c r="AD10" s="31">
        <f>467-130</f>
        <v>337</v>
      </c>
      <c r="AE10" s="30">
        <f>396+32</f>
        <v>428</v>
      </c>
      <c r="AF10" s="30">
        <f>343-130</f>
        <v>213</v>
      </c>
      <c r="AG10" s="30">
        <f>389-381</f>
        <v>8</v>
      </c>
    </row>
    <row r="11" spans="1:33" x14ac:dyDescent="0.35">
      <c r="A11" s="25" t="s">
        <v>246</v>
      </c>
      <c r="B11" s="278">
        <v>-801.2</v>
      </c>
      <c r="C11" s="278">
        <v>-553.70000000000005</v>
      </c>
      <c r="D11" s="278">
        <v>-757.1</v>
      </c>
      <c r="E11" s="278">
        <v>-864.8</v>
      </c>
      <c r="F11" s="278">
        <v>-569.79999999999995</v>
      </c>
      <c r="G11" s="278">
        <v>-1229.4000000000001</v>
      </c>
      <c r="H11" s="366">
        <v>-1189.5999999999999</v>
      </c>
      <c r="I11" s="367">
        <v>-1929.1</v>
      </c>
      <c r="J11" s="278">
        <v>-1628.2</v>
      </c>
      <c r="K11" s="278">
        <v>-1598.9</v>
      </c>
      <c r="L11" s="278">
        <v>-1687.6</v>
      </c>
      <c r="M11" s="278">
        <v>-1119</v>
      </c>
      <c r="N11" s="27" t="s">
        <v>661</v>
      </c>
      <c r="O11" t="s">
        <v>246</v>
      </c>
      <c r="P11"/>
      <c r="Q11" s="21" t="s">
        <v>663</v>
      </c>
      <c r="R11" s="21" t="s">
        <v>674</v>
      </c>
      <c r="Z11" s="26">
        <v>192</v>
      </c>
      <c r="AA11" s="26">
        <v>916</v>
      </c>
      <c r="AB11" s="26">
        <v>692</v>
      </c>
      <c r="AC11" s="26">
        <v>1319</v>
      </c>
      <c r="AD11" s="29">
        <f>2528</f>
        <v>2528</v>
      </c>
      <c r="AE11" s="26">
        <f>1720</f>
        <v>1720</v>
      </c>
      <c r="AF11" s="26">
        <f>968</f>
        <v>968</v>
      </c>
      <c r="AG11" s="26">
        <f>-270</f>
        <v>-270</v>
      </c>
    </row>
    <row r="12" spans="1:33" x14ac:dyDescent="0.35">
      <c r="A12" s="25" t="s">
        <v>52</v>
      </c>
      <c r="B12" s="278">
        <v>7021.6</v>
      </c>
      <c r="C12" s="278">
        <v>8266</v>
      </c>
      <c r="D12" s="278">
        <v>6726.1</v>
      </c>
      <c r="E12" s="278">
        <v>5362.5</v>
      </c>
      <c r="F12" s="278">
        <v>4496.8999999999996</v>
      </c>
      <c r="G12" s="278">
        <v>5207.3</v>
      </c>
      <c r="H12" s="365">
        <v>5027</v>
      </c>
      <c r="I12" s="278">
        <v>10551.2</v>
      </c>
      <c r="J12" s="278">
        <v>8059.3</v>
      </c>
      <c r="K12" s="278">
        <v>8041.5</v>
      </c>
      <c r="L12" s="278">
        <v>8223.6</v>
      </c>
      <c r="M12" s="278">
        <v>5692.4</v>
      </c>
      <c r="N12" s="27" t="s">
        <v>661</v>
      </c>
      <c r="O12" t="s">
        <v>52</v>
      </c>
      <c r="P12"/>
      <c r="Q12" s="21" t="s">
        <v>675</v>
      </c>
      <c r="R12" s="21" t="s">
        <v>676</v>
      </c>
      <c r="Z12" s="26">
        <v>-67</v>
      </c>
      <c r="AA12" s="26">
        <v>2512</v>
      </c>
      <c r="AB12" s="26">
        <v>2452</v>
      </c>
      <c r="AC12" s="26">
        <v>3789</v>
      </c>
      <c r="AD12" s="26">
        <v>5681</v>
      </c>
      <c r="AE12" s="26">
        <f>4928+24</f>
        <v>4952</v>
      </c>
      <c r="AF12" s="26">
        <v>2700</v>
      </c>
      <c r="AG12" s="26">
        <v>895</v>
      </c>
    </row>
    <row r="13" spans="1:33" x14ac:dyDescent="0.35">
      <c r="B13" s="368">
        <f>SUM(B8:B11)</f>
        <v>7021.6000000000013</v>
      </c>
      <c r="C13" s="368">
        <f t="shared" ref="C13:M13" si="1">SUM(C8:C11)</f>
        <v>8266</v>
      </c>
      <c r="D13" s="368">
        <f t="shared" si="1"/>
        <v>6724.0999999999995</v>
      </c>
      <c r="E13" s="368">
        <f t="shared" si="1"/>
        <v>5362.4999999999991</v>
      </c>
      <c r="F13" s="368">
        <f t="shared" si="1"/>
        <v>4496.8999999999996</v>
      </c>
      <c r="G13" s="368">
        <f t="shared" si="1"/>
        <v>5207.2999999999993</v>
      </c>
      <c r="H13" s="368">
        <f t="shared" si="1"/>
        <v>5027</v>
      </c>
      <c r="I13" s="368">
        <f t="shared" si="1"/>
        <v>10551.2</v>
      </c>
      <c r="J13" s="368">
        <f t="shared" si="1"/>
        <v>8059.3</v>
      </c>
      <c r="K13" s="368">
        <f t="shared" si="1"/>
        <v>8040.9000000000015</v>
      </c>
      <c r="L13" s="368">
        <f t="shared" si="1"/>
        <v>8223.6</v>
      </c>
      <c r="M13" s="368">
        <f t="shared" si="1"/>
        <v>5692.4000000000005</v>
      </c>
      <c r="N13"/>
      <c r="O13"/>
      <c r="P13"/>
      <c r="Z13" s="23">
        <f t="shared" ref="Z13:AG13" si="2">Z8-Z10-Z9-Z11</f>
        <v>-67</v>
      </c>
      <c r="AA13" s="23">
        <f t="shared" si="2"/>
        <v>2512</v>
      </c>
      <c r="AB13" s="23">
        <f t="shared" si="2"/>
        <v>2452</v>
      </c>
      <c r="AC13" s="23">
        <f t="shared" si="2"/>
        <v>3789</v>
      </c>
      <c r="AD13" s="23">
        <f t="shared" si="2"/>
        <v>5681</v>
      </c>
      <c r="AE13" s="23">
        <f t="shared" si="2"/>
        <v>4952</v>
      </c>
      <c r="AF13" s="23">
        <f t="shared" si="2"/>
        <v>2700</v>
      </c>
      <c r="AG13" s="23">
        <f t="shared" si="2"/>
        <v>895</v>
      </c>
    </row>
    <row r="14" spans="1:33" ht="13.9" x14ac:dyDescent="0.4">
      <c r="A14" s="49" t="s">
        <v>677</v>
      </c>
      <c r="B14" s="369">
        <f>B12-B13</f>
        <v>0</v>
      </c>
      <c r="C14" s="369">
        <f t="shared" ref="C14:M14" si="3">C12-C13</f>
        <v>0</v>
      </c>
      <c r="D14" s="369">
        <f t="shared" si="3"/>
        <v>2.0000000000009095</v>
      </c>
      <c r="E14" s="369">
        <f t="shared" si="3"/>
        <v>0</v>
      </c>
      <c r="F14" s="369">
        <f t="shared" si="3"/>
        <v>0</v>
      </c>
      <c r="G14" s="369">
        <f t="shared" si="3"/>
        <v>0</v>
      </c>
      <c r="H14" s="369">
        <f t="shared" si="3"/>
        <v>0</v>
      </c>
      <c r="I14" s="369">
        <f t="shared" si="3"/>
        <v>0</v>
      </c>
      <c r="J14" s="369">
        <f t="shared" si="3"/>
        <v>0</v>
      </c>
      <c r="K14" s="369">
        <f t="shared" si="3"/>
        <v>0.59999999999854481</v>
      </c>
      <c r="L14" s="369">
        <f t="shared" si="3"/>
        <v>0</v>
      </c>
      <c r="M14" s="369">
        <f t="shared" si="3"/>
        <v>0</v>
      </c>
      <c r="N14"/>
      <c r="O14"/>
      <c r="P14"/>
      <c r="Z14" s="34">
        <f t="shared" ref="Z14:AG14" si="4">Z12-Z13</f>
        <v>0</v>
      </c>
      <c r="AA14" s="34">
        <f t="shared" si="4"/>
        <v>0</v>
      </c>
      <c r="AB14" s="34">
        <f t="shared" si="4"/>
        <v>0</v>
      </c>
      <c r="AC14" s="34">
        <f t="shared" si="4"/>
        <v>0</v>
      </c>
      <c r="AD14" s="34">
        <f t="shared" si="4"/>
        <v>0</v>
      </c>
      <c r="AE14" s="34">
        <f t="shared" si="4"/>
        <v>0</v>
      </c>
      <c r="AF14" s="34">
        <f t="shared" si="4"/>
        <v>0</v>
      </c>
      <c r="AG14" s="34">
        <f t="shared" si="4"/>
        <v>0</v>
      </c>
    </row>
    <row r="15" spans="1:33" x14ac:dyDescent="0.35">
      <c r="A15"/>
      <c r="B15" s="373"/>
      <c r="C15" s="373"/>
      <c r="D15" s="373"/>
      <c r="E15" s="373"/>
      <c r="F15" s="373"/>
      <c r="G15" s="373"/>
      <c r="H15" s="373"/>
      <c r="I15" s="373"/>
      <c r="J15" s="373"/>
      <c r="K15" s="373"/>
      <c r="L15" s="373"/>
      <c r="M15" s="373"/>
      <c r="N15"/>
      <c r="O15"/>
      <c r="P15"/>
      <c r="Z15" s="26"/>
      <c r="AA15" s="26"/>
      <c r="AB15" s="26"/>
      <c r="AC15" s="26"/>
      <c r="AD15" s="26"/>
      <c r="AE15" s="26"/>
      <c r="AF15" s="26"/>
      <c r="AG15" s="26"/>
    </row>
    <row r="16" spans="1:33" x14ac:dyDescent="0.35">
      <c r="A16" s="25" t="s">
        <v>678</v>
      </c>
      <c r="B16" s="370"/>
      <c r="C16" s="370"/>
      <c r="D16" s="370"/>
      <c r="E16" s="370"/>
      <c r="F16" s="370"/>
      <c r="G16" s="370"/>
      <c r="H16" s="371"/>
      <c r="I16" s="370"/>
      <c r="J16" s="370"/>
      <c r="K16" s="370"/>
      <c r="L16" s="370"/>
      <c r="M16" s="370"/>
      <c r="N16" s="27"/>
      <c r="O16"/>
      <c r="P16"/>
      <c r="Z16" s="26"/>
      <c r="AA16" s="26"/>
      <c r="AB16" s="26"/>
      <c r="AC16" s="26"/>
      <c r="AD16" s="26"/>
      <c r="AE16" s="26"/>
      <c r="AF16" s="26"/>
      <c r="AG16" s="26"/>
    </row>
    <row r="17" spans="1:152" x14ac:dyDescent="0.35">
      <c r="A17" s="25" t="s">
        <v>679</v>
      </c>
      <c r="B17" s="370"/>
      <c r="C17" s="370"/>
      <c r="D17" s="370"/>
      <c r="E17" s="370"/>
      <c r="F17" s="370"/>
      <c r="G17" s="370"/>
      <c r="H17" s="371"/>
      <c r="I17" s="370"/>
      <c r="J17" s="370"/>
      <c r="K17" s="370"/>
      <c r="L17" s="370"/>
      <c r="M17" s="370"/>
      <c r="N17" s="27"/>
      <c r="O17"/>
      <c r="P17"/>
      <c r="Z17" s="26"/>
      <c r="AA17" s="26"/>
      <c r="AB17" s="26"/>
      <c r="AC17" s="26"/>
      <c r="AD17" s="26"/>
      <c r="AE17" s="26"/>
      <c r="AF17" s="26"/>
      <c r="AG17" s="26"/>
    </row>
    <row r="18" spans="1:152" customFormat="1" ht="12.75" x14ac:dyDescent="0.35">
      <c r="B18" s="373"/>
      <c r="C18" s="373"/>
      <c r="D18" s="373"/>
      <c r="E18" s="373"/>
      <c r="F18" s="373"/>
      <c r="G18" s="373"/>
      <c r="H18" s="373"/>
      <c r="I18" s="373"/>
      <c r="J18" s="373"/>
      <c r="K18" s="373"/>
      <c r="L18" s="373"/>
      <c r="M18" s="373"/>
    </row>
    <row r="19" spans="1:152" x14ac:dyDescent="0.35">
      <c r="A19" s="25" t="s">
        <v>680</v>
      </c>
      <c r="B19" s="278"/>
      <c r="C19" s="278"/>
      <c r="D19" s="278"/>
      <c r="E19" s="278"/>
      <c r="F19" s="278"/>
      <c r="G19" s="278"/>
      <c r="H19" s="365"/>
      <c r="I19" s="278"/>
      <c r="J19" s="278"/>
      <c r="K19" s="278"/>
      <c r="L19" s="278"/>
      <c r="M19" s="278"/>
      <c r="N19" s="27"/>
      <c r="O19"/>
      <c r="P19"/>
      <c r="Z19" s="26"/>
      <c r="AA19" s="26"/>
      <c r="AB19" s="26"/>
      <c r="AC19" s="26"/>
      <c r="AD19" s="26"/>
      <c r="AE19" s="26"/>
      <c r="AF19" s="26"/>
      <c r="AG19" s="26"/>
    </row>
    <row r="20" spans="1:152" ht="13.9" x14ac:dyDescent="0.4">
      <c r="A20" s="9" t="s">
        <v>681</v>
      </c>
      <c r="B20" s="278"/>
      <c r="C20" s="278"/>
      <c r="D20" s="278"/>
      <c r="E20" s="278"/>
      <c r="F20" s="278"/>
      <c r="G20" s="278"/>
      <c r="H20" s="365"/>
      <c r="I20" s="278"/>
      <c r="J20" s="278"/>
      <c r="K20" s="278"/>
      <c r="L20" s="278"/>
      <c r="M20" s="278"/>
      <c r="N20" s="27"/>
      <c r="O20"/>
      <c r="P20"/>
      <c r="Z20" s="26"/>
      <c r="AA20" s="26"/>
      <c r="AB20" s="26"/>
      <c r="AC20" s="26"/>
      <c r="AD20" s="26"/>
      <c r="AE20" s="26"/>
      <c r="AF20" s="26"/>
      <c r="AG20" s="26"/>
    </row>
    <row r="21" spans="1:152" customFormat="1" ht="12.75" x14ac:dyDescent="0.35">
      <c r="B21" s="373"/>
      <c r="C21" s="373"/>
      <c r="D21" s="373"/>
      <c r="E21" s="373"/>
      <c r="F21" s="373"/>
      <c r="G21" s="373"/>
      <c r="H21" s="373"/>
      <c r="I21" s="373"/>
      <c r="J21" s="373"/>
      <c r="K21" s="373"/>
      <c r="L21" s="373"/>
      <c r="M21" s="373"/>
    </row>
    <row r="22" spans="1:152" x14ac:dyDescent="0.35">
      <c r="A22" s="21" t="s">
        <v>457</v>
      </c>
      <c r="B22" s="368">
        <f t="shared" ref="B22:J22" si="5">B23-C23</f>
        <v>-7653.5999999999985</v>
      </c>
      <c r="C22" s="368">
        <f t="shared" si="5"/>
        <v>5159.5999999999913</v>
      </c>
      <c r="D22" s="368">
        <f>D23-E23</f>
        <v>-18584.899999999998</v>
      </c>
      <c r="E22" s="368">
        <f t="shared" si="5"/>
        <v>-2883.1999999999898</v>
      </c>
      <c r="F22" s="368">
        <f t="shared" si="5"/>
        <v>-8428.4000000000087</v>
      </c>
      <c r="G22" s="368">
        <f t="shared" si="5"/>
        <v>-5447.4000000000033</v>
      </c>
      <c r="H22" s="368">
        <f t="shared" si="5"/>
        <v>-1281.9999999999973</v>
      </c>
      <c r="I22" s="368">
        <f>I23-J23</f>
        <v>2388.8000000000038</v>
      </c>
      <c r="J22" s="368">
        <f t="shared" si="5"/>
        <v>-992.29999999999745</v>
      </c>
      <c r="K22" s="368">
        <f>K23-L23</f>
        <v>3423.399999999996</v>
      </c>
      <c r="L22" s="368">
        <f>L23-M23</f>
        <v>1731.1000000000004</v>
      </c>
      <c r="M22" s="368">
        <f>M23-N23</f>
        <v>933</v>
      </c>
      <c r="N22" s="33" t="s">
        <v>682</v>
      </c>
      <c r="O22" t="s">
        <v>683</v>
      </c>
      <c r="P22"/>
      <c r="Q22" s="21" t="s">
        <v>675</v>
      </c>
      <c r="Z22" s="26"/>
      <c r="AA22" s="26"/>
      <c r="AB22" s="26"/>
      <c r="AC22" s="26"/>
      <c r="AD22" s="29"/>
      <c r="AE22" s="26"/>
      <c r="AF22" s="26"/>
      <c r="AG22" s="26"/>
    </row>
    <row r="23" spans="1:152" x14ac:dyDescent="0.35">
      <c r="A23" s="25" t="s">
        <v>684</v>
      </c>
      <c r="B23" s="278">
        <f t="shared" ref="B23" si="6">B27-B42-B28</f>
        <v>-31635.9</v>
      </c>
      <c r="C23" s="278">
        <f t="shared" ref="C23:M23" si="7">C27-C42-C28</f>
        <v>-23982.300000000003</v>
      </c>
      <c r="D23" s="278">
        <f t="shared" si="7"/>
        <v>-29141.899999999994</v>
      </c>
      <c r="E23" s="278">
        <f t="shared" si="7"/>
        <v>-10556.999999999996</v>
      </c>
      <c r="F23" s="278">
        <f t="shared" si="7"/>
        <v>-7673.8000000000065</v>
      </c>
      <c r="G23" s="278">
        <f t="shared" si="7"/>
        <v>754.60000000000218</v>
      </c>
      <c r="H23" s="278">
        <f t="shared" si="7"/>
        <v>6202.0000000000055</v>
      </c>
      <c r="I23" s="278">
        <f t="shared" si="7"/>
        <v>7484.0000000000027</v>
      </c>
      <c r="J23" s="278">
        <f t="shared" si="7"/>
        <v>5095.1999999999989</v>
      </c>
      <c r="K23" s="278">
        <f t="shared" si="7"/>
        <v>6087.4999999999964</v>
      </c>
      <c r="L23" s="278">
        <f t="shared" si="7"/>
        <v>2664.1000000000004</v>
      </c>
      <c r="M23" s="278">
        <f t="shared" si="7"/>
        <v>933</v>
      </c>
      <c r="N23" s="33"/>
      <c r="O23"/>
      <c r="P23"/>
      <c r="Z23" s="26"/>
      <c r="AA23" s="26"/>
      <c r="AB23" s="26"/>
      <c r="AC23" s="26"/>
      <c r="AD23" s="29"/>
      <c r="AE23" s="26"/>
      <c r="AF23" s="26"/>
      <c r="AG23" s="26"/>
    </row>
    <row r="24" spans="1:152" x14ac:dyDescent="0.35">
      <c r="A24" s="7">
        <v>2625</v>
      </c>
      <c r="B24" s="374">
        <v>2625</v>
      </c>
      <c r="C24" s="374">
        <v>2625</v>
      </c>
      <c r="D24" s="374">
        <v>2625</v>
      </c>
      <c r="E24" s="374">
        <v>2625</v>
      </c>
      <c r="F24" s="374">
        <v>2625</v>
      </c>
      <c r="G24" s="374">
        <v>2625</v>
      </c>
      <c r="H24" s="374">
        <v>2625</v>
      </c>
      <c r="I24" s="374">
        <v>2625</v>
      </c>
      <c r="J24" s="374">
        <v>2625</v>
      </c>
      <c r="K24" s="374">
        <v>2625</v>
      </c>
      <c r="L24" s="374">
        <v>2625</v>
      </c>
      <c r="M24" s="374">
        <v>2625</v>
      </c>
      <c r="N24" s="7">
        <v>2625</v>
      </c>
      <c r="O24"/>
      <c r="P24"/>
      <c r="Q24" s="21" t="s">
        <v>675</v>
      </c>
      <c r="R24" s="21" t="s">
        <v>685</v>
      </c>
      <c r="T24" s="21" t="s">
        <v>686</v>
      </c>
      <c r="Z24" s="26">
        <v>1799</v>
      </c>
      <c r="AA24" s="26">
        <v>1757</v>
      </c>
      <c r="AB24" s="26">
        <v>1620</v>
      </c>
      <c r="AC24" s="26">
        <v>1111</v>
      </c>
      <c r="AD24" s="26">
        <v>1617</v>
      </c>
      <c r="AE24" s="26">
        <v>1159</v>
      </c>
      <c r="AF24" s="26">
        <v>1084</v>
      </c>
      <c r="AG24" s="26">
        <v>1029</v>
      </c>
    </row>
    <row r="25" spans="1:152" ht="13.9" x14ac:dyDescent="0.4">
      <c r="A25" s="49" t="s">
        <v>376</v>
      </c>
      <c r="B25" s="374">
        <v>2625</v>
      </c>
      <c r="C25" s="374">
        <v>2625</v>
      </c>
      <c r="D25" s="374">
        <v>2625</v>
      </c>
      <c r="E25" s="374">
        <v>2625</v>
      </c>
      <c r="F25" s="374">
        <v>2625</v>
      </c>
      <c r="G25" s="374">
        <v>2625</v>
      </c>
      <c r="H25" s="374">
        <v>2625</v>
      </c>
      <c r="I25" s="374">
        <v>2625</v>
      </c>
      <c r="J25" s="374">
        <v>2625</v>
      </c>
      <c r="K25" s="374">
        <v>2625</v>
      </c>
      <c r="L25" s="374">
        <v>2625</v>
      </c>
      <c r="M25" s="374">
        <v>2625</v>
      </c>
      <c r="N25" s="7">
        <v>2625</v>
      </c>
      <c r="O25"/>
      <c r="P25"/>
      <c r="Q25" s="21" t="s">
        <v>675</v>
      </c>
      <c r="R25" s="21" t="s">
        <v>687</v>
      </c>
      <c r="S25" s="21" t="s">
        <v>688</v>
      </c>
      <c r="T25" s="21" t="s">
        <v>689</v>
      </c>
      <c r="Z25" s="26">
        <v>23</v>
      </c>
      <c r="AA25" s="26">
        <f>-33+2025</f>
        <v>1992</v>
      </c>
      <c r="AB25" s="26">
        <v>3817</v>
      </c>
      <c r="AC25" s="26">
        <v>1776</v>
      </c>
      <c r="AD25" s="26">
        <v>-244</v>
      </c>
      <c r="AE25" s="26">
        <v>-312</v>
      </c>
      <c r="AF25" s="26">
        <v>-449</v>
      </c>
      <c r="AG25" s="26">
        <v>-110</v>
      </c>
    </row>
    <row r="26" spans="1:152" ht="13.9" x14ac:dyDescent="0.4">
      <c r="A26" s="104" t="s">
        <v>690</v>
      </c>
      <c r="B26" s="438"/>
      <c r="C26" s="438"/>
      <c r="D26" s="438"/>
      <c r="E26" s="438"/>
      <c r="F26" s="438"/>
      <c r="G26" s="438"/>
      <c r="H26" s="438"/>
      <c r="I26" s="438"/>
      <c r="J26" s="438"/>
      <c r="K26" s="438"/>
      <c r="L26" s="438"/>
      <c r="M26" s="438"/>
      <c r="N26" s="7">
        <v>1922</v>
      </c>
      <c r="O26" s="7">
        <v>2625</v>
      </c>
      <c r="P26"/>
      <c r="Z26" s="26"/>
      <c r="AA26" s="26"/>
      <c r="AB26" s="26"/>
      <c r="AC26" s="26"/>
      <c r="AD26" s="26"/>
      <c r="AE26" s="26"/>
      <c r="AF26" s="26"/>
      <c r="AG26" s="26"/>
    </row>
    <row r="27" spans="1:152" ht="13.9" x14ac:dyDescent="0.4">
      <c r="A27" s="9" t="s">
        <v>691</v>
      </c>
      <c r="B27" s="277">
        <v>118583.8</v>
      </c>
      <c r="C27" s="277">
        <v>107680.7</v>
      </c>
      <c r="D27" s="277">
        <v>108365.6</v>
      </c>
      <c r="E27" s="277">
        <v>99399</v>
      </c>
      <c r="F27" s="277">
        <v>68502.2</v>
      </c>
      <c r="G27" s="277">
        <v>66126.3</v>
      </c>
      <c r="H27" s="277">
        <v>69293.3</v>
      </c>
      <c r="I27" s="277">
        <v>53928</v>
      </c>
      <c r="J27" s="277">
        <v>40390</v>
      </c>
      <c r="K27" s="277">
        <v>35313.699999999997</v>
      </c>
      <c r="L27" s="277">
        <v>31026.2</v>
      </c>
      <c r="M27" s="277">
        <v>25847.7</v>
      </c>
      <c r="N27" s="7"/>
      <c r="O27" s="7"/>
      <c r="P27"/>
      <c r="Z27" s="26"/>
      <c r="AA27" s="26"/>
      <c r="AB27" s="26"/>
      <c r="AC27" s="26"/>
      <c r="AD27" s="26"/>
      <c r="AE27" s="26"/>
      <c r="AF27" s="26"/>
      <c r="AG27" s="26"/>
    </row>
    <row r="28" spans="1:152" ht="13.9" x14ac:dyDescent="0.4">
      <c r="A28" s="101" t="s">
        <v>249</v>
      </c>
      <c r="B28" s="278">
        <v>39384.6</v>
      </c>
      <c r="C28" s="278">
        <v>35861</v>
      </c>
      <c r="D28" s="278">
        <v>41910.5</v>
      </c>
      <c r="E28" s="278">
        <v>28790.3</v>
      </c>
      <c r="F28" s="278">
        <v>21576.2</v>
      </c>
      <c r="G28" s="278">
        <v>10992.3</v>
      </c>
      <c r="H28" s="278">
        <v>4210.1000000000004</v>
      </c>
      <c r="I28" s="278">
        <v>3191.8</v>
      </c>
      <c r="J28" s="278">
        <v>3508.4</v>
      </c>
      <c r="K28" s="278">
        <v>3081.5</v>
      </c>
      <c r="L28" s="278">
        <v>5522.6</v>
      </c>
      <c r="M28" s="278">
        <v>5595.5</v>
      </c>
      <c r="N28" s="36" t="s">
        <v>692</v>
      </c>
      <c r="O28" t="s">
        <v>249</v>
      </c>
      <c r="P28"/>
      <c r="Z28" s="35"/>
      <c r="AA28" s="35"/>
      <c r="AB28" s="35"/>
      <c r="AC28" s="35"/>
      <c r="AD28" s="35"/>
      <c r="AE28" s="34"/>
      <c r="AF28" s="34"/>
      <c r="AG28" s="34"/>
    </row>
    <row r="29" spans="1:152" ht="13.9" x14ac:dyDescent="0.4">
      <c r="A29" s="102" t="s">
        <v>466</v>
      </c>
      <c r="B29" s="278">
        <v>7193.2</v>
      </c>
      <c r="C29" s="278">
        <v>6611.2</v>
      </c>
      <c r="D29" s="278">
        <v>5422</v>
      </c>
      <c r="E29" s="278">
        <v>3936.2</v>
      </c>
      <c r="F29" s="278">
        <v>3193.2</v>
      </c>
      <c r="G29" s="278">
        <v>3343.2</v>
      </c>
      <c r="H29" s="278">
        <v>49948.6</v>
      </c>
      <c r="I29" s="278">
        <v>40304.199999999997</v>
      </c>
      <c r="J29" s="278">
        <v>28837.7</v>
      </c>
      <c r="K29" s="278">
        <v>24082.5</v>
      </c>
      <c r="L29" s="278">
        <v>18204.599999999999</v>
      </c>
      <c r="M29" s="278">
        <v>15482.4</v>
      </c>
      <c r="N29" s="36" t="s">
        <v>692</v>
      </c>
      <c r="O29" t="s">
        <v>466</v>
      </c>
      <c r="P29"/>
      <c r="Z29" s="35"/>
      <c r="AA29" s="35"/>
      <c r="AB29" s="35"/>
      <c r="AC29" s="35"/>
      <c r="AD29" s="35"/>
      <c r="AE29" s="34"/>
      <c r="AF29" s="34"/>
      <c r="AG29" s="34"/>
    </row>
    <row r="30" spans="1:152" x14ac:dyDescent="0.35">
      <c r="A30" s="101" t="s">
        <v>251</v>
      </c>
      <c r="B30" s="278">
        <v>26627.8</v>
      </c>
      <c r="C30" s="278">
        <v>22374.5</v>
      </c>
      <c r="D30" s="278">
        <v>13966.4</v>
      </c>
      <c r="E30" s="278">
        <v>7497.6</v>
      </c>
      <c r="F30" s="278">
        <v>6237.2</v>
      </c>
      <c r="G30" s="278">
        <v>4445.1000000000004</v>
      </c>
      <c r="H30" s="278">
        <v>5574.8</v>
      </c>
      <c r="I30" s="278">
        <v>6061.1</v>
      </c>
      <c r="J30" s="278">
        <v>4119.8</v>
      </c>
      <c r="K30" s="278">
        <v>3470.4</v>
      </c>
      <c r="L30" s="278">
        <v>2763.9</v>
      </c>
      <c r="M30" s="278">
        <v>2776.7</v>
      </c>
      <c r="N30" s="36" t="s">
        <v>692</v>
      </c>
      <c r="O30" t="s">
        <v>251</v>
      </c>
      <c r="P30"/>
      <c r="Q30" s="21" t="s">
        <v>693</v>
      </c>
      <c r="R30" s="21" t="s">
        <v>694</v>
      </c>
      <c r="Z30" s="26">
        <v>7168</v>
      </c>
      <c r="AA30" s="26">
        <v>6460</v>
      </c>
      <c r="AB30" s="26">
        <v>7341</v>
      </c>
      <c r="AC30" s="26">
        <v>6081</v>
      </c>
      <c r="AD30" s="26">
        <v>5490</v>
      </c>
      <c r="AE30" s="26">
        <v>3057</v>
      </c>
      <c r="AF30" s="26">
        <v>3592</v>
      </c>
      <c r="AG30" s="26">
        <v>4867</v>
      </c>
    </row>
    <row r="31" spans="1:152" s="22" customFormat="1" x14ac:dyDescent="0.35">
      <c r="A31" s="101" t="s">
        <v>695</v>
      </c>
      <c r="B31" s="278">
        <f t="shared" ref="B31" si="8">B27-SUM(B28:B30)</f>
        <v>45378.200000000012</v>
      </c>
      <c r="C31" s="278">
        <f t="shared" ref="C31:M31" si="9">C27-SUM(C28:C30)</f>
        <v>42834</v>
      </c>
      <c r="D31" s="278">
        <f t="shared" si="9"/>
        <v>47066.700000000004</v>
      </c>
      <c r="E31" s="278">
        <f t="shared" si="9"/>
        <v>59174.9</v>
      </c>
      <c r="F31" s="278">
        <f t="shared" si="9"/>
        <v>37495.599999999991</v>
      </c>
      <c r="G31" s="278">
        <f t="shared" si="9"/>
        <v>47345.700000000004</v>
      </c>
      <c r="H31" s="278">
        <f t="shared" si="9"/>
        <v>9559.8000000000029</v>
      </c>
      <c r="I31" s="278">
        <f t="shared" si="9"/>
        <v>4370.9000000000015</v>
      </c>
      <c r="J31" s="278">
        <f t="shared" si="9"/>
        <v>3924.0999999999985</v>
      </c>
      <c r="K31" s="278">
        <f t="shared" si="9"/>
        <v>4679.2999999999956</v>
      </c>
      <c r="L31" s="278">
        <f t="shared" si="9"/>
        <v>4535.1000000000022</v>
      </c>
      <c r="M31" s="278">
        <f t="shared" si="9"/>
        <v>1993.0999999999985</v>
      </c>
      <c r="N31" s="36" t="s">
        <v>692</v>
      </c>
      <c r="O31" t="s">
        <v>251</v>
      </c>
      <c r="P31"/>
      <c r="Q31" s="21" t="s">
        <v>693</v>
      </c>
      <c r="R31" s="21" t="s">
        <v>696</v>
      </c>
      <c r="S31" s="21" t="s">
        <v>697</v>
      </c>
      <c r="T31" s="21" t="s">
        <v>698</v>
      </c>
      <c r="U31" s="21"/>
      <c r="V31" s="21"/>
      <c r="W31" s="21"/>
      <c r="X31" s="21"/>
      <c r="Y31" s="21"/>
      <c r="Z31" s="30">
        <f>5981+8522+1029+13556</f>
        <v>29088</v>
      </c>
      <c r="AA31" s="30">
        <f>6695+8991+1170+13651</f>
        <v>30507</v>
      </c>
      <c r="AB31" s="30">
        <f>7737+9027+1364+14644</f>
        <v>32772</v>
      </c>
      <c r="AC31" s="30">
        <v>33499</v>
      </c>
      <c r="AD31" s="30">
        <v>33911</v>
      </c>
      <c r="AE31" s="30">
        <v>31031</v>
      </c>
      <c r="AF31" s="30">
        <v>28849</v>
      </c>
      <c r="AG31" s="30">
        <v>27162</v>
      </c>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row>
    <row r="32" spans="1:152" s="22" customFormat="1" ht="13.9" x14ac:dyDescent="0.4">
      <c r="A32" s="9" t="s">
        <v>699</v>
      </c>
      <c r="B32" s="277">
        <f t="shared" ref="B32:M32" si="10">B38-B27</f>
        <v>82686.499999999985</v>
      </c>
      <c r="C32" s="277">
        <f t="shared" si="10"/>
        <v>77676.599999999991</v>
      </c>
      <c r="D32" s="277">
        <f t="shared" si="10"/>
        <v>67042.399999999994</v>
      </c>
      <c r="E32" s="277">
        <f t="shared" si="10"/>
        <v>54612.5</v>
      </c>
      <c r="F32" s="277">
        <f t="shared" si="10"/>
        <v>44594.2</v>
      </c>
      <c r="G32" s="277">
        <f t="shared" si="10"/>
        <v>45674.099999999991</v>
      </c>
      <c r="H32" s="277">
        <f t="shared" si="10"/>
        <v>41254.099999999991</v>
      </c>
      <c r="I32" s="277">
        <f t="shared" si="10"/>
        <v>38381.199999999997</v>
      </c>
      <c r="J32" s="277">
        <f t="shared" si="10"/>
        <v>31520.600000000006</v>
      </c>
      <c r="K32" s="277">
        <f t="shared" si="10"/>
        <v>26031.600000000006</v>
      </c>
      <c r="L32" s="277">
        <f t="shared" si="10"/>
        <v>21578.600000000002</v>
      </c>
      <c r="M32" s="277">
        <f t="shared" si="10"/>
        <v>16721.7</v>
      </c>
      <c r="N32" s="36"/>
      <c r="O32"/>
      <c r="P32"/>
      <c r="Q32" s="21"/>
      <c r="R32" s="21"/>
      <c r="S32" s="21"/>
      <c r="T32" s="21"/>
      <c r="U32" s="21"/>
      <c r="V32" s="21"/>
      <c r="W32" s="21"/>
      <c r="X32" s="21"/>
      <c r="Y32" s="21"/>
      <c r="Z32" s="30"/>
      <c r="AA32" s="30"/>
      <c r="AB32" s="30"/>
      <c r="AC32" s="30"/>
      <c r="AD32" s="30"/>
      <c r="AE32" s="30"/>
      <c r="AF32" s="30"/>
      <c r="AG32" s="30"/>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row>
    <row r="33" spans="1:33" x14ac:dyDescent="0.35">
      <c r="A33" s="103" t="s">
        <v>467</v>
      </c>
      <c r="B33" s="278">
        <v>40435.199999999997</v>
      </c>
      <c r="C33" s="278">
        <v>39338.800000000003</v>
      </c>
      <c r="D33" s="278">
        <v>35218.699999999997</v>
      </c>
      <c r="E33" s="278">
        <v>34632.6</v>
      </c>
      <c r="F33" s="278">
        <v>35038.699999999997</v>
      </c>
      <c r="G33" s="278">
        <v>36289.1</v>
      </c>
      <c r="H33" s="278">
        <v>35654.9</v>
      </c>
      <c r="I33" s="278">
        <v>32638.799999999999</v>
      </c>
      <c r="J33" s="278">
        <v>28446.1</v>
      </c>
      <c r="K33" s="278">
        <v>25283.5</v>
      </c>
      <c r="L33" s="278">
        <v>21037.200000000001</v>
      </c>
      <c r="M33" s="278">
        <v>16195.8</v>
      </c>
      <c r="N33" s="36"/>
      <c r="O33"/>
      <c r="P33"/>
      <c r="Q33" s="21" t="s">
        <v>693</v>
      </c>
      <c r="R33" s="21" t="s">
        <v>700</v>
      </c>
      <c r="Z33" s="26">
        <v>8614</v>
      </c>
      <c r="AA33" s="26">
        <v>9700</v>
      </c>
      <c r="AB33" s="26">
        <v>12205</v>
      </c>
      <c r="AC33" s="26">
        <v>12625</v>
      </c>
      <c r="AD33" s="26">
        <v>15547</v>
      </c>
      <c r="AE33" s="26">
        <v>14544</v>
      </c>
      <c r="AF33" s="26">
        <v>9587</v>
      </c>
      <c r="AG33" s="26">
        <v>6360</v>
      </c>
    </row>
    <row r="34" spans="1:33" x14ac:dyDescent="0.35">
      <c r="A34" s="103" t="s">
        <v>701</v>
      </c>
      <c r="B34" s="278">
        <v>2912.5</v>
      </c>
      <c r="C34" s="278">
        <v>2610.4</v>
      </c>
      <c r="D34" s="278">
        <v>249.3</v>
      </c>
      <c r="E34" s="278"/>
      <c r="F34" s="278">
        <v>892.3</v>
      </c>
      <c r="G34" s="278">
        <v>222.3</v>
      </c>
      <c r="H34" s="278"/>
      <c r="I34" s="278"/>
      <c r="J34" s="278"/>
      <c r="K34" s="278"/>
      <c r="L34" s="278"/>
      <c r="M34" s="278"/>
      <c r="N34" s="36"/>
      <c r="O34"/>
      <c r="P34"/>
      <c r="Z34" s="26"/>
      <c r="AA34" s="26"/>
      <c r="AB34" s="26"/>
      <c r="AC34" s="26"/>
      <c r="AD34" s="26"/>
      <c r="AE34" s="26"/>
      <c r="AF34" s="26"/>
      <c r="AG34" s="26"/>
    </row>
    <row r="35" spans="1:33" x14ac:dyDescent="0.35">
      <c r="A35" s="103" t="s">
        <v>702</v>
      </c>
      <c r="B35" s="278">
        <v>2578.4</v>
      </c>
      <c r="C35" s="278">
        <v>2037.7</v>
      </c>
      <c r="D35" s="278">
        <v>1197.7</v>
      </c>
      <c r="E35" s="278">
        <v>357.8</v>
      </c>
      <c r="F35" s="278">
        <v>399.9</v>
      </c>
      <c r="G35" s="278">
        <v>6077.9</v>
      </c>
      <c r="H35" s="278">
        <v>4562.3999999999996</v>
      </c>
      <c r="I35" s="278">
        <v>3212.1</v>
      </c>
      <c r="J35" s="278">
        <v>589.70000000000005</v>
      </c>
      <c r="K35" s="278">
        <v>114.1</v>
      </c>
      <c r="L35" s="278">
        <v>13.3</v>
      </c>
      <c r="M35" s="278">
        <v>13.5</v>
      </c>
      <c r="N35" s="36"/>
      <c r="O35"/>
      <c r="P35"/>
      <c r="Z35" s="26"/>
      <c r="AA35" s="26"/>
      <c r="AB35" s="26"/>
      <c r="AC35" s="26"/>
      <c r="AD35" s="26"/>
      <c r="AE35" s="26"/>
      <c r="AF35" s="26"/>
      <c r="AG35" s="26"/>
    </row>
    <row r="36" spans="1:33" x14ac:dyDescent="0.35">
      <c r="A36" s="103" t="s">
        <v>703</v>
      </c>
      <c r="B36" s="278">
        <f t="shared" ref="B36" si="11">B32-SUM(B33:B35)</f>
        <v>36760.399999999987</v>
      </c>
      <c r="C36" s="278">
        <f t="shared" ref="C36" si="12">C32-SUM(C33:C35)</f>
        <v>33689.69999999999</v>
      </c>
      <c r="D36" s="278">
        <f t="shared" ref="D36" si="13">D32-SUM(D33:D35)</f>
        <v>30376.699999999997</v>
      </c>
      <c r="E36" s="278">
        <f>E32-SUM(E33:E35)</f>
        <v>19622.099999999999</v>
      </c>
      <c r="F36" s="278">
        <f t="shared" ref="F36" si="14">F32-SUM(F33:F35)</f>
        <v>8263.2999999999956</v>
      </c>
      <c r="G36" s="278">
        <f t="shared" ref="G36" si="15">G32-SUM(G33:G35)</f>
        <v>3084.7999999999884</v>
      </c>
      <c r="H36" s="278">
        <f t="shared" ref="H36" si="16">H32-SUM(H33:H35)</f>
        <v>1036.7999999999884</v>
      </c>
      <c r="I36" s="278">
        <f t="shared" ref="I36" si="17">I32-SUM(I33:I35)</f>
        <v>2530.2999999999956</v>
      </c>
      <c r="J36" s="278">
        <f t="shared" ref="J36" si="18">J32-SUM(J33:J35)</f>
        <v>2484.8000000000065</v>
      </c>
      <c r="K36" s="278">
        <f t="shared" ref="K36" si="19">K32-SUM(K33:K35)</f>
        <v>634.00000000000728</v>
      </c>
      <c r="L36" s="278">
        <f t="shared" ref="L36" si="20">L32-SUM(L33:L35)</f>
        <v>528.10000000000218</v>
      </c>
      <c r="M36" s="278">
        <f t="shared" ref="M36" si="21">M32-SUM(M33:M35)</f>
        <v>512.40000000000146</v>
      </c>
      <c r="N36" s="36" t="s">
        <v>692</v>
      </c>
      <c r="O36" t="s">
        <v>467</v>
      </c>
      <c r="P36"/>
      <c r="Z36" s="26"/>
      <c r="AA36" s="26"/>
      <c r="AB36" s="26"/>
      <c r="AC36" s="26"/>
      <c r="AD36" s="26"/>
      <c r="AE36" s="26"/>
      <c r="AF36" s="26"/>
      <c r="AG36" s="26"/>
    </row>
    <row r="37" spans="1:33" x14ac:dyDescent="0.35">
      <c r="A37" s="21" t="s">
        <v>468</v>
      </c>
      <c r="B37" s="368">
        <f>B31+B36</f>
        <v>82138.600000000006</v>
      </c>
      <c r="C37" s="368">
        <f>C31+C36</f>
        <v>76523.699999999983</v>
      </c>
      <c r="D37" s="368">
        <f t="shared" ref="D37:M37" si="22">D31+D36</f>
        <v>77443.399999999994</v>
      </c>
      <c r="E37" s="368">
        <f t="shared" si="22"/>
        <v>78797</v>
      </c>
      <c r="F37" s="368">
        <f t="shared" si="22"/>
        <v>45758.899999999987</v>
      </c>
      <c r="G37" s="368">
        <f t="shared" si="22"/>
        <v>50430.499999999993</v>
      </c>
      <c r="H37" s="368">
        <f t="shared" si="22"/>
        <v>10596.599999999991</v>
      </c>
      <c r="I37" s="368">
        <f t="shared" si="22"/>
        <v>6901.1999999999971</v>
      </c>
      <c r="J37" s="368">
        <f t="shared" si="22"/>
        <v>6408.9000000000051</v>
      </c>
      <c r="K37" s="368">
        <f t="shared" si="22"/>
        <v>5313.3000000000029</v>
      </c>
      <c r="L37" s="368">
        <f t="shared" si="22"/>
        <v>5063.2000000000044</v>
      </c>
      <c r="M37" s="368">
        <f t="shared" si="22"/>
        <v>2505.5</v>
      </c>
      <c r="N37" s="36" t="s">
        <v>692</v>
      </c>
      <c r="O37"/>
      <c r="P37"/>
      <c r="Z37" s="26"/>
      <c r="AA37" s="26"/>
      <c r="AB37" s="26"/>
      <c r="AC37" s="26"/>
      <c r="AD37" s="26"/>
      <c r="AE37" s="26"/>
      <c r="AF37" s="26"/>
      <c r="AG37" s="26"/>
    </row>
    <row r="38" spans="1:33" ht="13.9" x14ac:dyDescent="0.4">
      <c r="A38" s="9" t="s">
        <v>29</v>
      </c>
      <c r="B38" s="277">
        <v>201270.3</v>
      </c>
      <c r="C38" s="277">
        <v>185357.3</v>
      </c>
      <c r="D38" s="277">
        <v>175408</v>
      </c>
      <c r="E38" s="277">
        <v>154011.5</v>
      </c>
      <c r="F38" s="277">
        <v>113096.4</v>
      </c>
      <c r="G38" s="277">
        <v>111800.4</v>
      </c>
      <c r="H38" s="277">
        <v>110547.4</v>
      </c>
      <c r="I38" s="277">
        <v>92309.2</v>
      </c>
      <c r="J38" s="277">
        <v>71910.600000000006</v>
      </c>
      <c r="K38" s="277">
        <v>61345.3</v>
      </c>
      <c r="L38" s="277">
        <v>52604.800000000003</v>
      </c>
      <c r="M38" s="277">
        <v>42569.4</v>
      </c>
      <c r="N38" s="36" t="s">
        <v>692</v>
      </c>
      <c r="O38" t="s">
        <v>29</v>
      </c>
      <c r="P38"/>
      <c r="Q38" s="21" t="s">
        <v>693</v>
      </c>
      <c r="R38" s="21" t="s">
        <v>704</v>
      </c>
      <c r="Z38" s="26">
        <v>15322</v>
      </c>
      <c r="AA38" s="26">
        <v>16090</v>
      </c>
      <c r="AB38" s="26">
        <f>16577</f>
        <v>16577</v>
      </c>
      <c r="AC38" s="26">
        <v>17075</v>
      </c>
      <c r="AD38" s="26">
        <v>16461</v>
      </c>
      <c r="AE38" s="26">
        <v>14395</v>
      </c>
      <c r="AF38" s="26">
        <v>12539</v>
      </c>
      <c r="AG38" s="26">
        <v>12386</v>
      </c>
    </row>
    <row r="39" spans="1:33" x14ac:dyDescent="0.35">
      <c r="B39" s="368"/>
      <c r="C39" s="368"/>
      <c r="D39" s="368"/>
      <c r="E39" s="368"/>
      <c r="F39" s="368"/>
      <c r="G39" s="368"/>
      <c r="H39" s="368"/>
      <c r="I39" s="368"/>
      <c r="J39" s="368"/>
      <c r="K39" s="368"/>
      <c r="L39" s="368"/>
      <c r="M39" s="368"/>
      <c r="N39" s="36" t="s">
        <v>692</v>
      </c>
      <c r="O39"/>
      <c r="P39"/>
      <c r="Z39" s="23">
        <f t="shared" ref="Z39:AG39" si="23">Z40-SUM(Z30:Z38)</f>
        <v>14512</v>
      </c>
      <c r="AA39" s="23">
        <f t="shared" si="23"/>
        <v>15585</v>
      </c>
      <c r="AB39" s="23">
        <f t="shared" si="23"/>
        <v>15786</v>
      </c>
      <c r="AC39" s="23">
        <f t="shared" si="23"/>
        <v>15616</v>
      </c>
      <c r="AD39" s="23">
        <f t="shared" si="23"/>
        <v>17947</v>
      </c>
      <c r="AE39" s="23">
        <f t="shared" si="23"/>
        <v>18419</v>
      </c>
      <c r="AF39" s="23">
        <f t="shared" si="23"/>
        <v>9453</v>
      </c>
      <c r="AG39" s="23">
        <f t="shared" si="23"/>
        <v>9263</v>
      </c>
    </row>
    <row r="40" spans="1:33" ht="13.9" x14ac:dyDescent="0.4">
      <c r="B40" s="368"/>
      <c r="C40" s="368"/>
      <c r="D40" s="368"/>
      <c r="E40" s="368"/>
      <c r="F40" s="368"/>
      <c r="G40" s="368"/>
      <c r="H40" s="368"/>
      <c r="I40" s="368"/>
      <c r="J40" s="368"/>
      <c r="K40" s="368"/>
      <c r="L40" s="368"/>
      <c r="M40" s="368"/>
      <c r="N40" s="36" t="s">
        <v>692</v>
      </c>
      <c r="O40"/>
      <c r="P40"/>
      <c r="Q40" s="21" t="s">
        <v>693</v>
      </c>
      <c r="R40" s="21" t="s">
        <v>705</v>
      </c>
      <c r="Z40" s="37">
        <v>74704</v>
      </c>
      <c r="AA40" s="37">
        <v>78342</v>
      </c>
      <c r="AB40" s="37">
        <v>84681</v>
      </c>
      <c r="AC40" s="37">
        <v>84896</v>
      </c>
      <c r="AD40" s="37">
        <v>89356</v>
      </c>
      <c r="AE40" s="37">
        <v>81446</v>
      </c>
      <c r="AF40" s="37">
        <v>64020</v>
      </c>
      <c r="AG40" s="37">
        <v>60038</v>
      </c>
    </row>
    <row r="41" spans="1:33" ht="13.9" x14ac:dyDescent="0.4">
      <c r="A41" s="104" t="s">
        <v>706</v>
      </c>
      <c r="B41" s="277"/>
      <c r="C41" s="277"/>
      <c r="D41" s="277"/>
      <c r="E41" s="277"/>
      <c r="F41" s="277"/>
      <c r="G41" s="277"/>
      <c r="H41" s="277"/>
      <c r="I41" s="277"/>
      <c r="J41" s="277"/>
      <c r="K41" s="277"/>
      <c r="L41" s="277"/>
      <c r="M41" s="277"/>
      <c r="N41" s="36" t="s">
        <v>692</v>
      </c>
      <c r="O41"/>
      <c r="P41"/>
      <c r="Z41" s="28"/>
      <c r="AA41" s="28"/>
      <c r="AB41" s="28"/>
      <c r="AC41" s="28"/>
      <c r="AD41" s="28"/>
      <c r="AE41" s="28"/>
      <c r="AF41" s="28"/>
      <c r="AG41" s="28"/>
    </row>
    <row r="42" spans="1:33" ht="13.9" x14ac:dyDescent="0.4">
      <c r="A42" s="9" t="s">
        <v>255</v>
      </c>
      <c r="B42" s="277">
        <v>110835.1</v>
      </c>
      <c r="C42" s="277">
        <v>95802</v>
      </c>
      <c r="D42" s="277">
        <v>95597</v>
      </c>
      <c r="E42" s="277">
        <v>81165.7</v>
      </c>
      <c r="F42" s="277">
        <v>54599.8</v>
      </c>
      <c r="G42" s="277">
        <v>54379.4</v>
      </c>
      <c r="H42" s="277">
        <v>58881.2</v>
      </c>
      <c r="I42" s="277">
        <v>43252.2</v>
      </c>
      <c r="J42" s="277">
        <v>31786.400000000001</v>
      </c>
      <c r="K42" s="277">
        <v>26144.7</v>
      </c>
      <c r="L42" s="277">
        <v>22839.5</v>
      </c>
      <c r="M42" s="277">
        <v>19319.2</v>
      </c>
      <c r="N42" s="36" t="s">
        <v>692</v>
      </c>
      <c r="O42" t="s">
        <v>255</v>
      </c>
      <c r="P42"/>
      <c r="Z42" s="28"/>
      <c r="AA42" s="28"/>
      <c r="AB42" s="28"/>
      <c r="AC42" s="28"/>
      <c r="AD42" s="28"/>
      <c r="AE42" s="28"/>
      <c r="AF42" s="28"/>
      <c r="AG42" s="28"/>
    </row>
    <row r="43" spans="1:33" ht="13.9" x14ac:dyDescent="0.4">
      <c r="A43" s="101" t="s">
        <v>707</v>
      </c>
      <c r="B43" s="278">
        <v>59494.400000000001</v>
      </c>
      <c r="C43" s="278">
        <v>44977.599999999999</v>
      </c>
      <c r="D43" s="278">
        <v>51646.2</v>
      </c>
      <c r="E43" s="278">
        <v>44975.9</v>
      </c>
      <c r="F43" s="278">
        <v>33175.300000000003</v>
      </c>
      <c r="G43" s="278">
        <v>33736.1</v>
      </c>
      <c r="H43" s="278">
        <v>36158.1</v>
      </c>
      <c r="I43" s="278">
        <v>25007.3</v>
      </c>
      <c r="J43" s="278">
        <v>15603.3</v>
      </c>
      <c r="K43" s="278">
        <v>14093.2</v>
      </c>
      <c r="L43" s="278">
        <v>10712.2</v>
      </c>
      <c r="M43" s="278">
        <v>8697.4</v>
      </c>
      <c r="N43" s="36"/>
      <c r="O43"/>
      <c r="P43"/>
      <c r="Z43" s="35"/>
      <c r="AA43" s="35"/>
      <c r="AB43" s="35"/>
      <c r="AC43" s="35"/>
      <c r="AD43" s="35"/>
      <c r="AE43" s="34"/>
      <c r="AF43" s="34"/>
      <c r="AG43" s="34"/>
    </row>
    <row r="44" spans="1:33" s="9" customFormat="1" ht="13.9" x14ac:dyDescent="0.4">
      <c r="A44" s="25" t="s">
        <v>470</v>
      </c>
      <c r="B44" s="278">
        <v>40515.4</v>
      </c>
      <c r="C44" s="278">
        <v>40888.300000000003</v>
      </c>
      <c r="D44" s="278">
        <v>35681.599999999999</v>
      </c>
      <c r="E44" s="278">
        <v>27473.9</v>
      </c>
      <c r="F44" s="278">
        <v>16395.5</v>
      </c>
      <c r="G44" s="278">
        <v>17005.2</v>
      </c>
      <c r="H44" s="278">
        <v>16967.2</v>
      </c>
      <c r="I44" s="278">
        <v>4415</v>
      </c>
      <c r="J44" s="278">
        <v>5863.8</v>
      </c>
      <c r="K44" s="278">
        <v>4213.8</v>
      </c>
      <c r="L44" s="278">
        <v>4791</v>
      </c>
      <c r="M44" s="278">
        <v>4393.3999999999996</v>
      </c>
      <c r="N44" s="36" t="s">
        <v>692</v>
      </c>
      <c r="O44" t="s">
        <v>708</v>
      </c>
      <c r="P44"/>
      <c r="Q44" s="21" t="s">
        <v>693</v>
      </c>
      <c r="R44" s="9" t="s">
        <v>709</v>
      </c>
      <c r="Z44" s="37">
        <v>26132</v>
      </c>
      <c r="AA44" s="37">
        <v>26242</v>
      </c>
      <c r="AB44" s="37">
        <v>27877</v>
      </c>
      <c r="AC44" s="37">
        <v>27297</v>
      </c>
      <c r="AD44" s="37">
        <v>29415</v>
      </c>
      <c r="AE44" s="37">
        <f>93+3895+8161+3386+2410+2691+298+1967+558+5102</f>
        <v>28561</v>
      </c>
      <c r="AF44" s="37">
        <f>204+3852+5856+2880+1670+1831+281+1521+495+3430</f>
        <v>22020</v>
      </c>
      <c r="AG44" s="37">
        <f>433+3650+2993+3351+797+1217+262+888+302+5399</f>
        <v>19292</v>
      </c>
    </row>
    <row r="45" spans="1:33" s="9" customFormat="1" ht="13.9" x14ac:dyDescent="0.4">
      <c r="A45" s="25" t="s">
        <v>471</v>
      </c>
      <c r="B45" s="278"/>
      <c r="C45" s="278"/>
      <c r="D45" s="278"/>
      <c r="E45" s="278"/>
      <c r="F45" s="278"/>
      <c r="G45" s="278"/>
      <c r="H45" s="278"/>
      <c r="I45" s="278"/>
      <c r="J45" s="278"/>
      <c r="K45" s="278"/>
      <c r="L45" s="278"/>
      <c r="M45" s="278"/>
      <c r="N45" s="36"/>
      <c r="O45"/>
      <c r="P45"/>
      <c r="Q45" s="21"/>
      <c r="Z45" s="37"/>
      <c r="AA45" s="37"/>
      <c r="AB45" s="37"/>
      <c r="AC45" s="37"/>
      <c r="AD45" s="37"/>
      <c r="AE45" s="37"/>
      <c r="AF45" s="37"/>
      <c r="AG45" s="37"/>
    </row>
    <row r="46" spans="1:33" x14ac:dyDescent="0.35">
      <c r="A46" s="101" t="s">
        <v>472</v>
      </c>
      <c r="B46" s="278">
        <v>10825.4</v>
      </c>
      <c r="C46" s="278">
        <f t="shared" ref="C46:M46" si="24">C42-SUM(C43:C45)</f>
        <v>9936.1000000000058</v>
      </c>
      <c r="D46" s="278">
        <f t="shared" si="24"/>
        <v>8269.2000000000116</v>
      </c>
      <c r="E46" s="278">
        <f t="shared" si="24"/>
        <v>8715.8999999999942</v>
      </c>
      <c r="F46" s="278">
        <f>F42-SUM(F43:F45)</f>
        <v>5029</v>
      </c>
      <c r="G46" s="278">
        <f t="shared" si="24"/>
        <v>3638.0999999999985</v>
      </c>
      <c r="H46" s="278">
        <f t="shared" si="24"/>
        <v>5755.8999999999942</v>
      </c>
      <c r="I46" s="278">
        <f t="shared" si="24"/>
        <v>13829.899999999998</v>
      </c>
      <c r="J46" s="278">
        <f t="shared" si="24"/>
        <v>10319.300000000003</v>
      </c>
      <c r="K46" s="278">
        <f t="shared" si="24"/>
        <v>7837.7000000000007</v>
      </c>
      <c r="L46" s="278">
        <f t="shared" si="24"/>
        <v>7336.2999999999993</v>
      </c>
      <c r="M46" s="278">
        <f t="shared" si="24"/>
        <v>6228.4000000000015</v>
      </c>
      <c r="N46" s="36" t="s">
        <v>692</v>
      </c>
      <c r="O46"/>
      <c r="P46"/>
      <c r="R46" s="21" t="s">
        <v>710</v>
      </c>
      <c r="Z46" s="30">
        <v>7303</v>
      </c>
      <c r="AA46" s="30">
        <v>6967</v>
      </c>
      <c r="AB46" s="30">
        <v>4708</v>
      </c>
      <c r="AC46" s="30">
        <v>3679</v>
      </c>
      <c r="AD46" s="30">
        <v>5287</v>
      </c>
      <c r="AE46" s="30">
        <v>5660</v>
      </c>
      <c r="AF46" s="30">
        <v>3925</v>
      </c>
      <c r="AG46" s="30">
        <v>5701</v>
      </c>
    </row>
    <row r="47" spans="1:33" ht="13.9" x14ac:dyDescent="0.4">
      <c r="A47" s="9" t="s">
        <v>473</v>
      </c>
      <c r="B47" s="277">
        <f t="shared" ref="B47:M47" si="25">B51-B42</f>
        <v>21926.399999999994</v>
      </c>
      <c r="C47" s="277">
        <f t="shared" si="25"/>
        <v>24339.399999999994</v>
      </c>
      <c r="D47" s="277">
        <f t="shared" si="25"/>
        <v>17682.5</v>
      </c>
      <c r="E47" s="277">
        <f t="shared" si="25"/>
        <v>15504</v>
      </c>
      <c r="F47" s="277">
        <f t="shared" si="25"/>
        <v>4097.3999999999942</v>
      </c>
      <c r="G47" s="277">
        <f t="shared" si="25"/>
        <v>4732.3999999999942</v>
      </c>
      <c r="H47" s="277">
        <f t="shared" si="25"/>
        <v>2407.9000000000015</v>
      </c>
      <c r="I47" s="277">
        <f t="shared" si="25"/>
        <v>1703.3000000000029</v>
      </c>
      <c r="J47" s="277">
        <f t="shared" si="25"/>
        <v>1737.2999999999956</v>
      </c>
      <c r="K47" s="277">
        <f t="shared" si="25"/>
        <v>1682.0999999999985</v>
      </c>
      <c r="L47" s="277">
        <f t="shared" si="25"/>
        <v>1757.2999999999993</v>
      </c>
      <c r="M47" s="277">
        <f t="shared" si="25"/>
        <v>1606.7999999999993</v>
      </c>
      <c r="N47" s="36" t="s">
        <v>692</v>
      </c>
      <c r="O47" t="s">
        <v>711</v>
      </c>
      <c r="P47"/>
      <c r="Z47" s="30"/>
      <c r="AA47" s="30"/>
      <c r="AB47" s="30"/>
      <c r="AC47" s="30"/>
      <c r="AD47" s="30"/>
      <c r="AE47" s="30"/>
      <c r="AF47" s="30"/>
      <c r="AG47" s="30"/>
    </row>
    <row r="48" spans="1:33" x14ac:dyDescent="0.35">
      <c r="A48" s="25" t="s">
        <v>474</v>
      </c>
      <c r="B48" s="278">
        <v>16749.099999999999</v>
      </c>
      <c r="C48" s="278">
        <v>18916.900000000001</v>
      </c>
      <c r="D48" s="278">
        <v>12132.4</v>
      </c>
      <c r="E48" s="278">
        <v>10777.2</v>
      </c>
      <c r="F48" s="278">
        <v>1205.7</v>
      </c>
      <c r="G48" s="278">
        <v>2157.8000000000002</v>
      </c>
      <c r="H48" s="278">
        <v>423.8</v>
      </c>
      <c r="I48" s="278">
        <v>49.8</v>
      </c>
      <c r="J48" s="278">
        <v>50</v>
      </c>
      <c r="K48" s="278">
        <v>0</v>
      </c>
      <c r="L48" s="278">
        <v>0</v>
      </c>
      <c r="M48" s="278">
        <v>0</v>
      </c>
      <c r="N48" s="36" t="s">
        <v>692</v>
      </c>
      <c r="O48" t="s">
        <v>712</v>
      </c>
      <c r="P48"/>
      <c r="Z48" s="23">
        <f t="shared" ref="Z48:AG48" si="26">Z44-Z46</f>
        <v>18829</v>
      </c>
      <c r="AA48" s="23">
        <f t="shared" si="26"/>
        <v>19275</v>
      </c>
      <c r="AB48" s="23">
        <f t="shared" si="26"/>
        <v>23169</v>
      </c>
      <c r="AC48" s="23">
        <f t="shared" si="26"/>
        <v>23618</v>
      </c>
      <c r="AD48" s="23">
        <f t="shared" si="26"/>
        <v>24128</v>
      </c>
      <c r="AE48" s="23">
        <f t="shared" si="26"/>
        <v>22901</v>
      </c>
      <c r="AF48" s="23">
        <f t="shared" si="26"/>
        <v>18095</v>
      </c>
      <c r="AG48" s="23">
        <f t="shared" si="26"/>
        <v>13591</v>
      </c>
    </row>
    <row r="49" spans="1:33" s="9" customFormat="1" ht="13.9" x14ac:dyDescent="0.4">
      <c r="A49" s="25" t="s">
        <v>475</v>
      </c>
      <c r="B49" s="278">
        <v>661.6</v>
      </c>
      <c r="C49" s="278">
        <v>978.7</v>
      </c>
      <c r="D49" s="278">
        <v>475.9</v>
      </c>
      <c r="E49" s="278">
        <v>495.3</v>
      </c>
      <c r="F49" s="278">
        <v>59.2</v>
      </c>
      <c r="G49" s="278">
        <v>0</v>
      </c>
      <c r="H49" s="278">
        <v>0</v>
      </c>
      <c r="I49" s="278">
        <v>0</v>
      </c>
      <c r="J49" s="278">
        <v>0</v>
      </c>
      <c r="K49" s="278">
        <v>0</v>
      </c>
      <c r="L49" s="278">
        <v>0</v>
      </c>
      <c r="M49" s="278">
        <v>0</v>
      </c>
      <c r="N49" s="36"/>
      <c r="O49"/>
      <c r="P49"/>
      <c r="Q49" s="21" t="s">
        <v>693</v>
      </c>
      <c r="R49" s="9" t="s">
        <v>713</v>
      </c>
      <c r="Z49" s="37">
        <f>61491-Z44</f>
        <v>35359</v>
      </c>
      <c r="AA49" s="37">
        <f>63457-AA44</f>
        <v>37215</v>
      </c>
      <c r="AB49" s="37">
        <f>67855-AB44</f>
        <v>39978</v>
      </c>
      <c r="AC49" s="37">
        <v>36721</v>
      </c>
      <c r="AD49" s="37">
        <v>41973</v>
      </c>
      <c r="AE49" s="37">
        <f>8415+16529+10956+3583</f>
        <v>39483</v>
      </c>
      <c r="AF49" s="37">
        <f>4505+15932+7584+2654</f>
        <v>30675</v>
      </c>
      <c r="AG49" s="37">
        <f>5652+16195+7420+2179</f>
        <v>31446</v>
      </c>
    </row>
    <row r="50" spans="1:33" x14ac:dyDescent="0.35">
      <c r="A50" s="101" t="s">
        <v>476</v>
      </c>
      <c r="B50" s="278">
        <f t="shared" ref="B50" si="27">B47-SUM(B48:B49)</f>
        <v>4515.6999999999971</v>
      </c>
      <c r="C50" s="278">
        <f t="shared" ref="C50:M50" si="28">C47-SUM(C48:C49)</f>
        <v>4443.799999999992</v>
      </c>
      <c r="D50" s="278">
        <f t="shared" si="28"/>
        <v>5074.2000000000007</v>
      </c>
      <c r="E50" s="278">
        <f t="shared" si="28"/>
        <v>4231.5</v>
      </c>
      <c r="F50" s="278">
        <f t="shared" si="28"/>
        <v>2832.4999999999941</v>
      </c>
      <c r="G50" s="278">
        <f t="shared" si="28"/>
        <v>2574.599999999994</v>
      </c>
      <c r="H50" s="278">
        <f t="shared" si="28"/>
        <v>1984.1000000000015</v>
      </c>
      <c r="I50" s="278">
        <f t="shared" si="28"/>
        <v>1653.500000000003</v>
      </c>
      <c r="J50" s="278">
        <f t="shared" si="28"/>
        <v>1687.2999999999956</v>
      </c>
      <c r="K50" s="278">
        <f>K47-SUM(K48:K49)</f>
        <v>1682.0999999999985</v>
      </c>
      <c r="L50" s="278">
        <f t="shared" si="28"/>
        <v>1757.2999999999993</v>
      </c>
      <c r="M50" s="278">
        <f t="shared" si="28"/>
        <v>1606.7999999999993</v>
      </c>
      <c r="N50" s="36" t="s">
        <v>692</v>
      </c>
      <c r="O50" t="s">
        <v>714</v>
      </c>
      <c r="P50"/>
      <c r="R50" s="21" t="s">
        <v>715</v>
      </c>
      <c r="Z50" s="26">
        <v>22818</v>
      </c>
      <c r="AA50" s="26">
        <v>25169</v>
      </c>
      <c r="AB50" s="26">
        <v>27784</v>
      </c>
      <c r="AC50" s="26">
        <v>26719</v>
      </c>
      <c r="AD50" s="26">
        <v>27752</v>
      </c>
      <c r="AE50" s="26">
        <v>24944</v>
      </c>
      <c r="AF50" s="26">
        <v>20437</v>
      </c>
      <c r="AG50" s="26">
        <v>21847</v>
      </c>
    </row>
    <row r="51" spans="1:33" ht="13.9" x14ac:dyDescent="0.4">
      <c r="A51" s="9" t="s">
        <v>35</v>
      </c>
      <c r="B51" s="277">
        <v>132761.5</v>
      </c>
      <c r="C51" s="277">
        <v>120141.4</v>
      </c>
      <c r="D51" s="277">
        <v>113279.5</v>
      </c>
      <c r="E51" s="277">
        <v>96669.7</v>
      </c>
      <c r="F51" s="277">
        <v>58697.2</v>
      </c>
      <c r="G51" s="277">
        <v>59111.799999999996</v>
      </c>
      <c r="H51" s="277">
        <v>61289.1</v>
      </c>
      <c r="I51" s="277">
        <v>44955.5</v>
      </c>
      <c r="J51" s="277">
        <v>33523.699999999997</v>
      </c>
      <c r="K51" s="277">
        <v>27826.799999999999</v>
      </c>
      <c r="L51" s="277">
        <v>24596.799999999999</v>
      </c>
      <c r="M51" s="277">
        <v>20926</v>
      </c>
      <c r="N51" s="36" t="s">
        <v>692</v>
      </c>
      <c r="O51" t="s">
        <v>35</v>
      </c>
      <c r="P51"/>
      <c r="Z51" s="26"/>
      <c r="AA51" s="26"/>
      <c r="AB51" s="26"/>
      <c r="AC51" s="26"/>
      <c r="AD51" s="26"/>
      <c r="AE51" s="26"/>
      <c r="AF51" s="26"/>
      <c r="AG51" s="26"/>
    </row>
    <row r="52" spans="1:33" x14ac:dyDescent="0.35">
      <c r="B52" s="368"/>
      <c r="C52" s="368"/>
      <c r="D52" s="368"/>
      <c r="E52" s="368"/>
      <c r="F52" s="368"/>
      <c r="G52" s="368"/>
      <c r="H52" s="368"/>
      <c r="I52" s="368"/>
      <c r="J52" s="368"/>
      <c r="K52" s="368"/>
      <c r="L52" s="368"/>
      <c r="M52" s="368"/>
      <c r="N52" s="36" t="s">
        <v>692</v>
      </c>
      <c r="O52"/>
      <c r="P52"/>
      <c r="Z52" s="23">
        <f t="shared" ref="Z52:AG52" si="29">Z49-Z50</f>
        <v>12541</v>
      </c>
      <c r="AA52" s="23">
        <f t="shared" si="29"/>
        <v>12046</v>
      </c>
      <c r="AB52" s="23">
        <f t="shared" si="29"/>
        <v>12194</v>
      </c>
      <c r="AC52" s="23">
        <f t="shared" si="29"/>
        <v>10002</v>
      </c>
      <c r="AD52" s="23">
        <f t="shared" si="29"/>
        <v>14221</v>
      </c>
      <c r="AE52" s="23">
        <f t="shared" si="29"/>
        <v>14539</v>
      </c>
      <c r="AF52" s="23">
        <f t="shared" si="29"/>
        <v>10238</v>
      </c>
      <c r="AG52" s="23">
        <f t="shared" si="29"/>
        <v>9599</v>
      </c>
    </row>
    <row r="53" spans="1:33" s="9" customFormat="1" ht="13.9" x14ac:dyDescent="0.4">
      <c r="A53" s="21"/>
      <c r="B53" s="368"/>
      <c r="C53" s="368"/>
      <c r="D53" s="368"/>
      <c r="E53" s="368"/>
      <c r="F53" s="368"/>
      <c r="G53" s="368"/>
      <c r="H53" s="368"/>
      <c r="I53" s="368"/>
      <c r="J53" s="368"/>
      <c r="K53" s="368"/>
      <c r="L53" s="368"/>
      <c r="M53" s="368"/>
      <c r="N53" s="36" t="s">
        <v>692</v>
      </c>
      <c r="O53"/>
      <c r="P53"/>
      <c r="Z53" s="34">
        <f>+Z49+Z44</f>
        <v>61491</v>
      </c>
      <c r="AA53" s="34">
        <f>+AA49+AA44</f>
        <v>63457</v>
      </c>
      <c r="AB53" s="34">
        <f>+AB49+AB44</f>
        <v>67855</v>
      </c>
      <c r="AC53" s="34">
        <f>AC44+AC49</f>
        <v>64018</v>
      </c>
      <c r="AD53" s="34">
        <f>AD49+AD44</f>
        <v>71388</v>
      </c>
      <c r="AE53" s="34">
        <f>AE49+AE44</f>
        <v>68044</v>
      </c>
      <c r="AF53" s="34">
        <f>AF49+AF44</f>
        <v>52695</v>
      </c>
      <c r="AG53" s="34">
        <f>AG49+AG44</f>
        <v>50738</v>
      </c>
    </row>
    <row r="54" spans="1:33" ht="13.9" x14ac:dyDescent="0.4">
      <c r="A54" s="38" t="s">
        <v>478</v>
      </c>
      <c r="B54" s="372">
        <v>8.1999999999999993</v>
      </c>
      <c r="C54" s="372">
        <v>14.7</v>
      </c>
      <c r="D54" s="372">
        <v>4.0999999999999996</v>
      </c>
      <c r="E54" s="372">
        <v>0</v>
      </c>
      <c r="F54" s="372">
        <v>0</v>
      </c>
      <c r="G54" s="372">
        <v>163.80000000000001</v>
      </c>
      <c r="H54" s="372">
        <v>123.4</v>
      </c>
      <c r="I54" s="372">
        <v>58.8</v>
      </c>
      <c r="J54" s="372">
        <v>56</v>
      </c>
      <c r="K54" s="372">
        <v>66.599999999999994</v>
      </c>
      <c r="L54" s="372">
        <v>12.1</v>
      </c>
      <c r="M54" s="372">
        <v>129.1</v>
      </c>
      <c r="N54" s="36" t="s">
        <v>692</v>
      </c>
      <c r="O54" t="s">
        <v>478</v>
      </c>
      <c r="P54"/>
    </row>
    <row r="55" spans="1:33" x14ac:dyDescent="0.35">
      <c r="B55" s="368"/>
      <c r="C55" s="368"/>
      <c r="D55" s="368"/>
      <c r="E55" s="368"/>
      <c r="F55" s="368"/>
      <c r="G55" s="368"/>
      <c r="H55" s="368"/>
      <c r="I55" s="368"/>
      <c r="J55" s="368"/>
      <c r="K55" s="368"/>
      <c r="L55" s="368"/>
      <c r="M55" s="368"/>
      <c r="N55" s="36" t="s">
        <v>692</v>
      </c>
      <c r="O55"/>
      <c r="P55"/>
    </row>
    <row r="56" spans="1:33" s="9" customFormat="1" ht="13.9" x14ac:dyDescent="0.4">
      <c r="A56" s="9" t="s">
        <v>479</v>
      </c>
      <c r="B56" s="277">
        <f t="shared" ref="B56" si="30">B38-B51-B54</f>
        <v>68500.599999999991</v>
      </c>
      <c r="C56" s="277">
        <f t="shared" ref="C56:M56" si="31">C38-C51-C54</f>
        <v>65201.2</v>
      </c>
      <c r="D56" s="277">
        <f t="shared" si="31"/>
        <v>62124.4</v>
      </c>
      <c r="E56" s="277">
        <f>E38-E51-E54</f>
        <v>57341.8</v>
      </c>
      <c r="F56" s="277">
        <f t="shared" si="31"/>
        <v>54399.199999999997</v>
      </c>
      <c r="G56" s="277">
        <f t="shared" si="31"/>
        <v>52524.799999999996</v>
      </c>
      <c r="H56" s="277">
        <f t="shared" si="31"/>
        <v>49134.899999999994</v>
      </c>
      <c r="I56" s="277">
        <f t="shared" si="31"/>
        <v>47294.899999999994</v>
      </c>
      <c r="J56" s="277">
        <f>J38-J51-J54</f>
        <v>38330.900000000009</v>
      </c>
      <c r="K56" s="277">
        <f>K38-K51-K54</f>
        <v>33451.9</v>
      </c>
      <c r="L56" s="277">
        <f t="shared" si="31"/>
        <v>27995.900000000005</v>
      </c>
      <c r="M56" s="277">
        <f t="shared" si="31"/>
        <v>21514.300000000003</v>
      </c>
      <c r="N56" s="36" t="s">
        <v>692</v>
      </c>
      <c r="O56"/>
      <c r="P56"/>
      <c r="Q56" s="21" t="s">
        <v>693</v>
      </c>
      <c r="R56" s="9" t="s">
        <v>716</v>
      </c>
    </row>
    <row r="57" spans="1:33" ht="13.9" x14ac:dyDescent="0.4">
      <c r="A57" s="9"/>
      <c r="B57" s="277"/>
      <c r="C57" s="277"/>
      <c r="D57" s="277"/>
      <c r="E57" s="277"/>
      <c r="F57" s="277"/>
      <c r="G57" s="277"/>
      <c r="H57" s="277"/>
      <c r="I57" s="277"/>
      <c r="J57" s="277"/>
      <c r="K57" s="277"/>
      <c r="L57" s="277"/>
      <c r="M57" s="277"/>
      <c r="N57" s="36"/>
      <c r="O57"/>
      <c r="P57"/>
    </row>
    <row r="58" spans="1:33" ht="13.9" x14ac:dyDescent="0.4">
      <c r="A58" s="49" t="s">
        <v>717</v>
      </c>
      <c r="B58" s="277"/>
      <c r="C58" s="277"/>
      <c r="D58" s="277"/>
      <c r="E58" s="277"/>
      <c r="F58" s="277"/>
      <c r="G58" s="277"/>
      <c r="H58" s="277"/>
      <c r="I58" s="277"/>
      <c r="J58" s="277"/>
      <c r="K58" s="277"/>
      <c r="L58" s="277"/>
      <c r="M58" s="277"/>
      <c r="N58" s="36"/>
      <c r="O58"/>
      <c r="P58"/>
    </row>
    <row r="59" spans="1:33" ht="13.9" x14ac:dyDescent="0.4">
      <c r="A59" s="9" t="s">
        <v>104</v>
      </c>
      <c r="B59" s="277">
        <v>16025.5</v>
      </c>
      <c r="C59" s="277">
        <v>12206</v>
      </c>
      <c r="D59" s="277">
        <v>35327.699999999997</v>
      </c>
      <c r="E59" s="277">
        <v>5602.4</v>
      </c>
      <c r="F59" s="277">
        <v>13893.4</v>
      </c>
      <c r="G59" s="277">
        <v>19413</v>
      </c>
      <c r="H59" s="277">
        <v>-1090.7</v>
      </c>
      <c r="I59" s="277">
        <v>7134.5</v>
      </c>
      <c r="J59" s="277">
        <v>10138.700000000001</v>
      </c>
      <c r="K59" s="277">
        <v>6097.5</v>
      </c>
      <c r="L59" s="277">
        <v>9087.7000000000007</v>
      </c>
      <c r="M59" s="277">
        <v>4412.7</v>
      </c>
      <c r="N59" s="36"/>
      <c r="O59"/>
      <c r="P59"/>
    </row>
    <row r="60" spans="1:33" x14ac:dyDescent="0.35">
      <c r="A60" s="25" t="s">
        <v>52</v>
      </c>
      <c r="B60" s="278">
        <f t="shared" ref="B60:M60" si="32">B12</f>
        <v>7021.6</v>
      </c>
      <c r="C60" s="278">
        <f t="shared" si="32"/>
        <v>8266</v>
      </c>
      <c r="D60" s="278">
        <f t="shared" si="32"/>
        <v>6726.1</v>
      </c>
      <c r="E60" s="278">
        <f t="shared" si="32"/>
        <v>5362.5</v>
      </c>
      <c r="F60" s="278">
        <f t="shared" si="32"/>
        <v>4496.8999999999996</v>
      </c>
      <c r="G60" s="278">
        <f t="shared" si="32"/>
        <v>5207.3</v>
      </c>
      <c r="H60" s="278">
        <f t="shared" si="32"/>
        <v>5027</v>
      </c>
      <c r="I60" s="278">
        <f t="shared" si="32"/>
        <v>10551.2</v>
      </c>
      <c r="J60" s="278">
        <f t="shared" si="32"/>
        <v>8059.3</v>
      </c>
      <c r="K60" s="278">
        <f t="shared" si="32"/>
        <v>8041.5</v>
      </c>
      <c r="L60" s="278">
        <f t="shared" si="32"/>
        <v>8223.6</v>
      </c>
      <c r="M60" s="278">
        <f t="shared" si="32"/>
        <v>5692.4</v>
      </c>
      <c r="N60" s="36"/>
      <c r="O60"/>
      <c r="P60"/>
    </row>
    <row r="61" spans="1:33" x14ac:dyDescent="0.35">
      <c r="A61" s="101" t="s">
        <v>44</v>
      </c>
      <c r="B61" s="278">
        <v>7673</v>
      </c>
      <c r="C61" s="278">
        <v>6520.1</v>
      </c>
      <c r="D61" s="278">
        <v>5509.1</v>
      </c>
      <c r="E61" s="278">
        <v>4759.3999999999996</v>
      </c>
      <c r="F61" s="278">
        <v>4576.5</v>
      </c>
      <c r="G61" s="278">
        <v>3804.7</v>
      </c>
      <c r="H61" s="278">
        <v>3188.5</v>
      </c>
      <c r="I61" s="278">
        <v>2551.9</v>
      </c>
      <c r="J61" s="278">
        <v>1980.9</v>
      </c>
      <c r="K61" s="278">
        <v>1683.8</v>
      </c>
      <c r="L61" s="278">
        <v>1164.5</v>
      </c>
      <c r="M61" s="278">
        <v>949.2</v>
      </c>
      <c r="N61" s="36"/>
      <c r="O61"/>
      <c r="P61"/>
    </row>
    <row r="62" spans="1:33" x14ac:dyDescent="0.35">
      <c r="A62" s="101" t="s">
        <v>718</v>
      </c>
      <c r="B62" s="278">
        <v>3520.6</v>
      </c>
      <c r="C62" s="278">
        <v>-1909.1</v>
      </c>
      <c r="D62" s="278">
        <v>24153.599999999999</v>
      </c>
      <c r="E62" s="278">
        <v>-4137.8</v>
      </c>
      <c r="F62" s="278">
        <v>4541.3</v>
      </c>
      <c r="G62" s="278">
        <v>9624.7000000000007</v>
      </c>
      <c r="H62" s="278">
        <v>-9618.2999999999993</v>
      </c>
      <c r="I62" s="278">
        <v>-4342.2</v>
      </c>
      <c r="J62" s="278">
        <v>145.19999999999999</v>
      </c>
      <c r="K62" s="278">
        <v>-3528.6</v>
      </c>
      <c r="L62" s="278">
        <v>-291</v>
      </c>
      <c r="M62" s="278">
        <v>-2222.1999999999998</v>
      </c>
      <c r="N62" s="36"/>
      <c r="O62"/>
      <c r="P62"/>
    </row>
    <row r="63" spans="1:33" x14ac:dyDescent="0.35">
      <c r="A63" s="101" t="s">
        <v>719</v>
      </c>
      <c r="B63" s="278">
        <f t="shared" ref="B63" si="33">B59-B60-B61-B62</f>
        <v>-2189.7000000000003</v>
      </c>
      <c r="C63" s="278">
        <f t="shared" ref="C63" si="34">C59-C60-C61-C62</f>
        <v>-671.00000000000045</v>
      </c>
      <c r="D63" s="278">
        <f>D59-D60-D61-D62</f>
        <v>-1061.0999999999985</v>
      </c>
      <c r="E63" s="278">
        <f t="shared" ref="E63:M63" si="35">E59-E60-E61-E62</f>
        <v>-381.69999999999982</v>
      </c>
      <c r="F63" s="278">
        <f t="shared" si="35"/>
        <v>278.69999999999982</v>
      </c>
      <c r="G63" s="278">
        <f t="shared" si="35"/>
        <v>776.29999999999927</v>
      </c>
      <c r="H63" s="278">
        <f t="shared" si="35"/>
        <v>312.09999999999854</v>
      </c>
      <c r="I63" s="278">
        <f t="shared" si="35"/>
        <v>-1626.4000000000005</v>
      </c>
      <c r="J63" s="278">
        <f t="shared" si="35"/>
        <v>-46.699999999999534</v>
      </c>
      <c r="K63" s="278">
        <f t="shared" si="35"/>
        <v>-99.200000000000273</v>
      </c>
      <c r="L63" s="278">
        <f t="shared" si="35"/>
        <v>-9.3999999999996362</v>
      </c>
      <c r="M63" s="278">
        <f t="shared" si="35"/>
        <v>-6.6999999999998181</v>
      </c>
      <c r="N63" s="36"/>
      <c r="O63"/>
      <c r="P63"/>
    </row>
    <row r="64" spans="1:33" ht="13.9" x14ac:dyDescent="0.4">
      <c r="A64" s="9" t="s">
        <v>105</v>
      </c>
      <c r="B64" s="277">
        <v>-11619.4</v>
      </c>
      <c r="C64" s="277">
        <v>-10983.9</v>
      </c>
      <c r="D64" s="277">
        <v>-11726.6</v>
      </c>
      <c r="E64" s="277">
        <v>-12254</v>
      </c>
      <c r="F64" s="277">
        <v>-15905.9</v>
      </c>
      <c r="G64" s="277">
        <v>-10246.1</v>
      </c>
      <c r="H64" s="277">
        <f>3192.5</f>
        <v>3192.5</v>
      </c>
      <c r="I64" s="277">
        <v>-8404.2999999999993</v>
      </c>
      <c r="J64" s="277">
        <v>-6626</v>
      </c>
      <c r="K64" s="277">
        <v>-7222.8</v>
      </c>
      <c r="L64" s="277">
        <v>-6739.5</v>
      </c>
      <c r="M64" s="277">
        <v>-3956.7</v>
      </c>
      <c r="N64" s="36"/>
      <c r="O64"/>
      <c r="P64"/>
    </row>
    <row r="65" spans="1:16" x14ac:dyDescent="0.35">
      <c r="A65" s="101" t="s">
        <v>106</v>
      </c>
      <c r="B65" s="278">
        <v>-16229.1</v>
      </c>
      <c r="C65" s="278">
        <v>-15859.3</v>
      </c>
      <c r="D65" s="278">
        <v>-12473</v>
      </c>
      <c r="E65" s="278">
        <v>-7779.9</v>
      </c>
      <c r="F65" s="278">
        <v>-6785.1</v>
      </c>
      <c r="G65" s="278">
        <v>-6246.7</v>
      </c>
      <c r="H65" s="278">
        <v>-5757.3</v>
      </c>
      <c r="I65" s="278">
        <v>-6678.6</v>
      </c>
      <c r="J65" s="278">
        <v>-5838.4</v>
      </c>
      <c r="K65" s="278">
        <v>-7222.9</v>
      </c>
      <c r="L65" s="278">
        <v>-7057.5</v>
      </c>
      <c r="M65" s="278">
        <v>-4265.5</v>
      </c>
      <c r="N65" s="36"/>
      <c r="O65"/>
      <c r="P65"/>
    </row>
    <row r="66" spans="1:16" x14ac:dyDescent="0.35">
      <c r="A66" s="101" t="s">
        <v>107</v>
      </c>
      <c r="B66" s="278"/>
      <c r="C66" s="278"/>
      <c r="D66" s="278"/>
      <c r="E66" s="278"/>
      <c r="F66" s="278">
        <v>-4818.3</v>
      </c>
      <c r="G66" s="278">
        <v>69.099999999999994</v>
      </c>
      <c r="H66" s="278"/>
      <c r="I66" s="278">
        <v>-12.1</v>
      </c>
      <c r="J66" s="278"/>
      <c r="K66" s="278"/>
      <c r="L66" s="278"/>
      <c r="M66" s="278"/>
      <c r="N66" s="36"/>
      <c r="O66"/>
      <c r="P66"/>
    </row>
    <row r="67" spans="1:16" x14ac:dyDescent="0.35">
      <c r="A67" s="101" t="s">
        <v>720</v>
      </c>
      <c r="B67" s="278">
        <f>B64-B65-B66</f>
        <v>4609.7000000000007</v>
      </c>
      <c r="C67" s="278">
        <f>C64-C65-C66</f>
        <v>4875.3999999999996</v>
      </c>
      <c r="D67" s="278">
        <f>D64-D65-D66</f>
        <v>746.39999999999964</v>
      </c>
      <c r="E67" s="278">
        <f t="shared" ref="E67" si="36">E64-E65-E66</f>
        <v>-4474.1000000000004</v>
      </c>
      <c r="F67" s="278">
        <f t="shared" ref="F67:M67" si="37">F64-F65-F66</f>
        <v>-4302.4999999999991</v>
      </c>
      <c r="G67" s="278">
        <f t="shared" si="37"/>
        <v>-4068.5000000000005</v>
      </c>
      <c r="H67" s="278">
        <f t="shared" si="37"/>
        <v>8949.7999999999993</v>
      </c>
      <c r="I67" s="278">
        <f t="shared" si="37"/>
        <v>-1713.599999999999</v>
      </c>
      <c r="J67" s="278">
        <f t="shared" si="37"/>
        <v>-787.60000000000036</v>
      </c>
      <c r="K67" s="278">
        <f t="shared" si="37"/>
        <v>9.9999999999454303E-2</v>
      </c>
      <c r="L67" s="278">
        <f t="shared" si="37"/>
        <v>318</v>
      </c>
      <c r="M67" s="278">
        <f t="shared" si="37"/>
        <v>308.80000000000018</v>
      </c>
      <c r="N67" s="36"/>
      <c r="O67"/>
      <c r="P67"/>
    </row>
    <row r="68" spans="1:16" ht="13.9" x14ac:dyDescent="0.4">
      <c r="A68" s="9" t="s">
        <v>108</v>
      </c>
      <c r="B68" s="277">
        <v>3949</v>
      </c>
      <c r="C68" s="277">
        <v>-2548.6999999999998</v>
      </c>
      <c r="D68" s="277">
        <v>-9092.2000000000007</v>
      </c>
      <c r="E68" s="277">
        <v>11612.1</v>
      </c>
      <c r="F68" s="277">
        <v>4127.1000000000004</v>
      </c>
      <c r="G68" s="277">
        <v>-6010.3</v>
      </c>
      <c r="H68" s="277">
        <v>6240.2</v>
      </c>
      <c r="I68" s="277">
        <v>621.4</v>
      </c>
      <c r="J68" s="277">
        <v>-4107.8999999999996</v>
      </c>
      <c r="K68" s="277">
        <v>-1298</v>
      </c>
      <c r="L68" s="277">
        <v>-2410.1999999999998</v>
      </c>
      <c r="M68" s="277">
        <v>-1159</v>
      </c>
      <c r="N68" s="36"/>
      <c r="O68"/>
      <c r="P68"/>
    </row>
    <row r="69" spans="1:16" x14ac:dyDescent="0.35">
      <c r="A69" s="101" t="s">
        <v>721</v>
      </c>
      <c r="B69" s="278">
        <v>526.20000000000005</v>
      </c>
      <c r="C69" s="278">
        <v>8925.2000000000007</v>
      </c>
      <c r="D69" s="278">
        <v>-92.2</v>
      </c>
      <c r="E69" s="278">
        <v>13816.7</v>
      </c>
      <c r="F69" s="278">
        <v>6685.9</v>
      </c>
      <c r="G69" s="278">
        <v>-4378.5</v>
      </c>
      <c r="H69" s="278">
        <v>10111.700000000001</v>
      </c>
      <c r="I69" s="278">
        <v>-300.2</v>
      </c>
      <c r="J69" s="278">
        <v>-30.6</v>
      </c>
      <c r="K69" s="278">
        <v>-13.5</v>
      </c>
      <c r="L69" s="278">
        <v>182.2</v>
      </c>
      <c r="M69" s="278">
        <v>1</v>
      </c>
      <c r="N69" s="36"/>
      <c r="O69"/>
      <c r="P69"/>
    </row>
    <row r="70" spans="1:16" x14ac:dyDescent="0.35">
      <c r="A70" s="101" t="s">
        <v>722</v>
      </c>
      <c r="B70" s="278"/>
      <c r="C70" s="278"/>
      <c r="D70" s="278"/>
      <c r="E70" s="278"/>
      <c r="F70" s="278"/>
      <c r="G70" s="278"/>
      <c r="H70" s="278"/>
      <c r="I70" s="278"/>
      <c r="J70" s="278"/>
      <c r="K70" s="278"/>
      <c r="L70" s="278"/>
      <c r="M70" s="278"/>
      <c r="N70" s="36"/>
      <c r="O70"/>
      <c r="P70"/>
    </row>
    <row r="71" spans="1:16" x14ac:dyDescent="0.35">
      <c r="A71" s="101" t="s">
        <v>723</v>
      </c>
      <c r="B71" s="278"/>
      <c r="C71" s="278"/>
      <c r="D71" s="278"/>
      <c r="E71" s="278"/>
      <c r="F71" s="278"/>
      <c r="G71" s="278"/>
      <c r="H71" s="278"/>
      <c r="I71" s="278"/>
      <c r="J71" s="278"/>
      <c r="K71" s="278"/>
      <c r="L71" s="278"/>
      <c r="M71" s="278"/>
      <c r="N71" s="36"/>
      <c r="O71"/>
      <c r="P71"/>
    </row>
    <row r="72" spans="1:16" x14ac:dyDescent="0.35">
      <c r="A72" s="101" t="s">
        <v>724</v>
      </c>
      <c r="B72" s="278"/>
      <c r="C72" s="278"/>
      <c r="D72" s="278"/>
      <c r="E72" s="278"/>
      <c r="F72" s="278"/>
      <c r="G72" s="278"/>
      <c r="H72" s="278"/>
      <c r="I72" s="278"/>
      <c r="J72" s="278"/>
      <c r="K72" s="278"/>
      <c r="L72" s="278"/>
      <c r="M72" s="278"/>
      <c r="N72" s="36"/>
      <c r="O72"/>
      <c r="P72"/>
    </row>
    <row r="73" spans="1:16" x14ac:dyDescent="0.35">
      <c r="A73" s="101" t="s">
        <v>109</v>
      </c>
      <c r="B73" s="278">
        <v>-641.6</v>
      </c>
      <c r="C73" s="278">
        <v>-641.6</v>
      </c>
      <c r="D73" s="278">
        <v>-5338.1</v>
      </c>
      <c r="E73" s="278">
        <v>-2293.8000000000002</v>
      </c>
      <c r="F73" s="278">
        <v>-2646.9</v>
      </c>
      <c r="G73" s="278">
        <v>-1551.6</v>
      </c>
      <c r="H73" s="365">
        <v>-3194.5</v>
      </c>
      <c r="I73" s="278">
        <v>0</v>
      </c>
      <c r="J73" s="365">
        <v>-3194.7</v>
      </c>
      <c r="K73" s="278">
        <v>-2494.6</v>
      </c>
      <c r="L73" s="278">
        <v>-1734.2</v>
      </c>
      <c r="M73" s="278">
        <v>-972.3</v>
      </c>
      <c r="N73" s="33" t="s">
        <v>725</v>
      </c>
      <c r="O73" t="s">
        <v>726</v>
      </c>
      <c r="P73"/>
    </row>
    <row r="74" spans="1:16" x14ac:dyDescent="0.35">
      <c r="A74" s="101" t="s">
        <v>461</v>
      </c>
      <c r="B74" s="278">
        <v>-681.6</v>
      </c>
      <c r="C74" s="278">
        <v>-357.3</v>
      </c>
      <c r="D74" s="278">
        <v>-807.3</v>
      </c>
      <c r="E74" s="278">
        <v>-215.5</v>
      </c>
      <c r="F74" s="278">
        <v>-20</v>
      </c>
      <c r="G74" s="278">
        <v>0</v>
      </c>
      <c r="H74" s="365">
        <v>65</v>
      </c>
      <c r="I74" s="278">
        <v>0</v>
      </c>
      <c r="J74" s="365">
        <v>0</v>
      </c>
      <c r="K74" s="278">
        <v>55</v>
      </c>
      <c r="L74" s="278">
        <v>0</v>
      </c>
      <c r="M74" s="278">
        <v>0</v>
      </c>
      <c r="N74" s="33" t="s">
        <v>725</v>
      </c>
      <c r="O74" t="str">
        <f>+A74</f>
        <v>Share buyback</v>
      </c>
      <c r="P74"/>
    </row>
    <row r="75" spans="1:16" x14ac:dyDescent="0.35">
      <c r="A75" s="101" t="s">
        <v>727</v>
      </c>
      <c r="B75" s="278">
        <f t="shared" ref="B75" si="38">B68-B69-B70-B71-B72-B73-B74</f>
        <v>4746</v>
      </c>
      <c r="C75" s="278">
        <f t="shared" ref="C75:M75" si="39">C68-C69-C70-C71-C72-C73-C74</f>
        <v>-10475.000000000002</v>
      </c>
      <c r="D75" s="278">
        <f t="shared" si="39"/>
        <v>-2854.5999999999995</v>
      </c>
      <c r="E75" s="278">
        <f t="shared" si="39"/>
        <v>304.69999999999982</v>
      </c>
      <c r="F75" s="278">
        <f t="shared" si="39"/>
        <v>108.10000000000082</v>
      </c>
      <c r="G75" s="278">
        <f t="shared" si="39"/>
        <v>-80.200000000000273</v>
      </c>
      <c r="H75" s="278">
        <f t="shared" si="39"/>
        <v>-742.00000000000091</v>
      </c>
      <c r="I75" s="278">
        <f t="shared" si="39"/>
        <v>921.59999999999991</v>
      </c>
      <c r="J75" s="278">
        <f t="shared" si="39"/>
        <v>-882.59999999999991</v>
      </c>
      <c r="K75" s="278">
        <f t="shared" si="39"/>
        <v>1155.0999999999999</v>
      </c>
      <c r="L75" s="278">
        <f t="shared" si="39"/>
        <v>-858.19999999999959</v>
      </c>
      <c r="M75" s="278">
        <f t="shared" si="39"/>
        <v>-187.70000000000005</v>
      </c>
      <c r="N75" s="36"/>
      <c r="O75"/>
      <c r="P75"/>
    </row>
    <row r="76" spans="1:16" ht="13.9" x14ac:dyDescent="0.4">
      <c r="A76" s="9" t="s">
        <v>112</v>
      </c>
      <c r="B76" s="277">
        <v>18.399999999999999</v>
      </c>
      <c r="C76" s="277">
        <v>317.39999999999998</v>
      </c>
      <c r="D76" s="277">
        <v>-192.5</v>
      </c>
      <c r="E76" s="277">
        <v>-146.19999999999999</v>
      </c>
      <c r="F76" s="277">
        <v>48.1</v>
      </c>
      <c r="G76" s="277">
        <v>-386</v>
      </c>
      <c r="H76" s="277">
        <v>-4.7</v>
      </c>
      <c r="I76" s="277">
        <v>81.900000000000006</v>
      </c>
      <c r="J76" s="277">
        <v>-27.9</v>
      </c>
      <c r="K76" s="277">
        <v>-17.8</v>
      </c>
      <c r="L76" s="277">
        <v>10.9</v>
      </c>
      <c r="M76" s="277">
        <v>-7.7</v>
      </c>
      <c r="N76" s="36"/>
      <c r="O76"/>
      <c r="P76"/>
    </row>
    <row r="77" spans="1:16" ht="13.9" x14ac:dyDescent="0.4">
      <c r="A77" s="9" t="s">
        <v>480</v>
      </c>
      <c r="B77" s="277">
        <f t="shared" ref="B77" si="40">B59+B64+B68+B76</f>
        <v>8373.5</v>
      </c>
      <c r="C77" s="277">
        <f t="shared" ref="C77:M77" si="41">C59+C64+C68+C76</f>
        <v>-1009.1999999999995</v>
      </c>
      <c r="D77" s="277">
        <f t="shared" si="41"/>
        <v>14316.399999999998</v>
      </c>
      <c r="E77" s="277">
        <f t="shared" si="41"/>
        <v>4814.3</v>
      </c>
      <c r="F77" s="277">
        <f t="shared" si="41"/>
        <v>2162.7000000000003</v>
      </c>
      <c r="G77" s="277">
        <f t="shared" si="41"/>
        <v>2770.5999999999995</v>
      </c>
      <c r="H77" s="277">
        <f t="shared" si="41"/>
        <v>8337.2999999999993</v>
      </c>
      <c r="I77" s="277">
        <f t="shared" si="41"/>
        <v>-566.49999999999932</v>
      </c>
      <c r="J77" s="277">
        <f t="shared" si="41"/>
        <v>-623.09999999999889</v>
      </c>
      <c r="K77" s="277">
        <f t="shared" si="41"/>
        <v>-2441.1000000000004</v>
      </c>
      <c r="L77" s="277">
        <f t="shared" si="41"/>
        <v>-51.099999999999092</v>
      </c>
      <c r="M77" s="277">
        <f t="shared" si="41"/>
        <v>-710.7</v>
      </c>
      <c r="N77" s="36"/>
      <c r="O77"/>
      <c r="P77"/>
    </row>
    <row r="78" spans="1:16" x14ac:dyDescent="0.35">
      <c r="M78" s="23"/>
      <c r="N78"/>
      <c r="O78" t="s">
        <v>728</v>
      </c>
      <c r="P78"/>
    </row>
    <row r="79" spans="1:16" ht="13.9" x14ac:dyDescent="0.4">
      <c r="A79" s="49" t="s">
        <v>729</v>
      </c>
      <c r="B79" s="49"/>
      <c r="C79" s="49"/>
      <c r="D79" s="49"/>
      <c r="E79" s="1115" t="s">
        <v>488</v>
      </c>
      <c r="F79" s="1115"/>
      <c r="G79" s="1115"/>
      <c r="H79" s="1115" t="s">
        <v>730</v>
      </c>
      <c r="I79" s="1115"/>
      <c r="J79" s="49" t="s">
        <v>490</v>
      </c>
      <c r="K79" s="49" t="s">
        <v>491</v>
      </c>
      <c r="L79" s="49" t="s">
        <v>492</v>
      </c>
      <c r="M79" s="34"/>
      <c r="N79"/>
      <c r="O79"/>
      <c r="P79"/>
    </row>
    <row r="80" spans="1:16" x14ac:dyDescent="0.35">
      <c r="A80" s="25" t="s">
        <v>731</v>
      </c>
      <c r="B80" s="26"/>
      <c r="C80" s="39" t="s">
        <v>732</v>
      </c>
      <c r="D80" s="23"/>
      <c r="E80" s="1116"/>
      <c r="F80" s="1116"/>
      <c r="G80" s="1116"/>
      <c r="H80" s="1117"/>
      <c r="I80" s="1117"/>
      <c r="J80" s="65"/>
      <c r="K80" s="64"/>
      <c r="L80" s="64"/>
      <c r="M80" s="23"/>
      <c r="N80" s="39" t="s">
        <v>733</v>
      </c>
      <c r="O80"/>
      <c r="P80"/>
    </row>
    <row r="81" spans="1:16" x14ac:dyDescent="0.35">
      <c r="A81" s="25" t="s">
        <v>734</v>
      </c>
      <c r="B81" s="26"/>
      <c r="C81" s="39" t="s">
        <v>735</v>
      </c>
      <c r="D81" s="23"/>
      <c r="E81" s="1116"/>
      <c r="F81" s="1116"/>
      <c r="G81" s="1116"/>
      <c r="H81" s="1117"/>
      <c r="I81" s="1117"/>
      <c r="J81" s="65"/>
      <c r="K81" s="64"/>
      <c r="L81" s="64"/>
      <c r="M81" s="23"/>
      <c r="N81" s="39" t="s">
        <v>733</v>
      </c>
      <c r="O81"/>
      <c r="P81"/>
    </row>
    <row r="82" spans="1:16" x14ac:dyDescent="0.35">
      <c r="A82" s="25" t="s">
        <v>33</v>
      </c>
      <c r="B82" s="654"/>
      <c r="C82" s="39" t="s">
        <v>735</v>
      </c>
      <c r="D82" s="66"/>
      <c r="E82" s="1116"/>
      <c r="F82" s="1116"/>
      <c r="G82" s="1116"/>
      <c r="H82" s="1117"/>
      <c r="I82" s="1117"/>
      <c r="J82" s="65"/>
      <c r="K82" s="64"/>
      <c r="L82" s="64"/>
      <c r="M82" s="68"/>
      <c r="N82" s="39" t="s">
        <v>733</v>
      </c>
      <c r="O82"/>
      <c r="P82"/>
    </row>
    <row r="83" spans="1:16" x14ac:dyDescent="0.35">
      <c r="A83" s="25" t="s">
        <v>37</v>
      </c>
      <c r="B83" s="655"/>
      <c r="C83" s="39" t="s">
        <v>735</v>
      </c>
      <c r="D83" s="67"/>
      <c r="E83" s="1116"/>
      <c r="F83" s="1116"/>
      <c r="G83" s="1116"/>
      <c r="H83" s="1117"/>
      <c r="I83" s="1117"/>
      <c r="J83" s="65"/>
      <c r="K83" s="64"/>
      <c r="L83" s="64"/>
      <c r="M83" s="68"/>
      <c r="N83" s="39" t="s">
        <v>733</v>
      </c>
      <c r="O83"/>
      <c r="P83"/>
    </row>
    <row r="84" spans="1:16" x14ac:dyDescent="0.35">
      <c r="A84" s="25" t="s">
        <v>484</v>
      </c>
      <c r="B84" s="26"/>
      <c r="C84" s="39" t="s">
        <v>732</v>
      </c>
      <c r="D84" s="23"/>
      <c r="E84" s="1116"/>
      <c r="F84" s="1116"/>
      <c r="G84" s="1116"/>
      <c r="H84" s="1117"/>
      <c r="I84" s="1117"/>
      <c r="J84" s="65"/>
      <c r="K84" s="64"/>
      <c r="L84" s="64"/>
      <c r="M84" s="23"/>
      <c r="N84" s="39" t="s">
        <v>733</v>
      </c>
      <c r="O84"/>
      <c r="P84"/>
    </row>
    <row r="85" spans="1:16" x14ac:dyDescent="0.35">
      <c r="A85" s="25" t="s">
        <v>736</v>
      </c>
      <c r="B85" s="656"/>
      <c r="C85" s="39" t="s">
        <v>735</v>
      </c>
      <c r="D85" s="23"/>
      <c r="E85" s="1116"/>
      <c r="F85" s="1116"/>
      <c r="G85" s="1116"/>
      <c r="H85" s="1117"/>
      <c r="I85" s="1117"/>
      <c r="J85" s="64"/>
      <c r="K85" s="64"/>
      <c r="L85" s="64"/>
      <c r="M85" s="23"/>
      <c r="N85" s="39" t="s">
        <v>733</v>
      </c>
      <c r="O85"/>
    </row>
    <row r="86" spans="1:16" x14ac:dyDescent="0.35">
      <c r="A86" s="25" t="s">
        <v>486</v>
      </c>
      <c r="B86" s="26"/>
      <c r="C86" s="39" t="s">
        <v>737</v>
      </c>
      <c r="D86" s="23"/>
      <c r="E86" s="1116"/>
      <c r="F86" s="1116"/>
      <c r="G86" s="1116"/>
      <c r="H86" s="1117"/>
      <c r="I86" s="1117"/>
      <c r="J86" s="64"/>
      <c r="K86" s="64"/>
      <c r="L86" s="64"/>
      <c r="M86" s="23"/>
      <c r="N86" s="39" t="s">
        <v>733</v>
      </c>
    </row>
    <row r="87" spans="1:16" ht="13.9" x14ac:dyDescent="0.4">
      <c r="B87" s="49">
        <f>B5</f>
        <v>2023</v>
      </c>
      <c r="C87" s="49">
        <f t="shared" ref="C87:D87" si="42">C5</f>
        <v>2022</v>
      </c>
      <c r="D87" s="49">
        <f t="shared" si="42"/>
        <v>2021</v>
      </c>
      <c r="E87" s="40"/>
      <c r="G87" s="40"/>
      <c r="H87" s="40"/>
      <c r="I87" s="40"/>
      <c r="J87" s="40"/>
      <c r="K87" s="40"/>
      <c r="L87" s="40"/>
      <c r="M87" s="40"/>
      <c r="N87"/>
    </row>
    <row r="88" spans="1:16" x14ac:dyDescent="0.35">
      <c r="A88" s="25" t="s">
        <v>487</v>
      </c>
      <c r="E88" s="39" t="s">
        <v>737</v>
      </c>
      <c r="K88" s="21"/>
      <c r="L88" s="21"/>
      <c r="O88"/>
      <c r="P88"/>
    </row>
    <row r="89" spans="1:16" ht="13.9" x14ac:dyDescent="0.4">
      <c r="A89" s="25" t="s">
        <v>58</v>
      </c>
      <c r="B89" s="63"/>
      <c r="C89" s="63"/>
      <c r="D89" s="63"/>
      <c r="E89" s="39" t="s">
        <v>737</v>
      </c>
      <c r="K89" s="21"/>
      <c r="L89" s="21"/>
      <c r="O89" s="49"/>
    </row>
    <row r="90" spans="1:16" ht="13.9" x14ac:dyDescent="0.4">
      <c r="M90"/>
      <c r="N90" s="100"/>
      <c r="O90" s="49"/>
    </row>
    <row r="91" spans="1:16" x14ac:dyDescent="0.35">
      <c r="J91" s="23"/>
      <c r="L91"/>
      <c r="M91"/>
      <c r="N91"/>
    </row>
    <row r="92" spans="1:16" x14ac:dyDescent="0.35">
      <c r="J92" s="23"/>
      <c r="L92"/>
      <c r="M92"/>
      <c r="N92"/>
    </row>
    <row r="93" spans="1:16" x14ac:dyDescent="0.35">
      <c r="J93" s="23"/>
      <c r="L93"/>
      <c r="M93"/>
      <c r="N93"/>
    </row>
    <row r="94" spans="1:16" x14ac:dyDescent="0.35">
      <c r="J94" s="23"/>
      <c r="L94"/>
      <c r="M94"/>
      <c r="N94"/>
    </row>
    <row r="95" spans="1:16" x14ac:dyDescent="0.35">
      <c r="J95" s="23"/>
      <c r="L95"/>
      <c r="M95"/>
      <c r="N95"/>
    </row>
    <row r="96" spans="1:16" x14ac:dyDescent="0.35">
      <c r="J96" s="23"/>
      <c r="L96"/>
      <c r="M96"/>
      <c r="N96"/>
      <c r="O96"/>
    </row>
    <row r="97" spans="1:14" x14ac:dyDescent="0.35">
      <c r="J97" s="23"/>
      <c r="L97"/>
      <c r="M97"/>
      <c r="N97"/>
    </row>
    <row r="98" spans="1:14" x14ac:dyDescent="0.35">
      <c r="G98"/>
      <c r="M98"/>
      <c r="N98"/>
    </row>
    <row r="99" spans="1:14" x14ac:dyDescent="0.35">
      <c r="A99"/>
      <c r="B99"/>
      <c r="C99"/>
      <c r="D99"/>
      <c r="E99"/>
      <c r="F99"/>
      <c r="G99"/>
    </row>
    <row r="100" spans="1:14" x14ac:dyDescent="0.35">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C2:F2"/>
    <mergeCell ref="R5:S5"/>
    <mergeCell ref="H79:I79"/>
    <mergeCell ref="E79:G79"/>
    <mergeCell ref="B4:G4"/>
  </mergeCells>
  <pageMargins left="0.75" right="0.75" top="1" bottom="1" header="0" footer="0"/>
  <pageSetup orientation="portrait" horizontalDpi="4294967292"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D6573-FDF6-4421-A8A0-ADB422B846F6}">
  <dimension ref="A1:V37"/>
  <sheetViews>
    <sheetView topLeftCell="C3" zoomScale="83" zoomScaleNormal="70" workbookViewId="0">
      <selection activeCell="Q22" sqref="Q22"/>
    </sheetView>
  </sheetViews>
  <sheetFormatPr defaultColWidth="8.86328125" defaultRowHeight="12.75" x14ac:dyDescent="0.35"/>
  <cols>
    <col min="1" max="13" width="8.73046875" style="1120"/>
    <col min="14" max="14" width="1.3984375" style="768" customWidth="1"/>
    <col min="15" max="15" width="8.73046875" customWidth="1"/>
    <col min="16" max="16" width="7" customWidth="1"/>
    <col min="17" max="17" width="15.86328125" customWidth="1"/>
    <col min="18" max="18" width="14" customWidth="1"/>
    <col min="19" max="19" width="11.3984375" customWidth="1"/>
    <col min="20" max="20" width="31.59765625" customWidth="1"/>
    <col min="21" max="21" width="15.86328125" customWidth="1"/>
    <col min="22" max="22" width="9.265625" customWidth="1"/>
  </cols>
  <sheetData>
    <row r="1" spans="1:22" x14ac:dyDescent="0.35">
      <c r="A1"/>
      <c r="B1"/>
      <c r="C1"/>
      <c r="D1"/>
      <c r="E1"/>
      <c r="F1"/>
      <c r="G1"/>
      <c r="H1"/>
      <c r="I1"/>
      <c r="J1"/>
      <c r="K1"/>
      <c r="L1"/>
      <c r="M1"/>
    </row>
    <row r="2" spans="1:22" x14ac:dyDescent="0.35">
      <c r="A2" s="1118" t="s">
        <v>738</v>
      </c>
      <c r="B2" s="1118"/>
      <c r="C2" s="1118"/>
      <c r="D2" s="1118"/>
      <c r="E2" s="1118"/>
      <c r="F2" s="1118"/>
      <c r="G2" s="1118"/>
      <c r="H2" s="1118"/>
      <c r="I2" s="1118"/>
      <c r="J2" s="1118"/>
      <c r="K2" s="1118"/>
      <c r="L2" s="1118"/>
      <c r="M2" s="1118"/>
    </row>
    <row r="3" spans="1:22" x14ac:dyDescent="0.35">
      <c r="A3" s="767"/>
      <c r="B3"/>
      <c r="C3"/>
      <c r="D3"/>
      <c r="E3"/>
      <c r="F3"/>
      <c r="G3"/>
      <c r="H3"/>
      <c r="I3"/>
      <c r="J3"/>
      <c r="K3"/>
      <c r="L3"/>
      <c r="M3"/>
    </row>
    <row r="4" spans="1:22" x14ac:dyDescent="0.35">
      <c r="A4" s="1119" t="s">
        <v>739</v>
      </c>
      <c r="P4" t="s">
        <v>740</v>
      </c>
      <c r="S4" s="10" t="s">
        <v>741</v>
      </c>
      <c r="T4" s="767" t="s">
        <v>742</v>
      </c>
    </row>
    <row r="6" spans="1:22" x14ac:dyDescent="0.35">
      <c r="P6" t="s">
        <v>743</v>
      </c>
      <c r="Q6" t="s">
        <v>656</v>
      </c>
      <c r="R6" t="s">
        <v>744</v>
      </c>
      <c r="S6" t="s">
        <v>745</v>
      </c>
      <c r="T6" t="s">
        <v>493</v>
      </c>
      <c r="U6" t="s">
        <v>162</v>
      </c>
      <c r="V6" t="s">
        <v>746</v>
      </c>
    </row>
    <row r="7" spans="1:22" x14ac:dyDescent="0.35">
      <c r="P7" s="773">
        <v>1</v>
      </c>
      <c r="Q7" t="s">
        <v>747</v>
      </c>
      <c r="R7" t="s">
        <v>748</v>
      </c>
      <c r="S7" t="s">
        <v>749</v>
      </c>
      <c r="T7" t="s">
        <v>750</v>
      </c>
      <c r="U7" t="s">
        <v>751</v>
      </c>
    </row>
    <row r="8" spans="1:22" x14ac:dyDescent="0.35">
      <c r="P8" s="773">
        <v>2</v>
      </c>
      <c r="Q8" t="s">
        <v>752</v>
      </c>
      <c r="R8" t="s">
        <v>753</v>
      </c>
      <c r="S8" t="s">
        <v>754</v>
      </c>
      <c r="T8" t="s">
        <v>755</v>
      </c>
      <c r="U8" t="s">
        <v>756</v>
      </c>
    </row>
    <row r="9" spans="1:22" x14ac:dyDescent="0.35">
      <c r="P9" s="773">
        <v>3</v>
      </c>
      <c r="Q9" t="s">
        <v>757</v>
      </c>
      <c r="R9" t="s">
        <v>758</v>
      </c>
      <c r="S9" t="s">
        <v>143</v>
      </c>
      <c r="T9" t="s">
        <v>759</v>
      </c>
      <c r="U9" t="s">
        <v>760</v>
      </c>
    </row>
    <row r="10" spans="1:22" x14ac:dyDescent="0.35">
      <c r="P10" s="773">
        <v>4</v>
      </c>
      <c r="Q10" t="s">
        <v>761</v>
      </c>
      <c r="R10" t="s">
        <v>762</v>
      </c>
      <c r="S10" t="s">
        <v>763</v>
      </c>
      <c r="T10" t="s">
        <v>764</v>
      </c>
      <c r="U10" t="s">
        <v>765</v>
      </c>
    </row>
    <row r="11" spans="1:22" x14ac:dyDescent="0.35">
      <c r="P11" s="773">
        <v>5</v>
      </c>
      <c r="Q11" t="s">
        <v>766</v>
      </c>
      <c r="R11" t="s">
        <v>767</v>
      </c>
      <c r="S11" t="s">
        <v>768</v>
      </c>
      <c r="T11" t="s">
        <v>769</v>
      </c>
      <c r="U11" t="s">
        <v>770</v>
      </c>
    </row>
    <row r="12" spans="1:22" x14ac:dyDescent="0.35">
      <c r="P12" s="773">
        <v>6</v>
      </c>
      <c r="Q12" t="s">
        <v>771</v>
      </c>
      <c r="R12" t="s">
        <v>772</v>
      </c>
      <c r="S12" t="s">
        <v>768</v>
      </c>
      <c r="T12" t="s">
        <v>769</v>
      </c>
      <c r="U12" t="s">
        <v>770</v>
      </c>
    </row>
    <row r="13" spans="1:22" x14ac:dyDescent="0.35">
      <c r="P13" s="773">
        <v>7</v>
      </c>
      <c r="Q13" t="s">
        <v>773</v>
      </c>
      <c r="R13" t="s">
        <v>774</v>
      </c>
      <c r="S13" t="s">
        <v>768</v>
      </c>
      <c r="T13" t="s">
        <v>769</v>
      </c>
      <c r="U13" t="s">
        <v>770</v>
      </c>
    </row>
    <row r="14" spans="1:22" x14ac:dyDescent="0.35">
      <c r="P14" s="773">
        <v>8</v>
      </c>
      <c r="Q14" t="s">
        <v>775</v>
      </c>
      <c r="R14" t="s">
        <v>776</v>
      </c>
      <c r="S14" t="s">
        <v>768</v>
      </c>
      <c r="T14" t="s">
        <v>769</v>
      </c>
      <c r="U14" t="s">
        <v>770</v>
      </c>
    </row>
    <row r="15" spans="1:22" x14ac:dyDescent="0.35">
      <c r="P15" s="773">
        <v>9</v>
      </c>
      <c r="Q15" t="s">
        <v>777</v>
      </c>
      <c r="R15" t="s">
        <v>778</v>
      </c>
      <c r="S15" t="s">
        <v>779</v>
      </c>
      <c r="T15" t="s">
        <v>780</v>
      </c>
      <c r="U15" t="s">
        <v>781</v>
      </c>
    </row>
    <row r="16" spans="1:22" hidden="1" x14ac:dyDescent="0.35">
      <c r="P16" s="773"/>
      <c r="Q16" t="s">
        <v>782</v>
      </c>
      <c r="R16" t="s">
        <v>782</v>
      </c>
      <c r="S16" t="s">
        <v>782</v>
      </c>
      <c r="T16" t="s">
        <v>782</v>
      </c>
      <c r="U16" t="s">
        <v>782</v>
      </c>
      <c r="V16" t="s">
        <v>782</v>
      </c>
    </row>
    <row r="17" spans="16:21" x14ac:dyDescent="0.35">
      <c r="P17" s="773">
        <v>10</v>
      </c>
      <c r="Q17" t="s">
        <v>783</v>
      </c>
      <c r="R17" t="s">
        <v>784</v>
      </c>
      <c r="S17" t="s">
        <v>754</v>
      </c>
      <c r="T17" t="s">
        <v>755</v>
      </c>
      <c r="U17" t="s">
        <v>756</v>
      </c>
    </row>
    <row r="18" spans="16:21" x14ac:dyDescent="0.35">
      <c r="P18" s="773">
        <v>11</v>
      </c>
      <c r="Q18" t="s">
        <v>785</v>
      </c>
      <c r="R18" t="s">
        <v>786</v>
      </c>
      <c r="S18" t="s">
        <v>749</v>
      </c>
      <c r="T18" t="s">
        <v>750</v>
      </c>
      <c r="U18" t="s">
        <v>751</v>
      </c>
    </row>
    <row r="19" spans="16:21" x14ac:dyDescent="0.35">
      <c r="P19" s="773">
        <v>12</v>
      </c>
      <c r="Q19" t="s">
        <v>787</v>
      </c>
      <c r="R19" t="s">
        <v>788</v>
      </c>
      <c r="S19" t="s">
        <v>749</v>
      </c>
      <c r="T19" t="s">
        <v>750</v>
      </c>
      <c r="U19" t="s">
        <v>751</v>
      </c>
    </row>
    <row r="20" spans="16:21" x14ac:dyDescent="0.35">
      <c r="P20" s="773">
        <v>13</v>
      </c>
      <c r="Q20" t="s">
        <v>789</v>
      </c>
      <c r="R20" t="s">
        <v>790</v>
      </c>
      <c r="S20" t="s">
        <v>791</v>
      </c>
      <c r="T20" t="s">
        <v>792</v>
      </c>
      <c r="U20" t="s">
        <v>793</v>
      </c>
    </row>
    <row r="21" spans="16:21" x14ac:dyDescent="0.35">
      <c r="P21" s="773">
        <v>14</v>
      </c>
      <c r="Q21" t="s">
        <v>794</v>
      </c>
      <c r="R21" t="s">
        <v>795</v>
      </c>
      <c r="S21" t="s">
        <v>754</v>
      </c>
      <c r="T21" t="s">
        <v>755</v>
      </c>
      <c r="U21" t="s">
        <v>756</v>
      </c>
    </row>
    <row r="22" spans="16:21" x14ac:dyDescent="0.35">
      <c r="P22" s="773">
        <v>15</v>
      </c>
      <c r="Q22" s="27" t="s">
        <v>796</v>
      </c>
      <c r="R22" t="s">
        <v>797</v>
      </c>
      <c r="S22" t="s">
        <v>143</v>
      </c>
      <c r="T22" t="s">
        <v>759</v>
      </c>
      <c r="U22" t="s">
        <v>760</v>
      </c>
    </row>
    <row r="23" spans="16:21" x14ac:dyDescent="0.35">
      <c r="P23" s="773">
        <v>16</v>
      </c>
      <c r="Q23" t="s">
        <v>798</v>
      </c>
      <c r="R23" t="s">
        <v>799</v>
      </c>
      <c r="S23" t="s">
        <v>143</v>
      </c>
      <c r="T23" t="s">
        <v>759</v>
      </c>
      <c r="U23" t="s">
        <v>760</v>
      </c>
    </row>
    <row r="24" spans="16:21" x14ac:dyDescent="0.35">
      <c r="P24" s="773">
        <v>17</v>
      </c>
      <c r="Q24" t="s">
        <v>800</v>
      </c>
      <c r="R24" t="s">
        <v>801</v>
      </c>
      <c r="S24" t="s">
        <v>143</v>
      </c>
      <c r="T24" t="s">
        <v>759</v>
      </c>
      <c r="U24" t="s">
        <v>760</v>
      </c>
    </row>
    <row r="25" spans="16:21" x14ac:dyDescent="0.35">
      <c r="P25" s="773">
        <v>18</v>
      </c>
      <c r="Q25" t="s">
        <v>802</v>
      </c>
      <c r="R25" t="s">
        <v>803</v>
      </c>
      <c r="S25" t="s">
        <v>754</v>
      </c>
      <c r="T25" t="s">
        <v>755</v>
      </c>
      <c r="U25" t="s">
        <v>756</v>
      </c>
    </row>
    <row r="26" spans="16:21" x14ac:dyDescent="0.35">
      <c r="P26" s="773">
        <v>19</v>
      </c>
      <c r="Q26" t="s">
        <v>804</v>
      </c>
      <c r="R26" t="s">
        <v>805</v>
      </c>
      <c r="S26" t="s">
        <v>143</v>
      </c>
      <c r="T26" t="s">
        <v>759</v>
      </c>
      <c r="U26" t="s">
        <v>760</v>
      </c>
    </row>
    <row r="27" spans="16:21" x14ac:dyDescent="0.35">
      <c r="P27" s="773">
        <v>20</v>
      </c>
      <c r="Q27" t="s">
        <v>806</v>
      </c>
      <c r="R27" t="s">
        <v>807</v>
      </c>
      <c r="S27" t="s">
        <v>791</v>
      </c>
      <c r="T27" t="s">
        <v>792</v>
      </c>
      <c r="U27" t="s">
        <v>793</v>
      </c>
    </row>
    <row r="28" spans="16:21" x14ac:dyDescent="0.35">
      <c r="P28" s="773">
        <v>21</v>
      </c>
      <c r="Q28" t="s">
        <v>808</v>
      </c>
      <c r="R28" t="s">
        <v>809</v>
      </c>
      <c r="S28" t="s">
        <v>754</v>
      </c>
      <c r="T28" t="s">
        <v>755</v>
      </c>
      <c r="U28" t="s">
        <v>756</v>
      </c>
    </row>
    <row r="29" spans="16:21" x14ac:dyDescent="0.35">
      <c r="P29" s="773">
        <v>22</v>
      </c>
      <c r="Q29" t="s">
        <v>810</v>
      </c>
      <c r="R29" t="s">
        <v>811</v>
      </c>
      <c r="S29" t="s">
        <v>812</v>
      </c>
      <c r="T29" t="s">
        <v>813</v>
      </c>
      <c r="U29" t="s">
        <v>814</v>
      </c>
    </row>
    <row r="30" spans="16:21" x14ac:dyDescent="0.35">
      <c r="P30" s="773">
        <v>23</v>
      </c>
      <c r="Q30" t="s">
        <v>815</v>
      </c>
      <c r="R30" t="s">
        <v>816</v>
      </c>
      <c r="S30" t="s">
        <v>779</v>
      </c>
      <c r="T30" t="s">
        <v>780</v>
      </c>
      <c r="U30" t="s">
        <v>781</v>
      </c>
    </row>
    <row r="31" spans="16:21" x14ac:dyDescent="0.35">
      <c r="P31" s="773">
        <v>24</v>
      </c>
      <c r="Q31" t="s">
        <v>817</v>
      </c>
      <c r="R31" t="s">
        <v>818</v>
      </c>
      <c r="S31" t="s">
        <v>749</v>
      </c>
      <c r="T31" t="s">
        <v>750</v>
      </c>
      <c r="U31" t="s">
        <v>751</v>
      </c>
    </row>
    <row r="32" spans="16:21" x14ac:dyDescent="0.35">
      <c r="P32" s="773">
        <v>25</v>
      </c>
      <c r="Q32" t="s">
        <v>819</v>
      </c>
      <c r="R32" t="s">
        <v>820</v>
      </c>
      <c r="S32" t="s">
        <v>768</v>
      </c>
      <c r="T32" t="s">
        <v>769</v>
      </c>
      <c r="U32" t="s">
        <v>770</v>
      </c>
    </row>
    <row r="33" spans="16:21" x14ac:dyDescent="0.35">
      <c r="P33" s="773">
        <v>26</v>
      </c>
      <c r="Q33" t="s">
        <v>821</v>
      </c>
      <c r="R33" t="s">
        <v>822</v>
      </c>
      <c r="S33" t="s">
        <v>754</v>
      </c>
      <c r="T33" t="s">
        <v>755</v>
      </c>
      <c r="U33" t="s">
        <v>756</v>
      </c>
    </row>
    <row r="34" spans="16:21" x14ac:dyDescent="0.35">
      <c r="P34" s="773">
        <v>27</v>
      </c>
      <c r="Q34" t="s">
        <v>823</v>
      </c>
      <c r="R34" t="s">
        <v>824</v>
      </c>
      <c r="S34" t="s">
        <v>825</v>
      </c>
      <c r="T34" t="s">
        <v>826</v>
      </c>
      <c r="U34" t="s">
        <v>827</v>
      </c>
    </row>
    <row r="35" spans="16:21" x14ac:dyDescent="0.35">
      <c r="P35" s="773">
        <v>28</v>
      </c>
      <c r="Q35" t="s">
        <v>828</v>
      </c>
      <c r="R35" t="s">
        <v>829</v>
      </c>
      <c r="S35" t="s">
        <v>830</v>
      </c>
      <c r="T35" t="s">
        <v>831</v>
      </c>
      <c r="U35" t="s">
        <v>832</v>
      </c>
    </row>
    <row r="36" spans="16:21" x14ac:dyDescent="0.35">
      <c r="P36" s="773">
        <v>29</v>
      </c>
      <c r="Q36" t="s">
        <v>833</v>
      </c>
      <c r="R36" t="s">
        <v>834</v>
      </c>
      <c r="S36" t="s">
        <v>754</v>
      </c>
      <c r="T36" t="s">
        <v>755</v>
      </c>
      <c r="U36" t="s">
        <v>756</v>
      </c>
    </row>
    <row r="37" spans="16:21" x14ac:dyDescent="0.35">
      <c r="P37" s="773">
        <v>30</v>
      </c>
      <c r="Q37" t="s">
        <v>835</v>
      </c>
      <c r="R37" t="s">
        <v>836</v>
      </c>
      <c r="S37" t="s">
        <v>143</v>
      </c>
      <c r="T37" t="s">
        <v>759</v>
      </c>
      <c r="U37" t="s">
        <v>760</v>
      </c>
    </row>
  </sheetData>
  <mergeCells count="2">
    <mergeCell ref="A2:M2"/>
    <mergeCell ref="A4:M1048576"/>
  </mergeCells>
  <hyperlinks>
    <hyperlink ref="A2" r:id="rId1" xr:uid="{72F30F6C-B00C-426D-A3D5-6E8B5C24369F}"/>
    <hyperlink ref="T4" r:id="rId2" xr:uid="{161AB5EF-0D51-4893-B8B9-FAAB3BC20465}"/>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FFFBD-7EED-4DD6-A5BF-0C976B1306C0}">
  <dimension ref="A1:E40"/>
  <sheetViews>
    <sheetView zoomScale="47" workbookViewId="0">
      <selection activeCell="C17" sqref="C17"/>
    </sheetView>
  </sheetViews>
  <sheetFormatPr defaultColWidth="8.86328125" defaultRowHeight="12.75" x14ac:dyDescent="0.35"/>
  <cols>
    <col min="2" max="2" width="10.86328125" customWidth="1"/>
    <col min="3" max="3" width="19.73046875" customWidth="1"/>
    <col min="4" max="5" width="34.265625" customWidth="1"/>
  </cols>
  <sheetData>
    <row r="1" spans="1:5" x14ac:dyDescent="0.35">
      <c r="A1" t="s">
        <v>97</v>
      </c>
      <c r="B1" t="s">
        <v>98</v>
      </c>
      <c r="C1" t="s">
        <v>837</v>
      </c>
      <c r="D1" t="s">
        <v>838</v>
      </c>
      <c r="E1" t="s">
        <v>839</v>
      </c>
    </row>
    <row r="2" spans="1:5" x14ac:dyDescent="0.35">
      <c r="A2">
        <v>2012</v>
      </c>
      <c r="B2" s="296">
        <v>43159.9666</v>
      </c>
    </row>
    <row r="3" spans="1:5" x14ac:dyDescent="0.35">
      <c r="A3">
        <v>2013</v>
      </c>
      <c r="B3" s="296">
        <v>56784.314299999998</v>
      </c>
    </row>
    <row r="4" spans="1:5" x14ac:dyDescent="0.35">
      <c r="A4">
        <v>2014</v>
      </c>
      <c r="B4" s="296">
        <v>62599.104200000002</v>
      </c>
    </row>
    <row r="5" spans="1:5" x14ac:dyDescent="0.35">
      <c r="A5">
        <v>2015</v>
      </c>
      <c r="B5" s="296">
        <v>76033.142500000002</v>
      </c>
    </row>
    <row r="6" spans="1:5" x14ac:dyDescent="0.35">
      <c r="A6">
        <v>2016</v>
      </c>
      <c r="B6" s="296">
        <v>98615.702400000009</v>
      </c>
    </row>
    <row r="7" spans="1:5" x14ac:dyDescent="0.35">
      <c r="A7">
        <v>2017</v>
      </c>
      <c r="B7" s="296">
        <v>101169.48880000001</v>
      </c>
    </row>
    <row r="8" spans="1:5" x14ac:dyDescent="0.35">
      <c r="A8">
        <v>2018</v>
      </c>
      <c r="B8" s="296">
        <v>99230</v>
      </c>
    </row>
    <row r="9" spans="1:5" x14ac:dyDescent="0.35">
      <c r="A9">
        <v>2019</v>
      </c>
      <c r="B9" s="296">
        <v>96210.7</v>
      </c>
    </row>
    <row r="10" spans="1:5" x14ac:dyDescent="0.35">
      <c r="A10">
        <v>2020</v>
      </c>
      <c r="B10" s="296">
        <v>103307.6</v>
      </c>
    </row>
    <row r="11" spans="1:5" x14ac:dyDescent="0.35">
      <c r="A11">
        <v>2021</v>
      </c>
      <c r="B11" s="296">
        <v>136404.70000000001</v>
      </c>
    </row>
    <row r="12" spans="1:5" x14ac:dyDescent="0.35">
      <c r="A12">
        <v>2022</v>
      </c>
      <c r="B12" s="296">
        <v>137339.98518776</v>
      </c>
    </row>
    <row r="13" spans="1:5" x14ac:dyDescent="0.35">
      <c r="A13">
        <v>2023</v>
      </c>
      <c r="B13" s="296">
        <v>173212.07675797</v>
      </c>
      <c r="C13" s="296"/>
      <c r="D13" s="296"/>
      <c r="E13" s="296"/>
    </row>
    <row r="14" spans="1:5" x14ac:dyDescent="0.35">
      <c r="A14">
        <v>2024</v>
      </c>
      <c r="B14">
        <v>202777</v>
      </c>
      <c r="C14" s="296">
        <f>Table1[[#This Row],[Net Sales]]</f>
        <v>202777</v>
      </c>
      <c r="D14" s="296">
        <f>Table1[[#This Row],[Forecast(Net Sales)]]</f>
        <v>202777</v>
      </c>
      <c r="E14" s="296">
        <f>Table1[[#This Row],[Net Sales]]</f>
        <v>202777</v>
      </c>
    </row>
    <row r="15" spans="1:5" x14ac:dyDescent="0.35">
      <c r="A15">
        <v>2025</v>
      </c>
      <c r="C15" s="296">
        <f>_xlfn.FORECAST.ETS(A15,$B$2:$B$14,$A$2:$A$14,1,1)</f>
        <v>185744.27958744424</v>
      </c>
      <c r="D15" s="296">
        <f>C15-_xlfn.FORECAST.ETS.CONFINT(A15,$B$2:$B$14,$A$2:$A$14,0.9,1,1)</f>
        <v>160987.79607473197</v>
      </c>
      <c r="E15" s="296">
        <f>C15+_xlfn.FORECAST.ETS.CONFINT(A15,$B$2:$B$14,$A$2:$A$14,0.9,1,1)</f>
        <v>210500.7631001565</v>
      </c>
    </row>
    <row r="16" spans="1:5" x14ac:dyDescent="0.35">
      <c r="A16">
        <v>2026</v>
      </c>
      <c r="C16" s="296">
        <f t="shared" ref="C16:C40" si="0">_xlfn.FORECAST.ETS(A16,$B$2:$B$13,$A$2:$A$13,1,1)</f>
        <v>180398.90952916356</v>
      </c>
      <c r="D16" s="296">
        <f t="shared" ref="D16:D40" si="1">C16-_xlfn.FORECAST.ETS.CONFINT(A16,$B$2:$B$13,$A$2:$A$13,0.9,1,1)</f>
        <v>162034.2559387814</v>
      </c>
      <c r="E16" s="296">
        <f t="shared" ref="E16:E40" si="2">C16+_xlfn.FORECAST.ETS.CONFINT(A16,$B$2:$B$13,$A$2:$A$13,0.9,1,1)</f>
        <v>198763.56311954572</v>
      </c>
    </row>
    <row r="17" spans="1:5" x14ac:dyDescent="0.35">
      <c r="A17">
        <v>2027</v>
      </c>
      <c r="C17" s="296">
        <f t="shared" si="0"/>
        <v>190206.36203841062</v>
      </c>
      <c r="D17" s="296">
        <f t="shared" si="1"/>
        <v>171841.47889703201</v>
      </c>
      <c r="E17" s="296">
        <f t="shared" si="2"/>
        <v>208571.24517978923</v>
      </c>
    </row>
    <row r="18" spans="1:5" x14ac:dyDescent="0.35">
      <c r="A18">
        <v>2028</v>
      </c>
      <c r="C18" s="296">
        <f t="shared" si="0"/>
        <v>200013.81454765768</v>
      </c>
      <c r="D18" s="296">
        <f t="shared" si="1"/>
        <v>181648.60085788486</v>
      </c>
      <c r="E18" s="296">
        <f t="shared" si="2"/>
        <v>218379.0282374305</v>
      </c>
    </row>
    <row r="19" spans="1:5" x14ac:dyDescent="0.35">
      <c r="A19">
        <v>2029</v>
      </c>
      <c r="C19" s="296">
        <f t="shared" si="0"/>
        <v>209821.26705690473</v>
      </c>
      <c r="D19" s="296">
        <f t="shared" si="1"/>
        <v>191455.60346359949</v>
      </c>
      <c r="E19" s="296">
        <f t="shared" si="2"/>
        <v>228186.93065020998</v>
      </c>
    </row>
    <row r="20" spans="1:5" x14ac:dyDescent="0.35">
      <c r="A20">
        <v>2030</v>
      </c>
      <c r="C20" s="296">
        <f t="shared" si="0"/>
        <v>219628.71956615179</v>
      </c>
      <c r="D20" s="296">
        <f t="shared" si="1"/>
        <v>201262.46836034089</v>
      </c>
      <c r="E20" s="296">
        <f t="shared" si="2"/>
        <v>237994.97077196269</v>
      </c>
    </row>
    <row r="21" spans="1:5" x14ac:dyDescent="0.35">
      <c r="A21">
        <v>2031</v>
      </c>
      <c r="C21" s="296">
        <f t="shared" si="0"/>
        <v>229436.17207539885</v>
      </c>
      <c r="D21" s="296">
        <f t="shared" si="1"/>
        <v>211069.17719946348</v>
      </c>
      <c r="E21" s="296">
        <f t="shared" si="2"/>
        <v>247803.16695133422</v>
      </c>
    </row>
    <row r="22" spans="1:5" x14ac:dyDescent="0.35">
      <c r="A22">
        <v>2032</v>
      </c>
      <c r="C22" s="296">
        <f t="shared" si="0"/>
        <v>239243.62458464591</v>
      </c>
      <c r="D22" s="296">
        <f t="shared" si="1"/>
        <v>220875.71163897743</v>
      </c>
      <c r="E22" s="296">
        <f t="shared" si="2"/>
        <v>257611.53753031438</v>
      </c>
    </row>
    <row r="23" spans="1:5" x14ac:dyDescent="0.35">
      <c r="A23">
        <v>2033</v>
      </c>
      <c r="C23" s="296">
        <f t="shared" si="0"/>
        <v>249051.07709389296</v>
      </c>
      <c r="D23" s="296">
        <f t="shared" si="1"/>
        <v>230682.0533451972</v>
      </c>
      <c r="E23" s="296">
        <f t="shared" si="2"/>
        <v>267420.1008425887</v>
      </c>
    </row>
    <row r="24" spans="1:5" x14ac:dyDescent="0.35">
      <c r="A24">
        <v>2034</v>
      </c>
      <c r="C24" s="296">
        <f t="shared" si="0"/>
        <v>258858.52960314002</v>
      </c>
      <c r="D24" s="296">
        <f t="shared" si="1"/>
        <v>240488.18399457139</v>
      </c>
      <c r="E24" s="296">
        <f t="shared" si="2"/>
        <v>277228.87521170866</v>
      </c>
    </row>
    <row r="25" spans="1:5" x14ac:dyDescent="0.35">
      <c r="A25">
        <v>2035</v>
      </c>
      <c r="C25" s="296">
        <f t="shared" si="0"/>
        <v>268665.98211238708</v>
      </c>
      <c r="D25" s="296">
        <f t="shared" si="1"/>
        <v>250294.08527569327</v>
      </c>
      <c r="E25" s="296">
        <f t="shared" si="2"/>
        <v>287037.87894908088</v>
      </c>
    </row>
    <row r="26" spans="1:5" x14ac:dyDescent="0.35">
      <c r="A26">
        <v>2036</v>
      </c>
      <c r="C26" s="296">
        <f t="shared" si="0"/>
        <v>278473.43462163408</v>
      </c>
      <c r="D26" s="296">
        <f t="shared" si="1"/>
        <v>260099.73889149103</v>
      </c>
      <c r="E26" s="296">
        <f t="shared" si="2"/>
        <v>296847.13035177713</v>
      </c>
    </row>
    <row r="27" spans="1:5" x14ac:dyDescent="0.35">
      <c r="A27">
        <v>2037</v>
      </c>
      <c r="C27" s="296">
        <f t="shared" si="0"/>
        <v>288280.88713088119</v>
      </c>
      <c r="D27" s="296">
        <f t="shared" si="1"/>
        <v>269905.1265615967</v>
      </c>
      <c r="E27" s="296">
        <f t="shared" si="2"/>
        <v>306656.64770016569</v>
      </c>
    </row>
    <row r="28" spans="1:5" x14ac:dyDescent="0.35">
      <c r="A28">
        <v>2038</v>
      </c>
      <c r="C28" s="296">
        <f t="shared" si="0"/>
        <v>298088.33964012819</v>
      </c>
      <c r="D28" s="296">
        <f t="shared" si="1"/>
        <v>279710.23002489191</v>
      </c>
      <c r="E28" s="296">
        <f t="shared" si="2"/>
        <v>316466.44925536448</v>
      </c>
    </row>
    <row r="29" spans="1:5" x14ac:dyDescent="0.35">
      <c r="A29">
        <v>2039</v>
      </c>
      <c r="C29" s="296">
        <f t="shared" si="0"/>
        <v>307895.79214937531</v>
      </c>
      <c r="D29" s="296">
        <f t="shared" si="1"/>
        <v>289515.03104223055</v>
      </c>
      <c r="E29" s="296">
        <f t="shared" si="2"/>
        <v>326276.55325652007</v>
      </c>
    </row>
    <row r="30" spans="1:5" x14ac:dyDescent="0.35">
      <c r="A30">
        <v>2040</v>
      </c>
      <c r="C30" s="296">
        <f t="shared" si="0"/>
        <v>317703.24465862231</v>
      </c>
      <c r="D30" s="296">
        <f t="shared" si="1"/>
        <v>299319.51139933389</v>
      </c>
      <c r="E30" s="296">
        <f t="shared" si="2"/>
        <v>336086.97791791073</v>
      </c>
    </row>
    <row r="31" spans="1:5" x14ac:dyDescent="0.35">
      <c r="A31">
        <v>2041</v>
      </c>
      <c r="C31" s="296">
        <f t="shared" si="0"/>
        <v>327510.69716786942</v>
      </c>
      <c r="D31" s="296">
        <f t="shared" si="1"/>
        <v>309123.65290985972</v>
      </c>
      <c r="E31" s="296">
        <f t="shared" si="2"/>
        <v>345897.74142587913</v>
      </c>
    </row>
    <row r="32" spans="1:5" x14ac:dyDescent="0.35">
      <c r="A32">
        <v>2042</v>
      </c>
      <c r="C32" s="296">
        <f t="shared" si="0"/>
        <v>337318.14967711642</v>
      </c>
      <c r="D32" s="296">
        <f t="shared" si="1"/>
        <v>318927.43741863972</v>
      </c>
      <c r="E32" s="296">
        <f t="shared" si="2"/>
        <v>355708.86193559313</v>
      </c>
    </row>
    <row r="33" spans="1:5" x14ac:dyDescent="0.35">
      <c r="A33">
        <v>2043</v>
      </c>
      <c r="C33" s="296">
        <f t="shared" si="0"/>
        <v>347125.60218636354</v>
      </c>
      <c r="D33" s="296">
        <f t="shared" si="1"/>
        <v>328730.84680508595</v>
      </c>
      <c r="E33" s="296">
        <f t="shared" si="2"/>
        <v>365520.35756764113</v>
      </c>
    </row>
    <row r="34" spans="1:5" x14ac:dyDescent="0.35">
      <c r="A34">
        <v>2044</v>
      </c>
      <c r="C34" s="296">
        <f t="shared" si="0"/>
        <v>356933.05469561054</v>
      </c>
      <c r="D34" s="296">
        <f t="shared" si="1"/>
        <v>338533.86298676056</v>
      </c>
      <c r="E34" s="296">
        <f t="shared" si="2"/>
        <v>375332.24640446051</v>
      </c>
    </row>
    <row r="35" spans="1:5" x14ac:dyDescent="0.35">
      <c r="A35">
        <v>2045</v>
      </c>
      <c r="C35" s="296">
        <f t="shared" si="0"/>
        <v>366740.50720485765</v>
      </c>
      <c r="D35" s="296">
        <f t="shared" si="1"/>
        <v>348336.46792310907</v>
      </c>
      <c r="E35" s="296">
        <f t="shared" si="2"/>
        <v>385144.54648660624</v>
      </c>
    </row>
    <row r="36" spans="1:5" x14ac:dyDescent="0.35">
      <c r="A36">
        <v>2046</v>
      </c>
      <c r="C36" s="296">
        <f t="shared" si="0"/>
        <v>376547.95971410465</v>
      </c>
      <c r="D36" s="296">
        <f t="shared" si="1"/>
        <v>358138.64361935045</v>
      </c>
      <c r="E36" s="296">
        <f t="shared" si="2"/>
        <v>394957.27580885886</v>
      </c>
    </row>
    <row r="37" spans="1:5" x14ac:dyDescent="0.35">
      <c r="A37">
        <v>2047</v>
      </c>
      <c r="C37" s="296">
        <f t="shared" si="0"/>
        <v>386355.41222335171</v>
      </c>
      <c r="D37" s="296">
        <f t="shared" si="1"/>
        <v>367940.37213052413</v>
      </c>
      <c r="E37" s="296">
        <f t="shared" si="2"/>
        <v>404770.45231617929</v>
      </c>
    </row>
    <row r="38" spans="1:5" x14ac:dyDescent="0.35">
      <c r="A38">
        <v>2048</v>
      </c>
      <c r="C38" s="296">
        <f t="shared" si="0"/>
        <v>396162.86473259877</v>
      </c>
      <c r="D38" s="296">
        <f t="shared" si="1"/>
        <v>377741.63556568656</v>
      </c>
      <c r="E38" s="296">
        <f t="shared" si="2"/>
        <v>414584.09389951098</v>
      </c>
    </row>
    <row r="39" spans="1:5" x14ac:dyDescent="0.35">
      <c r="A39">
        <v>2049</v>
      </c>
      <c r="C39" s="296">
        <f t="shared" si="0"/>
        <v>405970.31724184583</v>
      </c>
      <c r="D39" s="296">
        <f t="shared" si="1"/>
        <v>387542.41609225562</v>
      </c>
      <c r="E39" s="296">
        <f t="shared" si="2"/>
        <v>424398.21839143604</v>
      </c>
    </row>
    <row r="40" spans="1:5" x14ac:dyDescent="0.35">
      <c r="A40">
        <v>2050</v>
      </c>
      <c r="C40" s="296">
        <f t="shared" si="0"/>
        <v>415777.76975109288</v>
      </c>
      <c r="D40" s="296">
        <f t="shared" si="1"/>
        <v>397342.69594049751</v>
      </c>
      <c r="E40" s="296">
        <f t="shared" si="2"/>
        <v>434212.84356168826</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A1332-7EED-4030-AB99-F95211E8B8BB}">
  <dimension ref="A1:G32"/>
  <sheetViews>
    <sheetView zoomScale="55" zoomScaleNormal="55" workbookViewId="0">
      <selection activeCell="E35" sqref="E35"/>
    </sheetView>
  </sheetViews>
  <sheetFormatPr defaultRowHeight="12.75" x14ac:dyDescent="0.35"/>
  <cols>
    <col min="1" max="1" width="7.3984375" bestFit="1" customWidth="1"/>
    <col min="2" max="2" width="40.265625" bestFit="1" customWidth="1"/>
    <col min="3" max="3" width="45.3984375" bestFit="1" customWidth="1"/>
    <col min="4" max="4" width="11.73046875" bestFit="1" customWidth="1"/>
    <col min="5" max="5" width="28.86328125" bestFit="1" customWidth="1"/>
    <col min="6" max="6" width="25.1328125" bestFit="1" customWidth="1"/>
    <col min="7" max="7" width="11" bestFit="1" customWidth="1"/>
  </cols>
  <sheetData>
    <row r="1" spans="1:7" x14ac:dyDescent="0.35">
      <c r="A1" t="s">
        <v>743</v>
      </c>
      <c r="B1" t="s">
        <v>656</v>
      </c>
      <c r="C1" t="s">
        <v>744</v>
      </c>
      <c r="D1" t="s">
        <v>745</v>
      </c>
      <c r="E1" t="s">
        <v>493</v>
      </c>
      <c r="F1" t="s">
        <v>162</v>
      </c>
      <c r="G1" t="s">
        <v>840</v>
      </c>
    </row>
    <row r="2" spans="1:7" x14ac:dyDescent="0.35">
      <c r="A2">
        <v>1</v>
      </c>
      <c r="B2" t="s">
        <v>747</v>
      </c>
      <c r="C2" t="s">
        <v>748</v>
      </c>
      <c r="D2" t="s">
        <v>749</v>
      </c>
      <c r="E2" t="s">
        <v>750</v>
      </c>
      <c r="F2" t="s">
        <v>751</v>
      </c>
    </row>
    <row r="3" spans="1:7" x14ac:dyDescent="0.35">
      <c r="A3">
        <v>2</v>
      </c>
      <c r="B3" t="s">
        <v>752</v>
      </c>
      <c r="C3" t="s">
        <v>753</v>
      </c>
      <c r="D3" t="s">
        <v>754</v>
      </c>
      <c r="E3" t="s">
        <v>755</v>
      </c>
      <c r="F3" t="s">
        <v>756</v>
      </c>
    </row>
    <row r="4" spans="1:7" x14ac:dyDescent="0.35">
      <c r="A4">
        <v>3</v>
      </c>
      <c r="B4" t="s">
        <v>757</v>
      </c>
      <c r="C4" t="s">
        <v>758</v>
      </c>
      <c r="D4" t="s">
        <v>143</v>
      </c>
      <c r="E4" t="s">
        <v>759</v>
      </c>
      <c r="F4" t="s">
        <v>760</v>
      </c>
    </row>
    <row r="5" spans="1:7" x14ac:dyDescent="0.35">
      <c r="A5">
        <v>4</v>
      </c>
      <c r="B5" t="s">
        <v>761</v>
      </c>
      <c r="C5" t="s">
        <v>762</v>
      </c>
      <c r="D5" t="s">
        <v>763</v>
      </c>
      <c r="E5" t="s">
        <v>764</v>
      </c>
      <c r="F5" t="s">
        <v>765</v>
      </c>
    </row>
    <row r="6" spans="1:7" x14ac:dyDescent="0.35">
      <c r="A6">
        <v>5</v>
      </c>
      <c r="B6" t="s">
        <v>766</v>
      </c>
      <c r="C6" t="s">
        <v>767</v>
      </c>
      <c r="D6" t="s">
        <v>768</v>
      </c>
      <c r="E6" t="s">
        <v>769</v>
      </c>
      <c r="F6" t="s">
        <v>770</v>
      </c>
    </row>
    <row r="7" spans="1:7" x14ac:dyDescent="0.35">
      <c r="A7">
        <v>6</v>
      </c>
      <c r="B7" t="s">
        <v>771</v>
      </c>
      <c r="C7" t="s">
        <v>772</v>
      </c>
      <c r="D7" t="s">
        <v>768</v>
      </c>
      <c r="E7" t="s">
        <v>769</v>
      </c>
      <c r="F7" t="s">
        <v>770</v>
      </c>
    </row>
    <row r="8" spans="1:7" x14ac:dyDescent="0.35">
      <c r="A8">
        <v>7</v>
      </c>
      <c r="B8" t="s">
        <v>773</v>
      </c>
      <c r="C8" t="s">
        <v>774</v>
      </c>
      <c r="D8" t="s">
        <v>768</v>
      </c>
      <c r="E8" t="s">
        <v>769</v>
      </c>
      <c r="F8" t="s">
        <v>770</v>
      </c>
    </row>
    <row r="9" spans="1:7" x14ac:dyDescent="0.35">
      <c r="A9">
        <v>8</v>
      </c>
      <c r="B9" t="s">
        <v>775</v>
      </c>
      <c r="C9" t="s">
        <v>776</v>
      </c>
      <c r="D9" t="s">
        <v>768</v>
      </c>
      <c r="E9" t="s">
        <v>769</v>
      </c>
      <c r="F9" t="s">
        <v>770</v>
      </c>
    </row>
    <row r="10" spans="1:7" x14ac:dyDescent="0.35">
      <c r="A10">
        <v>9</v>
      </c>
      <c r="B10" t="s">
        <v>777</v>
      </c>
      <c r="C10" t="s">
        <v>778</v>
      </c>
      <c r="D10" t="s">
        <v>779</v>
      </c>
      <c r="E10" t="s">
        <v>780</v>
      </c>
      <c r="F10" t="s">
        <v>781</v>
      </c>
    </row>
    <row r="11" spans="1:7" x14ac:dyDescent="0.35">
      <c r="B11" t="s">
        <v>782</v>
      </c>
      <c r="C11" t="s">
        <v>782</v>
      </c>
      <c r="D11" t="s">
        <v>782</v>
      </c>
      <c r="E11" t="s">
        <v>782</v>
      </c>
      <c r="F11" t="s">
        <v>782</v>
      </c>
      <c r="G11" t="s">
        <v>782</v>
      </c>
    </row>
    <row r="12" spans="1:7" x14ac:dyDescent="0.35">
      <c r="A12">
        <v>10</v>
      </c>
      <c r="B12" t="s">
        <v>783</v>
      </c>
      <c r="C12" t="s">
        <v>784</v>
      </c>
      <c r="D12" t="s">
        <v>754</v>
      </c>
      <c r="E12" t="s">
        <v>755</v>
      </c>
      <c r="F12" t="s">
        <v>756</v>
      </c>
    </row>
    <row r="13" spans="1:7" x14ac:dyDescent="0.35">
      <c r="A13">
        <v>11</v>
      </c>
      <c r="B13" t="s">
        <v>785</v>
      </c>
      <c r="C13" t="s">
        <v>786</v>
      </c>
      <c r="D13" t="s">
        <v>749</v>
      </c>
      <c r="E13" t="s">
        <v>750</v>
      </c>
      <c r="F13" t="s">
        <v>751</v>
      </c>
    </row>
    <row r="14" spans="1:7" x14ac:dyDescent="0.35">
      <c r="A14">
        <v>12</v>
      </c>
      <c r="B14" t="s">
        <v>787</v>
      </c>
      <c r="C14" t="s">
        <v>788</v>
      </c>
      <c r="D14" t="s">
        <v>749</v>
      </c>
      <c r="E14" t="s">
        <v>750</v>
      </c>
      <c r="F14" t="s">
        <v>751</v>
      </c>
    </row>
    <row r="15" spans="1:7" x14ac:dyDescent="0.35">
      <c r="A15">
        <v>13</v>
      </c>
      <c r="B15" t="s">
        <v>789</v>
      </c>
      <c r="C15" t="s">
        <v>790</v>
      </c>
      <c r="D15" t="s">
        <v>791</v>
      </c>
      <c r="E15" t="s">
        <v>792</v>
      </c>
      <c r="F15" t="s">
        <v>793</v>
      </c>
    </row>
    <row r="16" spans="1:7" x14ac:dyDescent="0.35">
      <c r="A16">
        <v>14</v>
      </c>
      <c r="B16" t="s">
        <v>794</v>
      </c>
      <c r="C16" t="s">
        <v>795</v>
      </c>
      <c r="D16" t="s">
        <v>754</v>
      </c>
      <c r="E16" t="s">
        <v>755</v>
      </c>
      <c r="F16" t="s">
        <v>756</v>
      </c>
    </row>
    <row r="17" spans="1:6" x14ac:dyDescent="0.35">
      <c r="A17">
        <v>15</v>
      </c>
      <c r="B17" t="s">
        <v>796</v>
      </c>
      <c r="C17" t="s">
        <v>797</v>
      </c>
      <c r="D17" t="s">
        <v>143</v>
      </c>
      <c r="E17" t="s">
        <v>759</v>
      </c>
      <c r="F17" t="s">
        <v>760</v>
      </c>
    </row>
    <row r="18" spans="1:6" x14ac:dyDescent="0.35">
      <c r="A18">
        <v>16</v>
      </c>
      <c r="B18" t="s">
        <v>798</v>
      </c>
      <c r="C18" t="s">
        <v>799</v>
      </c>
      <c r="D18" t="s">
        <v>143</v>
      </c>
      <c r="E18" t="s">
        <v>759</v>
      </c>
      <c r="F18" t="s">
        <v>760</v>
      </c>
    </row>
    <row r="19" spans="1:6" x14ac:dyDescent="0.35">
      <c r="A19">
        <v>17</v>
      </c>
      <c r="B19" t="s">
        <v>800</v>
      </c>
      <c r="C19" t="s">
        <v>801</v>
      </c>
      <c r="D19" t="s">
        <v>143</v>
      </c>
      <c r="E19" t="s">
        <v>759</v>
      </c>
      <c r="F19" t="s">
        <v>760</v>
      </c>
    </row>
    <row r="20" spans="1:6" x14ac:dyDescent="0.35">
      <c r="A20">
        <v>18</v>
      </c>
      <c r="B20" t="s">
        <v>802</v>
      </c>
      <c r="C20" t="s">
        <v>803</v>
      </c>
      <c r="D20" t="s">
        <v>754</v>
      </c>
      <c r="E20" t="s">
        <v>755</v>
      </c>
      <c r="F20" t="s">
        <v>756</v>
      </c>
    </row>
    <row r="21" spans="1:6" x14ac:dyDescent="0.35">
      <c r="A21">
        <v>19</v>
      </c>
      <c r="B21" t="s">
        <v>804</v>
      </c>
      <c r="C21" t="s">
        <v>805</v>
      </c>
      <c r="D21" t="s">
        <v>143</v>
      </c>
      <c r="E21" t="s">
        <v>759</v>
      </c>
      <c r="F21" t="s">
        <v>760</v>
      </c>
    </row>
    <row r="22" spans="1:6" x14ac:dyDescent="0.35">
      <c r="A22">
        <v>20</v>
      </c>
      <c r="B22" t="s">
        <v>806</v>
      </c>
      <c r="C22" t="s">
        <v>807</v>
      </c>
      <c r="D22" t="s">
        <v>791</v>
      </c>
      <c r="E22" t="s">
        <v>792</v>
      </c>
      <c r="F22" t="s">
        <v>793</v>
      </c>
    </row>
    <row r="23" spans="1:6" x14ac:dyDescent="0.35">
      <c r="A23">
        <v>21</v>
      </c>
      <c r="B23" t="s">
        <v>808</v>
      </c>
      <c r="C23" t="s">
        <v>809</v>
      </c>
      <c r="D23" t="s">
        <v>754</v>
      </c>
      <c r="E23" t="s">
        <v>755</v>
      </c>
      <c r="F23" t="s">
        <v>756</v>
      </c>
    </row>
    <row r="24" spans="1:6" x14ac:dyDescent="0.35">
      <c r="A24">
        <v>22</v>
      </c>
      <c r="B24" t="s">
        <v>810</v>
      </c>
      <c r="C24" t="s">
        <v>811</v>
      </c>
      <c r="D24" t="s">
        <v>812</v>
      </c>
      <c r="E24" t="s">
        <v>813</v>
      </c>
      <c r="F24" t="s">
        <v>814</v>
      </c>
    </row>
    <row r="25" spans="1:6" x14ac:dyDescent="0.35">
      <c r="A25">
        <v>23</v>
      </c>
      <c r="B25" t="s">
        <v>815</v>
      </c>
      <c r="C25" t="s">
        <v>816</v>
      </c>
      <c r="D25" t="s">
        <v>779</v>
      </c>
      <c r="E25" t="s">
        <v>780</v>
      </c>
      <c r="F25" t="s">
        <v>781</v>
      </c>
    </row>
    <row r="26" spans="1:6" x14ac:dyDescent="0.35">
      <c r="A26">
        <v>24</v>
      </c>
      <c r="B26" t="s">
        <v>817</v>
      </c>
      <c r="C26" t="s">
        <v>818</v>
      </c>
      <c r="D26" t="s">
        <v>749</v>
      </c>
      <c r="E26" t="s">
        <v>750</v>
      </c>
      <c r="F26" t="s">
        <v>751</v>
      </c>
    </row>
    <row r="27" spans="1:6" x14ac:dyDescent="0.35">
      <c r="A27">
        <v>25</v>
      </c>
      <c r="B27" t="s">
        <v>819</v>
      </c>
      <c r="C27" t="s">
        <v>820</v>
      </c>
      <c r="D27" t="s">
        <v>768</v>
      </c>
      <c r="E27" t="s">
        <v>769</v>
      </c>
      <c r="F27" t="s">
        <v>770</v>
      </c>
    </row>
    <row r="28" spans="1:6" x14ac:dyDescent="0.35">
      <c r="A28">
        <v>26</v>
      </c>
      <c r="B28" t="s">
        <v>821</v>
      </c>
      <c r="C28" t="s">
        <v>822</v>
      </c>
      <c r="D28" t="s">
        <v>754</v>
      </c>
      <c r="E28" t="s">
        <v>755</v>
      </c>
      <c r="F28" t="s">
        <v>756</v>
      </c>
    </row>
    <row r="29" spans="1:6" x14ac:dyDescent="0.35">
      <c r="A29">
        <v>27</v>
      </c>
      <c r="B29" t="s">
        <v>823</v>
      </c>
      <c r="C29" t="s">
        <v>824</v>
      </c>
      <c r="D29" t="s">
        <v>825</v>
      </c>
      <c r="E29" t="s">
        <v>826</v>
      </c>
      <c r="F29" t="s">
        <v>827</v>
      </c>
    </row>
    <row r="30" spans="1:6" x14ac:dyDescent="0.35">
      <c r="A30">
        <v>28</v>
      </c>
      <c r="B30" t="s">
        <v>828</v>
      </c>
      <c r="C30" t="s">
        <v>829</v>
      </c>
      <c r="D30" t="s">
        <v>830</v>
      </c>
      <c r="E30" t="s">
        <v>831</v>
      </c>
      <c r="F30" t="s">
        <v>832</v>
      </c>
    </row>
    <row r="31" spans="1:6" x14ac:dyDescent="0.35">
      <c r="A31">
        <v>29</v>
      </c>
      <c r="B31" t="s">
        <v>833</v>
      </c>
      <c r="C31" t="s">
        <v>834</v>
      </c>
      <c r="D31" t="s">
        <v>754</v>
      </c>
      <c r="E31" t="s">
        <v>755</v>
      </c>
      <c r="F31" t="s">
        <v>756</v>
      </c>
    </row>
    <row r="32" spans="1:6" x14ac:dyDescent="0.35">
      <c r="A32">
        <v>30</v>
      </c>
      <c r="B32" t="s">
        <v>835</v>
      </c>
      <c r="C32" t="s">
        <v>836</v>
      </c>
      <c r="D32" t="s">
        <v>143</v>
      </c>
      <c r="E32" t="s">
        <v>759</v>
      </c>
      <c r="F32" t="s">
        <v>760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E33FEE-1117-4802-A5BB-FA073D1C6E04}">
  <ds:schemaRefs>
    <ds:schemaRef ds:uri="http://schemas.microsoft.com/sharepoint/v3/contenttype/forms"/>
  </ds:schemaRefs>
</ds:datastoreItem>
</file>

<file path=customXml/itemProps2.xml><?xml version="1.0" encoding="utf-8"?>
<ds:datastoreItem xmlns:ds="http://schemas.openxmlformats.org/officeDocument/2006/customXml" ds:itemID="{A881089C-6E2A-4FD7-A402-55E9C86C97B5}">
  <ds:schemaRefs>
    <ds:schemaRef ds:uri="http://purl.org/dc/dcmitype/"/>
    <ds:schemaRef ds:uri="6ba73c8a-1af7-4183-b158-1cd1291da2b6"/>
    <ds:schemaRef ds:uri="http://purl.org/dc/elements/1.1/"/>
    <ds:schemaRef ds:uri="http://schemas.openxmlformats.org/package/2006/metadata/core-properties"/>
    <ds:schemaRef ds:uri="http://purl.org/dc/terms/"/>
    <ds:schemaRef ds:uri="http://schemas.microsoft.com/office/2006/documentManagement/types"/>
    <ds:schemaRef ds:uri="http://schemas.microsoft.com/office/2006/metadata/properties"/>
    <ds:schemaRef ds:uri="http://schemas.microsoft.com/office/infopath/2007/PartnerControls"/>
    <ds:schemaRef ds:uri="8c89d0e4-a8d9-42ba-a773-c59a56f7723e"/>
    <ds:schemaRef ds:uri="http://www.w3.org/XML/1998/namespace"/>
  </ds:schemaRefs>
</ds:datastoreItem>
</file>

<file path=customXml/itemProps3.xml><?xml version="1.0" encoding="utf-8"?>
<ds:datastoreItem xmlns:ds="http://schemas.openxmlformats.org/officeDocument/2006/customXml" ds:itemID="{886353E0-3B06-47F9-856D-C6F3FD1263A2}">
  <ds:schemaRefs>
    <ds:schemaRef ds:uri="http://schemas.microsoft.com/DataMashup"/>
  </ds:schemaRefs>
</ds:datastoreItem>
</file>

<file path=customXml/itemProps4.xml><?xml version="1.0" encoding="utf-8"?>
<ds:datastoreItem xmlns:ds="http://schemas.openxmlformats.org/officeDocument/2006/customXml" ds:itemID="{77D85315-F9BE-4E32-AA7E-83CE08C79E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OP</vt:lpstr>
      <vt:lpstr>Segments</vt:lpstr>
      <vt:lpstr>Peers</vt:lpstr>
      <vt:lpstr>ESG</vt:lpstr>
      <vt:lpstr>DCF</vt:lpstr>
      <vt:lpstr>Sheet1</vt:lpstr>
      <vt:lpstr>Assumptions</vt:lpstr>
      <vt:lpstr>Fin. Data</vt:lpstr>
      <vt:lpstr>Sector Impact</vt:lpstr>
      <vt:lpstr>Inputs</vt:lpstr>
      <vt:lpstr>Research</vt:lpstr>
      <vt:lpstr>Forecasts</vt:lpstr>
      <vt:lpstr>Top Auto Manufacturers Companie</vt:lpstr>
      <vt:lpstr>OP!Print_Area</vt:lpstr>
      <vt:lpstr>Sectors</vt:lpstr>
    </vt:vector>
  </TitlesOfParts>
  <Manager/>
  <Company>HIL CONSULTORES, S.C.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José Paulo Vicente De Sousa Lima</cp:lastModifiedBy>
  <cp:revision/>
  <dcterms:created xsi:type="dcterms:W3CDTF">2000-04-19T14:51:26Z</dcterms:created>
  <dcterms:modified xsi:type="dcterms:W3CDTF">2025-02-04T15:35:21Z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